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showInkAnnotation="0" updateLinks="never" codeName="ThisWorkbook"/>
  <mc:AlternateContent xmlns:mc="http://schemas.openxmlformats.org/markup-compatibility/2006">
    <mc:Choice Requires="x15">
      <x15ac:absPath xmlns:x15ac="http://schemas.microsoft.com/office/spreadsheetml/2010/11/ac" url="https://d.docs.live.net/3987c4aade6722c7/Documents/RT/RT3/Normes et standards en cyber/TP/01/1.-mehari/AFN-Analyse-Risque-MEHARI/01_classeur/"/>
    </mc:Choice>
  </mc:AlternateContent>
  <xr:revisionPtr revIDLastSave="483" documentId="13_ncr:1_{A2FFC9B3-EA1C-4322-B5E5-5F41DD94E606}" xr6:coauthVersionLast="47" xr6:coauthVersionMax="47" xr10:uidLastSave="{8A059399-0AB2-475C-AA33-3EBB4FFC88F8}"/>
  <bookViews>
    <workbookView xWindow="11424" yWindow="0" windowWidth="11712" windowHeight="13776" firstSheet="9" activeTab="9" xr2:uid="{00000000-000D-0000-FFFF-FFFF00000000}"/>
  </bookViews>
  <sheets>
    <sheet name="Intro" sheetId="69" r:id="rId1"/>
    <sheet name="Licence" sheetId="81" r:id="rId2"/>
    <sheet name="Présentation" sheetId="71" r:id="rId3"/>
    <sheet name="T1" sheetId="10" r:id="rId4"/>
    <sheet name="T2" sheetId="11" r:id="rId5"/>
    <sheet name="Classif" sheetId="9" r:id="rId6"/>
    <sheet name="Param" sheetId="70" state="hidden" r:id="rId7"/>
    <sheet name="1 Org" sheetId="62" r:id="rId8"/>
    <sheet name="2 Phy" sheetId="64" r:id="rId9"/>
    <sheet name="3 Sys" sheetId="55" r:id="rId10"/>
    <sheet name="4 Ope" sheetId="56" r:id="rId11"/>
    <sheet name="5 App" sheetId="57" r:id="rId12"/>
    <sheet name="6 Mic" sheetId="58" r:id="rId13"/>
    <sheet name="7 Dev" sheetId="65" r:id="rId14"/>
    <sheet name="8 Cex" sheetId="63" r:id="rId15"/>
    <sheet name="Obj_Projets" sheetId="67" state="hidden" r:id="rId16"/>
    <sheet name="Services" sheetId="61" r:id="rId17"/>
    <sheet name="Score ISO" sheetId="60" r:id="rId18"/>
    <sheet name="Expo" sheetId="14" r:id="rId19"/>
    <sheet name="Scénarios" sheetId="17" r:id="rId20"/>
    <sheet name="Actifs_support" sheetId="79" r:id="rId21"/>
    <sheet name="Dommages" sheetId="80" r:id="rId22"/>
    <sheet name="Risk%actif" sheetId="24" r:id="rId23"/>
    <sheet name="Risk%event" sheetId="25" r:id="rId24"/>
    <sheet name="Plans_action" sheetId="19" r:id="rId25"/>
    <sheet name="Projets" sheetId="66" r:id="rId26"/>
    <sheet name="Corr_Services" sheetId="75" state="hidden" r:id="rId27"/>
    <sheet name="Des_Projets" sheetId="77" r:id="rId28"/>
    <sheet name="Sel_Projets" sheetId="73" r:id="rId29"/>
    <sheet name="Tbord" sheetId="72" r:id="rId30"/>
    <sheet name="Delta" sheetId="76" state="hidden" r:id="rId31"/>
    <sheet name="Gravité" sheetId="22" r:id="rId32"/>
    <sheet name="Grilles_IP" sheetId="23" r:id="rId33"/>
  </sheets>
  <externalReferences>
    <externalReference r:id="rId34"/>
  </externalReferences>
  <definedNames>
    <definedName name="_xlnm._FilterDatabase" localSheetId="9" hidden="1">'3 Sys'!#REF!</definedName>
    <definedName name="_xlnm._FilterDatabase" localSheetId="10" hidden="1">'4 Ope'!$A$1:$B$156</definedName>
    <definedName name="_xlnm._FilterDatabase" localSheetId="27" hidden="1">Des_Projets!$C$1:$C$1476</definedName>
    <definedName name="_xlnm._FilterDatabase" localSheetId="15" hidden="1">Obj_Projets!$A$1:$C$159</definedName>
    <definedName name="_xlnm._FilterDatabase" localSheetId="24" hidden="1">Plans_action!$G$1:$G$1649</definedName>
    <definedName name="_xlnm._FilterDatabase" localSheetId="19" hidden="1">Scénarios!$F$1:$F$334</definedName>
    <definedName name="_xlnm._FilterDatabase" localSheetId="16" hidden="1">Services!$A$1:$C$168</definedName>
    <definedName name="_xlnm._FilterDatabase" localSheetId="3" hidden="1">'T1'!#REF!</definedName>
    <definedName name="_xlnm._FilterDatabase" localSheetId="4" hidden="1">'T2'!#REF!</definedName>
    <definedName name="Altd">Dommages!$D$10</definedName>
    <definedName name="Altf">Dommages!$D$11</definedName>
    <definedName name="base_g">Gravité!$D$6:$G$9</definedName>
    <definedName name="base_i">Grilles_IP!$D$7:$AB$43</definedName>
    <definedName name="base_p">Grilles_IP!$D$54:$AB$79</definedName>
    <definedName name="Cfg">Actifs_support!$C$10</definedName>
    <definedName name="code_Acteur">Param!$B$34:$C$47</definedName>
    <definedName name="code_Lieu">Param!$B$10:$C$13</definedName>
    <definedName name="code_Process">Param!$B$20:$C$31</definedName>
    <definedName name="code_Temps">Param!$B$16:$C$17</definedName>
    <definedName name="Coe">Actifs_support!$C$5</definedName>
    <definedName name="Cop">Actifs_support!$C$8</definedName>
    <definedName name="Crfx">Dommages!$D$13</definedName>
    <definedName name="dateanal">'Risk%actif'!$U$16</definedName>
    <definedName name="Det">Actifs_support!$C$4</definedName>
    <definedName name="Disp">Dommages!$D$5</definedName>
    <definedName name="Dive">Dommages!$D$14</definedName>
    <definedName name="Doc">Actifs_support!$C$7</definedName>
    <definedName name="Endl">Dommages!$D$7</definedName>
    <definedName name="Endp">Dommages!$D$6</definedName>
    <definedName name="Env">Actifs_support!$C$12</definedName>
    <definedName name="Equ">Actifs_support!$C$11</definedName>
    <definedName name="ES1A01">Services!$H$7</definedName>
    <definedName name="ES1A02">Services!$H$8</definedName>
    <definedName name="ES1B01">Services!$H$10</definedName>
    <definedName name="ES1B02">Services!$H$11</definedName>
    <definedName name="ES1B03">Services!$H$12</definedName>
    <definedName name="ES1B04">Services!$H$13</definedName>
    <definedName name="ES1B05">Services!$H$14</definedName>
    <definedName name="ES1B06">Services!$H$15</definedName>
    <definedName name="ES1B07">Services!$H$16</definedName>
    <definedName name="ES1B08">Services!$H$17</definedName>
    <definedName name="ES1B09">Services!$H$18</definedName>
    <definedName name="ES1B10">Services!#REF!</definedName>
    <definedName name="ES1C01">Services!$H$20</definedName>
    <definedName name="ES1C02">Services!$H$21</definedName>
    <definedName name="ES1C03">Services!$H$22</definedName>
    <definedName name="ES1C04">Services!$H$23</definedName>
    <definedName name="ES1C05">Services!$H$24</definedName>
    <definedName name="ES1C06">Services!$H$25</definedName>
    <definedName name="ES1D01">Services!$H$27</definedName>
    <definedName name="ES1D02">Services!$H$28</definedName>
    <definedName name="ES1E01">Services!$H$30</definedName>
    <definedName name="ES1E02">Services!$H$31</definedName>
    <definedName name="ES1E03">Services!$H$32</definedName>
    <definedName name="ES1F01">Services!$H$34</definedName>
    <definedName name="ES1F02">Services!$H$35</definedName>
    <definedName name="ES1F03">Services!$H$36</definedName>
    <definedName name="ES1F04">Services!$H$37</definedName>
    <definedName name="ES1F05">Services!#REF!</definedName>
    <definedName name="ES2A01">Services!$H$40</definedName>
    <definedName name="ES2A02">Services!$H$41</definedName>
    <definedName name="ES2A03">Services!$H$42</definedName>
    <definedName name="ES2A04">Services!#REF!</definedName>
    <definedName name="ES2B01">Services!$H$44</definedName>
    <definedName name="ES2B02">Services!$H$45</definedName>
    <definedName name="ES2B03">Services!$H$46</definedName>
    <definedName name="ES2B04">Services!$H$47</definedName>
    <definedName name="ES2B05">Services!$H$48</definedName>
    <definedName name="ES2C01">Services!$H$51</definedName>
    <definedName name="ES2C02">Services!$H$52</definedName>
    <definedName name="ES2C03">Services!$H$53</definedName>
    <definedName name="ES2C04">Services!$H$54</definedName>
    <definedName name="ES2C05">Services!$H$55</definedName>
    <definedName name="ES2D01">Services!$H$61</definedName>
    <definedName name="ES2D02">Services!$H$62</definedName>
    <definedName name="ES2D03">Services!$H$63</definedName>
    <definedName name="ES2D04">Services!$H$64</definedName>
    <definedName name="ES2D05">Services!$H$65</definedName>
    <definedName name="ES2E01">Services!$H$67</definedName>
    <definedName name="ES2E02">Services!$H$68</definedName>
    <definedName name="ES2E03">Services!$H$69</definedName>
    <definedName name="ES2E04">Services!$H$70</definedName>
    <definedName name="ES2E05">Services!$H$71</definedName>
    <definedName name="ES3A01">Services!$H$74</definedName>
    <definedName name="ES3A02">Services!$H$75</definedName>
    <definedName name="ES3A03">Services!$H$76</definedName>
    <definedName name="ES3A04">Services!$H$77</definedName>
    <definedName name="ES3A05">Services!$H$78</definedName>
    <definedName name="ES3A06">Services!$H$79</definedName>
    <definedName name="ES3A07">Services!$H$80</definedName>
    <definedName name="ES3A08">Services!$H$81</definedName>
    <definedName name="ES3A09">Services!$H$82</definedName>
    <definedName name="ES3B01">Services!$H$84</definedName>
    <definedName name="ES3C01">Services!$H$86</definedName>
    <definedName name="ES4A01">Services!$H$89</definedName>
    <definedName name="ES4A02">Services!$H$90</definedName>
    <definedName name="ES4A03">Services!$H$91</definedName>
    <definedName name="ES4A04">Services!$H$92</definedName>
    <definedName name="ES4A05">Services!$H$93</definedName>
    <definedName name="ES4A06">Services!$H$94</definedName>
    <definedName name="ES4A07">Services!$H$95</definedName>
    <definedName name="ES4A08">Services!$H$96</definedName>
    <definedName name="ES4A09">Services!$H$97</definedName>
    <definedName name="ES4A10">Services!$H$98</definedName>
    <definedName name="ES4A11">Services!$H$99</definedName>
    <definedName name="ES4A12">Services!$H$100</definedName>
    <definedName name="ES4A13">Services!$H$101</definedName>
    <definedName name="ES4A14">Services!$H$102</definedName>
    <definedName name="ES4B01">Services!$H$104</definedName>
    <definedName name="ES4C01">Services!$H$106</definedName>
    <definedName name="ES4C02">Services!$H$107</definedName>
    <definedName name="ES4C03">Services!$H$108</definedName>
    <definedName name="ES4C04">Services!$H$109</definedName>
    <definedName name="ES4C05">Services!$H$110</definedName>
    <definedName name="ES4C06">Services!$H$111</definedName>
    <definedName name="ES4C07">Services!#REF!</definedName>
    <definedName name="ES4D01">Services!$H$113</definedName>
    <definedName name="ES4D02">Services!$H$114</definedName>
    <definedName name="ES4E01">Services!$H$116</definedName>
    <definedName name="ES4E02">Services!$H$117</definedName>
    <definedName name="ES4E03">Services!$H$118</definedName>
    <definedName name="ES4E04">Services!$H$119</definedName>
    <definedName name="ES4E05">Services!$H$120</definedName>
    <definedName name="ES4F01">Services!$H$122</definedName>
    <definedName name="ES4F02">Services!$H$123</definedName>
    <definedName name="ES4F03">Services!$H$124</definedName>
    <definedName name="ES5A01">Services!$H$127</definedName>
    <definedName name="ES5A02">Services!$H$128</definedName>
    <definedName name="ES5A03">Services!$H$129</definedName>
    <definedName name="ES5A04">Services!$H$130</definedName>
    <definedName name="ES5A05">Services!$H$131</definedName>
    <definedName name="ES5A06">Services!$H$132</definedName>
    <definedName name="ES5B01">Services!$H$134</definedName>
    <definedName name="ES5B02">Services!$H$135</definedName>
    <definedName name="ES5C01">Services!$H$137</definedName>
    <definedName name="ES5C02">Services!$H$138</definedName>
    <definedName name="ES5C03">Services!$H$139</definedName>
    <definedName name="ES5D01">Services!$H$141</definedName>
    <definedName name="ES5D02">Services!$H$142</definedName>
    <definedName name="ES5D03">Services!$H$143</definedName>
    <definedName name="ES5D04">Services!$H$144</definedName>
    <definedName name="ES5E01">Services!$H$146</definedName>
    <definedName name="ES5E02">Services!$H$147</definedName>
    <definedName name="ES5E03">Services!$H$148</definedName>
    <definedName name="ES5E04">Services!$H$149</definedName>
    <definedName name="ES5F01">Services!$H$151</definedName>
    <definedName name="ES5F02">Services!$H$152</definedName>
    <definedName name="ES5F03">Services!$H$153</definedName>
    <definedName name="ES5G01">Services!$H$155</definedName>
    <definedName name="ES5G02">Services!$H$156</definedName>
    <definedName name="ES6A01">Services!$H$159</definedName>
    <definedName name="ES6A02">Services!$H$160</definedName>
    <definedName name="ES6A03">Services!$H$161</definedName>
    <definedName name="ES6B01">Services!$H$163</definedName>
    <definedName name="ES6B02">Services!$H$164</definedName>
    <definedName name="ES6B03">Services!$H$165</definedName>
    <definedName name="ES6B04">Services!$H$166</definedName>
    <definedName name="ES6B05">Services!$H$167</definedName>
    <definedName name="ES6B06">Services!$H$168</definedName>
    <definedName name="ES6B07">Services!$H$169</definedName>
    <definedName name="ES6C01">Services!$H$171</definedName>
    <definedName name="ES6C02">Services!$H$172</definedName>
    <definedName name="ES7A01">Services!$H$175</definedName>
    <definedName name="ES7A02">Services!$H$176</definedName>
    <definedName name="ES7A03">Services!$H$177</definedName>
    <definedName name="ES7B01">Services!$H$179</definedName>
    <definedName name="ES7B02">Services!$H$180</definedName>
    <definedName name="ES7B03">Services!$H$181</definedName>
    <definedName name="ES7B04">Services!$H$182</definedName>
    <definedName name="ES7B05">Services!$H$183</definedName>
    <definedName name="ES7B06">Services!$H$184</definedName>
    <definedName name="ES7B07">Services!$H$185</definedName>
    <definedName name="ES7B08">Services!$H$186</definedName>
    <definedName name="ES7B09">Services!$H$187</definedName>
    <definedName name="ES7B10">Services!$H$188</definedName>
    <definedName name="ES8A01">Services!$H$191</definedName>
    <definedName name="ES8A02">Services!$H$192</definedName>
    <definedName name="ES8A03">Services!$H$193</definedName>
    <definedName name="ES8B01">Services!$H$195</definedName>
    <definedName name="ES8B02">Services!$H$196</definedName>
    <definedName name="ES8B03">Services!$H$197</definedName>
    <definedName name="ES8C01">Services!$H$199</definedName>
    <definedName name="ES8C02">Services!$H$200</definedName>
    <definedName name="ES8C03">Services!#REF!</definedName>
    <definedName name="Fic">Actifs_support!$C$3</definedName>
    <definedName name="Iml">Actifs_support!$C$14</definedName>
    <definedName name="Inac">Dommages!$D$4</definedName>
    <definedName name="Inco">Dommages!$D$12</definedName>
    <definedName name="IndG">Param!$B$3</definedName>
    <definedName name="Inex">Dommages!$D$9</definedName>
    <definedName name="Inop">Dommages!$D$8</definedName>
    <definedName name="Med">Actifs_support!$C$6</definedName>
    <definedName name="Mes">Actifs_support!$C$4</definedName>
    <definedName name="Msa">Actifs_support!$C$9</definedName>
    <definedName name="Msl">Actifs_support!$C$13</definedName>
    <definedName name="Napp">Dommages!$D$15</definedName>
    <definedName name="Pro">Actifs_support!$C$15</definedName>
    <definedName name="S1A01">Services!$J$7</definedName>
    <definedName name="S1A02">Services!$J$8</definedName>
    <definedName name="S1B01">Services!$J$10</definedName>
    <definedName name="S1B02">Services!$J$11</definedName>
    <definedName name="S1B03">Services!$J$12</definedName>
    <definedName name="S1B04">Services!$J$13</definedName>
    <definedName name="S1B05">Services!$J$14</definedName>
    <definedName name="S1B06">Services!$J$15</definedName>
    <definedName name="S1B07">Services!$J$16</definedName>
    <definedName name="S1B08">Services!$J$17</definedName>
    <definedName name="S1B09">Services!$J$18</definedName>
    <definedName name="S1B10">Services!#REF!</definedName>
    <definedName name="S1C01">Services!$J$20</definedName>
    <definedName name="S1C02">Services!$J$21</definedName>
    <definedName name="S1C03">Services!$J$22</definedName>
    <definedName name="S1C04">Services!$J$23</definedName>
    <definedName name="S1C05">Services!$J$24</definedName>
    <definedName name="S1C06">Services!$J$25</definedName>
    <definedName name="S1D01">Services!$J$27</definedName>
    <definedName name="S1D02">Services!$J$28</definedName>
    <definedName name="S1E01">Services!$J$30</definedName>
    <definedName name="S1E02">Services!$J$31</definedName>
    <definedName name="S1E03">Services!$J$32</definedName>
    <definedName name="S1F01">Services!$J$34</definedName>
    <definedName name="S1F02">Services!$J$35</definedName>
    <definedName name="S1F03">Services!$J$36</definedName>
    <definedName name="S1F04">Services!$J$37</definedName>
    <definedName name="S1F05">Services!#REF!</definedName>
    <definedName name="S2A01">Services!$J$40</definedName>
    <definedName name="S2A02">Services!$J$41</definedName>
    <definedName name="S2A03">Services!$J$42</definedName>
    <definedName name="S2A04">Services!#REF!</definedName>
    <definedName name="S2B01">Services!$J$44</definedName>
    <definedName name="S2B02">Services!$J$45</definedName>
    <definedName name="S2B03">Services!$J$46</definedName>
    <definedName name="S2B04">Services!$J$47</definedName>
    <definedName name="S2B05">Services!$J$48</definedName>
    <definedName name="S2C01">Services!$J$51</definedName>
    <definedName name="S2C02">Services!$J$52</definedName>
    <definedName name="S2C03">Services!$J$53</definedName>
    <definedName name="S2C04">Services!$J$54</definedName>
    <definedName name="S2C05">Services!$J$55</definedName>
    <definedName name="S2D01">Services!$J$61</definedName>
    <definedName name="S2D02">Services!$J$62</definedName>
    <definedName name="S2D03">Services!$J$63</definedName>
    <definedName name="S2D04">Services!$J$64</definedName>
    <definedName name="S2D05">Services!$J$65</definedName>
    <definedName name="S2E01">Services!$J$67</definedName>
    <definedName name="S2E02">Services!$J$68</definedName>
    <definedName name="S2E03">Services!$J$69</definedName>
    <definedName name="S2E04">Services!$J$70</definedName>
    <definedName name="S2E05">Services!$J$71</definedName>
    <definedName name="S3A01">Services!$J$74</definedName>
    <definedName name="S3A02">Services!$J$75</definedName>
    <definedName name="S3A03">Services!$J$76</definedName>
    <definedName name="S3A04">Services!$J$77</definedName>
    <definedName name="S3A05">Services!$J$78</definedName>
    <definedName name="S3A06">Services!$J$79</definedName>
    <definedName name="S3A07">Services!$J$80</definedName>
    <definedName name="S3A08">Services!$J$81</definedName>
    <definedName name="S3A09">Services!$J$82</definedName>
    <definedName name="S3B01">Services!$J$84</definedName>
    <definedName name="S3C01">Services!$J$86</definedName>
    <definedName name="S4A01">Services!$J$89</definedName>
    <definedName name="S4A02">Services!$J$90</definedName>
    <definedName name="S4A03">Services!$J$91</definedName>
    <definedName name="S4A04">Services!$J$92</definedName>
    <definedName name="S4A05">Services!$J$93</definedName>
    <definedName name="S4A06">Services!$J$94</definedName>
    <definedName name="S4A07">Services!$J$95</definedName>
    <definedName name="S4A08">Services!$J$96</definedName>
    <definedName name="S4A09">Services!$J$97</definedName>
    <definedName name="S4A10">Services!$J$98</definedName>
    <definedName name="S4A11">Services!$J$99</definedName>
    <definedName name="S4A12">Services!$J$100</definedName>
    <definedName name="S4A13">Services!$J$101</definedName>
    <definedName name="S4A14">Services!$J$102</definedName>
    <definedName name="S4B01">Services!$J$104</definedName>
    <definedName name="S4C01">Services!$J$106</definedName>
    <definedName name="S4C02">Services!$J$107</definedName>
    <definedName name="S4C03">Services!$J$108</definedName>
    <definedName name="S4C04">Services!$J$109</definedName>
    <definedName name="S4C05">Services!$J$110</definedName>
    <definedName name="S4C06">Services!$J$111</definedName>
    <definedName name="S4C07">Services!#REF!</definedName>
    <definedName name="S4D01">Services!$J$113</definedName>
    <definedName name="S4D02">Services!$J$114</definedName>
    <definedName name="S4E01">Services!$J$116</definedName>
    <definedName name="S4E02">Services!$J$117</definedName>
    <definedName name="S4E03">Services!$J$118</definedName>
    <definedName name="S4E04">Services!$J$119</definedName>
    <definedName name="S4E05">Services!$J$120</definedName>
    <definedName name="S4F01">Services!$J$122</definedName>
    <definedName name="S4F02">Services!$J$123</definedName>
    <definedName name="S4F03">Services!$J$124</definedName>
    <definedName name="S5A01">Services!$J$127</definedName>
    <definedName name="S5A02">Services!$J$128</definedName>
    <definedName name="S5A03">Services!$J$129</definedName>
    <definedName name="S5A04">Services!$J$130</definedName>
    <definedName name="S5A05">Services!$J$131</definedName>
    <definedName name="S5A06">Services!$J$132</definedName>
    <definedName name="S5B01">Services!$J$134</definedName>
    <definedName name="S5B02">Services!$J$135</definedName>
    <definedName name="S5C01">Services!$J$137</definedName>
    <definedName name="S5C02">Services!$J$138</definedName>
    <definedName name="S5C03">Services!$J$139</definedName>
    <definedName name="S5D01">Services!$J$141</definedName>
    <definedName name="S5D02">Services!$J$142</definedName>
    <definedName name="S5D03">Services!$J$143</definedName>
    <definedName name="S5D04">Services!$J$144</definedName>
    <definedName name="S5E01">Services!$J$146</definedName>
    <definedName name="S5E02">Services!$J$147</definedName>
    <definedName name="S5E03">Services!$J$148</definedName>
    <definedName name="S5E04">Services!$J$149</definedName>
    <definedName name="S5F01">Services!$J$151</definedName>
    <definedName name="S5F02">Services!$J$152</definedName>
    <definedName name="S5F03">Services!$J$153</definedName>
    <definedName name="S5G01">Services!$J$155</definedName>
    <definedName name="S5G02">Services!$J$156</definedName>
    <definedName name="S6A01">Services!$J$159</definedName>
    <definedName name="S6A02">Services!$J$160</definedName>
    <definedName name="S6A03">Services!$J$161</definedName>
    <definedName name="S6B01">Services!$J$163</definedName>
    <definedName name="S6B02">Services!$J$164</definedName>
    <definedName name="S6B03">Services!$J$165</definedName>
    <definedName name="S6B04">Services!$J$166</definedName>
    <definedName name="S6B05">Services!$J$167</definedName>
    <definedName name="S6B06">Services!$J$168</definedName>
    <definedName name="S6B07">Services!$J$169</definedName>
    <definedName name="S6C01">Services!$J$171</definedName>
    <definedName name="S6C02">Services!$J$172</definedName>
    <definedName name="S7A01">Services!$J$175</definedName>
    <definedName name="S7A02">Services!$J$176</definedName>
    <definedName name="S7A03">Services!$J$177</definedName>
    <definedName name="S7B01">Services!$J$179</definedName>
    <definedName name="S7B02">Services!$J$180</definedName>
    <definedName name="S7B03">Services!$J$181</definedName>
    <definedName name="S7B04">Services!$J$182</definedName>
    <definedName name="S7B05">Services!$J$183</definedName>
    <definedName name="S7B06">Services!$J$184</definedName>
    <definedName name="S7B07">Services!$J$185</definedName>
    <definedName name="S7B08">Services!$J$186</definedName>
    <definedName name="S7B09">Services!$J$187</definedName>
    <definedName name="S7B10">Services!$J$188</definedName>
    <definedName name="S8A01">Services!$J$191</definedName>
    <definedName name="S8A02">Services!$J$192</definedName>
    <definedName name="S8A03">Services!$J$193</definedName>
    <definedName name="S8B01">Services!$J$195</definedName>
    <definedName name="S8B02">Services!$J$196</definedName>
    <definedName name="S8B03">Services!$J$197</definedName>
    <definedName name="S8C01">Services!$J$199</definedName>
    <definedName name="S8C02">Services!$J$200</definedName>
    <definedName name="S8C03">Services!#REF!</definedName>
    <definedName name="Tab_actions">Plans_action!$J$1:$AH$203</definedName>
    <definedName name="Tab_ActS">Actifs_support!$C$3:$D$15</definedName>
    <definedName name="Tab_classif">Classif!$A$4:$H$18</definedName>
    <definedName name="Tab_classif_data" localSheetId="22">'Risk%actif'!$A$5:$P$8</definedName>
    <definedName name="Tab_classif_servIR">Classif!$A$15:$F$16</definedName>
    <definedName name="Tab_event">Expo!$E$3:$I$34</definedName>
    <definedName name="Tab_SDom">Dommages!$D$4:$F$15</definedName>
    <definedName name="Tab_vul">#REF!</definedName>
    <definedName name="Tmax">Param!$B$5</definedName>
    <definedName name="Tmin">Param!$B$6</definedName>
    <definedName name="Tservfonct">Des_Projets!$A$116:$B$206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0" i="60" l="1"/>
  <c r="F99" i="60"/>
  <c r="F98" i="60"/>
  <c r="F97" i="60"/>
  <c r="F96" i="60"/>
  <c r="F95" i="60"/>
  <c r="F94" i="60"/>
  <c r="F93" i="60"/>
  <c r="F92" i="60"/>
  <c r="F91" i="60"/>
  <c r="F90" i="60"/>
  <c r="F89" i="60"/>
  <c r="F88" i="60"/>
  <c r="F87" i="60"/>
  <c r="F86" i="60"/>
  <c r="F85" i="60"/>
  <c r="F84" i="60"/>
  <c r="F83" i="60"/>
  <c r="F82" i="60"/>
  <c r="F81" i="60"/>
  <c r="F80" i="60"/>
  <c r="F79" i="60"/>
  <c r="F78" i="60"/>
  <c r="F77" i="60"/>
  <c r="F76" i="60"/>
  <c r="F75" i="60"/>
  <c r="F74" i="60"/>
  <c r="F73" i="60"/>
  <c r="F72" i="60"/>
  <c r="F71" i="60"/>
  <c r="F70" i="60"/>
  <c r="F69" i="60"/>
  <c r="F68" i="60"/>
  <c r="F67" i="60"/>
  <c r="F65" i="60"/>
  <c r="F64" i="60"/>
  <c r="F63" i="60"/>
  <c r="F62" i="60"/>
  <c r="F61" i="60"/>
  <c r="F60" i="60"/>
  <c r="F59" i="60"/>
  <c r="F58" i="60"/>
  <c r="F57" i="60"/>
  <c r="F56" i="60"/>
  <c r="F55" i="60"/>
  <c r="F54" i="60"/>
  <c r="F53" i="60"/>
  <c r="F52" i="60"/>
  <c r="F50" i="60"/>
  <c r="F49" i="60"/>
  <c r="F48" i="60"/>
  <c r="F47" i="60"/>
  <c r="F46" i="60"/>
  <c r="F45" i="60"/>
  <c r="F44" i="60"/>
  <c r="F43" i="60"/>
  <c r="F41" i="60"/>
  <c r="F40" i="60"/>
  <c r="F39" i="60"/>
  <c r="F38" i="60"/>
  <c r="F37" i="60"/>
  <c r="F36" i="60"/>
  <c r="F35" i="60"/>
  <c r="F34" i="60"/>
  <c r="F33" i="60"/>
  <c r="F32" i="60"/>
  <c r="F31" i="60"/>
  <c r="F30" i="60"/>
  <c r="F29" i="60"/>
  <c r="F28" i="60"/>
  <c r="F27" i="60"/>
  <c r="F26" i="60"/>
  <c r="F25" i="60"/>
  <c r="F24" i="60"/>
  <c r="F23" i="60"/>
  <c r="F22" i="60"/>
  <c r="F21" i="60"/>
  <c r="F20" i="60"/>
  <c r="F19" i="60"/>
  <c r="F18" i="60"/>
  <c r="F17" i="60"/>
  <c r="F16" i="60"/>
  <c r="F15" i="60"/>
  <c r="F14" i="60"/>
  <c r="F13" i="60"/>
  <c r="F12" i="60"/>
  <c r="F11" i="60"/>
  <c r="F10" i="60"/>
  <c r="F9" i="60"/>
  <c r="F8" i="60"/>
  <c r="F7" i="60"/>
  <c r="F6" i="60"/>
  <c r="F5" i="60"/>
  <c r="J56" i="61" l="1"/>
  <c r="J57" i="61"/>
  <c r="J58" i="61"/>
  <c r="J59" i="61"/>
  <c r="H56" i="61"/>
  <c r="H57" i="61"/>
  <c r="H58" i="61"/>
  <c r="H59" i="61"/>
  <c r="G8" i="67" l="1"/>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I197" i="61"/>
  <c r="I196" i="61"/>
  <c r="I195" i="61"/>
  <c r="I193" i="61"/>
  <c r="I192" i="61"/>
  <c r="I191" i="61"/>
  <c r="I188" i="61"/>
  <c r="I124" i="61"/>
  <c r="I123" i="61"/>
  <c r="I122" i="61"/>
  <c r="I70" i="61"/>
  <c r="I119" i="61"/>
  <c r="I117" i="61"/>
  <c r="I167" i="61"/>
  <c r="I160" i="61"/>
  <c r="I68" i="61"/>
  <c r="I67" i="61"/>
  <c r="I149" i="61"/>
  <c r="I148" i="61"/>
  <c r="I147" i="61"/>
  <c r="I146" i="61"/>
  <c r="I130" i="61"/>
  <c r="I129" i="61"/>
  <c r="I107" i="61"/>
  <c r="I153" i="61"/>
  <c r="I155" i="61"/>
  <c r="I151" i="61"/>
  <c r="I127" i="61"/>
  <c r="I152" i="61"/>
  <c r="I164" i="61"/>
  <c r="I128" i="61"/>
  <c r="I65" i="61"/>
  <c r="I71" i="61"/>
  <c r="I118" i="61"/>
  <c r="I165" i="61"/>
  <c r="I161" i="61"/>
  <c r="I156" i="61"/>
  <c r="I134" i="61"/>
  <c r="I163" i="61"/>
  <c r="I135" i="61"/>
  <c r="I139" i="61"/>
  <c r="I110" i="61"/>
  <c r="I98" i="61"/>
  <c r="I131" i="61"/>
  <c r="I99" i="61"/>
  <c r="I81" i="61"/>
  <c r="I186" i="61"/>
  <c r="I180" i="61"/>
  <c r="I102" i="61"/>
  <c r="I93" i="61"/>
  <c r="I132" i="61"/>
  <c r="I104" i="61"/>
  <c r="I172" i="61"/>
  <c r="I159" i="61"/>
  <c r="I82" i="61"/>
  <c r="I80" i="61"/>
  <c r="I79" i="61"/>
  <c r="I77" i="61"/>
  <c r="I75" i="61"/>
  <c r="I46" i="61"/>
  <c r="I45" i="61"/>
  <c r="I44" i="61"/>
  <c r="I63" i="61"/>
  <c r="I64" i="61"/>
  <c r="I62" i="61"/>
  <c r="I61" i="61"/>
  <c r="I32" i="61"/>
  <c r="I30" i="61"/>
  <c r="I31" i="61"/>
  <c r="I142" i="61"/>
  <c r="I109" i="61"/>
  <c r="I141" i="61"/>
  <c r="I108" i="61"/>
  <c r="I90" i="61"/>
  <c r="I25" i="61"/>
  <c r="I144" i="61"/>
  <c r="I137" i="61"/>
  <c r="I116" i="61"/>
  <c r="I92" i="61"/>
  <c r="I86" i="61"/>
  <c r="I169" i="61"/>
  <c r="I168" i="61"/>
  <c r="I166" i="61"/>
  <c r="I91" i="61"/>
  <c r="I42" i="61"/>
  <c r="I84" i="61"/>
  <c r="I54" i="61"/>
  <c r="I52" i="61"/>
  <c r="I106" i="61"/>
  <c r="G200" i="61"/>
  <c r="F200" i="61"/>
  <c r="E200" i="61"/>
  <c r="D200" i="61"/>
  <c r="G199" i="61"/>
  <c r="F199" i="61"/>
  <c r="E199" i="61"/>
  <c r="D199" i="61"/>
  <c r="G197" i="61"/>
  <c r="F197" i="61"/>
  <c r="E197" i="61"/>
  <c r="D197" i="61"/>
  <c r="G196" i="61"/>
  <c r="F196" i="61"/>
  <c r="E196" i="61"/>
  <c r="D196" i="61"/>
  <c r="G195" i="61"/>
  <c r="F195" i="61"/>
  <c r="E195" i="61"/>
  <c r="D195" i="61"/>
  <c r="G193" i="61"/>
  <c r="F193" i="61"/>
  <c r="E193" i="61"/>
  <c r="D193" i="61"/>
  <c r="G192" i="61"/>
  <c r="F192" i="61"/>
  <c r="E192" i="61"/>
  <c r="D192" i="61"/>
  <c r="G191" i="61"/>
  <c r="F191" i="61"/>
  <c r="E191" i="61"/>
  <c r="G188" i="61"/>
  <c r="F188" i="61"/>
  <c r="E188" i="61"/>
  <c r="D188" i="61"/>
  <c r="G187" i="61"/>
  <c r="F187" i="61"/>
  <c r="E187" i="61"/>
  <c r="D187" i="61"/>
  <c r="G186" i="61"/>
  <c r="F186" i="61"/>
  <c r="E186" i="61"/>
  <c r="D186" i="61"/>
  <c r="G185" i="61"/>
  <c r="F185" i="61"/>
  <c r="E185" i="61"/>
  <c r="D185" i="61"/>
  <c r="G184" i="61"/>
  <c r="F184" i="61"/>
  <c r="E184" i="61"/>
  <c r="D184" i="61"/>
  <c r="G183" i="61"/>
  <c r="F183" i="61"/>
  <c r="E183" i="61"/>
  <c r="D183" i="61"/>
  <c r="G182" i="61"/>
  <c r="F182" i="61"/>
  <c r="E182" i="61"/>
  <c r="D182" i="61"/>
  <c r="G181" i="61"/>
  <c r="F181" i="61"/>
  <c r="E181" i="61"/>
  <c r="D181" i="61"/>
  <c r="G180" i="61"/>
  <c r="F180" i="61"/>
  <c r="E180" i="61"/>
  <c r="D180" i="61"/>
  <c r="G179" i="61"/>
  <c r="F179" i="61"/>
  <c r="E179" i="61"/>
  <c r="D179" i="61"/>
  <c r="G177" i="61"/>
  <c r="F177" i="61"/>
  <c r="E177" i="61"/>
  <c r="D177" i="61"/>
  <c r="G176" i="61"/>
  <c r="F176" i="61"/>
  <c r="E176" i="61"/>
  <c r="D176" i="61"/>
  <c r="G175" i="61"/>
  <c r="F175" i="61"/>
  <c r="E175" i="61"/>
  <c r="D175" i="61"/>
  <c r="G172" i="61"/>
  <c r="F172" i="61"/>
  <c r="E172" i="61"/>
  <c r="D172" i="61"/>
  <c r="G171" i="61"/>
  <c r="F171" i="61"/>
  <c r="E171" i="61"/>
  <c r="D171" i="61"/>
  <c r="G169" i="61"/>
  <c r="F169" i="61"/>
  <c r="E169" i="61"/>
  <c r="D169" i="61"/>
  <c r="G168" i="61"/>
  <c r="F168" i="61"/>
  <c r="E168" i="61"/>
  <c r="D168" i="61"/>
  <c r="G167" i="61"/>
  <c r="F167" i="61"/>
  <c r="E167" i="61"/>
  <c r="D167" i="61"/>
  <c r="G166" i="61"/>
  <c r="F166" i="61"/>
  <c r="E166" i="61"/>
  <c r="D166" i="61"/>
  <c r="G165" i="61"/>
  <c r="F165" i="61"/>
  <c r="E165" i="61"/>
  <c r="G164" i="61"/>
  <c r="F164" i="61"/>
  <c r="E164" i="61"/>
  <c r="D164" i="61"/>
  <c r="G163" i="61"/>
  <c r="F163" i="61"/>
  <c r="E163" i="61"/>
  <c r="G161" i="61"/>
  <c r="F161" i="61"/>
  <c r="E161" i="61"/>
  <c r="D161" i="61"/>
  <c r="G160" i="61"/>
  <c r="F160" i="61"/>
  <c r="E160" i="61"/>
  <c r="G159" i="61"/>
  <c r="F159" i="61"/>
  <c r="E159" i="61"/>
  <c r="D159" i="61"/>
  <c r="G156" i="61"/>
  <c r="F156" i="61"/>
  <c r="E156" i="61"/>
  <c r="D156" i="61"/>
  <c r="G155" i="61"/>
  <c r="F155" i="61"/>
  <c r="E155" i="61"/>
  <c r="D155" i="61"/>
  <c r="G153" i="61"/>
  <c r="F153" i="61"/>
  <c r="E153" i="61"/>
  <c r="D153" i="61"/>
  <c r="G152" i="61"/>
  <c r="F152" i="61"/>
  <c r="E152" i="61"/>
  <c r="D152" i="61"/>
  <c r="G151" i="61"/>
  <c r="F151" i="61"/>
  <c r="E151" i="61"/>
  <c r="D151" i="61"/>
  <c r="G149" i="61"/>
  <c r="F149" i="61"/>
  <c r="E149" i="61"/>
  <c r="D149" i="61"/>
  <c r="G148" i="61"/>
  <c r="F148" i="61"/>
  <c r="E148" i="61"/>
  <c r="D148" i="61"/>
  <c r="G147" i="61"/>
  <c r="F147" i="61"/>
  <c r="E147" i="61"/>
  <c r="D147" i="61"/>
  <c r="G146" i="61"/>
  <c r="F146" i="61"/>
  <c r="E146" i="61"/>
  <c r="D146" i="61"/>
  <c r="G144" i="61"/>
  <c r="F144" i="61"/>
  <c r="E144" i="61"/>
  <c r="D144" i="61"/>
  <c r="G143" i="61"/>
  <c r="F143" i="61"/>
  <c r="E143" i="61"/>
  <c r="D143" i="61"/>
  <c r="G142" i="61"/>
  <c r="F142" i="61"/>
  <c r="E142" i="61"/>
  <c r="G141" i="61"/>
  <c r="F141" i="61"/>
  <c r="E141" i="61"/>
  <c r="D141" i="61"/>
  <c r="G139" i="61"/>
  <c r="F139" i="61"/>
  <c r="E139" i="61"/>
  <c r="D139" i="61"/>
  <c r="G138" i="61"/>
  <c r="F138" i="61"/>
  <c r="E138" i="61"/>
  <c r="D138" i="61"/>
  <c r="G137" i="61"/>
  <c r="F137" i="61"/>
  <c r="E137" i="61"/>
  <c r="D137" i="61"/>
  <c r="G135" i="61"/>
  <c r="F135" i="61"/>
  <c r="E135" i="61"/>
  <c r="D135" i="61"/>
  <c r="G134" i="61"/>
  <c r="F134" i="61"/>
  <c r="E134" i="61"/>
  <c r="D134" i="61"/>
  <c r="G132" i="61"/>
  <c r="F132" i="61"/>
  <c r="E132" i="61"/>
  <c r="D132" i="61"/>
  <c r="G131" i="61"/>
  <c r="F131" i="61"/>
  <c r="E131" i="61"/>
  <c r="D131" i="61"/>
  <c r="G130" i="61"/>
  <c r="F130" i="61"/>
  <c r="E130" i="61"/>
  <c r="D130" i="61"/>
  <c r="G129" i="61"/>
  <c r="F129" i="61"/>
  <c r="E129" i="61"/>
  <c r="D129" i="61"/>
  <c r="G128" i="61"/>
  <c r="F128" i="61"/>
  <c r="E128" i="61"/>
  <c r="D128" i="61"/>
  <c r="G127" i="61"/>
  <c r="F127" i="61"/>
  <c r="E127" i="61"/>
  <c r="G124" i="61"/>
  <c r="F124" i="61"/>
  <c r="E124" i="61"/>
  <c r="D124" i="61"/>
  <c r="G123" i="61"/>
  <c r="F123" i="61"/>
  <c r="E123" i="61"/>
  <c r="D123" i="61"/>
  <c r="G122" i="61"/>
  <c r="F122" i="61"/>
  <c r="E122" i="61"/>
  <c r="D122" i="61"/>
  <c r="G120" i="61"/>
  <c r="F120" i="61"/>
  <c r="E120" i="61"/>
  <c r="D120" i="61"/>
  <c r="G119" i="61"/>
  <c r="F119" i="61"/>
  <c r="E119" i="61"/>
  <c r="D119" i="61"/>
  <c r="G118" i="61"/>
  <c r="F118" i="61"/>
  <c r="E118" i="61"/>
  <c r="D118" i="61"/>
  <c r="G117" i="61"/>
  <c r="F117" i="61"/>
  <c r="E117" i="61"/>
  <c r="D117" i="61"/>
  <c r="G116" i="61"/>
  <c r="F116" i="61"/>
  <c r="E116" i="61"/>
  <c r="D116" i="61"/>
  <c r="G114" i="61"/>
  <c r="F114" i="61"/>
  <c r="E114" i="61"/>
  <c r="D114" i="61"/>
  <c r="G113" i="61"/>
  <c r="F113" i="61"/>
  <c r="E113" i="61"/>
  <c r="D113" i="61"/>
  <c r="G111" i="61"/>
  <c r="F111" i="61"/>
  <c r="E111" i="61"/>
  <c r="D111" i="61"/>
  <c r="G110" i="61"/>
  <c r="F110" i="61"/>
  <c r="E110" i="61"/>
  <c r="D110" i="61"/>
  <c r="G109" i="61"/>
  <c r="F109" i="61"/>
  <c r="E109" i="61"/>
  <c r="D109" i="61"/>
  <c r="G108" i="61"/>
  <c r="F108" i="61"/>
  <c r="E108" i="61"/>
  <c r="D108" i="61"/>
  <c r="G107" i="61"/>
  <c r="F107" i="61"/>
  <c r="E107" i="61"/>
  <c r="D107" i="61"/>
  <c r="G106" i="61"/>
  <c r="F106" i="61"/>
  <c r="E106" i="61"/>
  <c r="D106" i="61"/>
  <c r="G104" i="61"/>
  <c r="F104" i="61"/>
  <c r="E104" i="61"/>
  <c r="D104" i="61"/>
  <c r="G102" i="61"/>
  <c r="F102" i="61"/>
  <c r="E102" i="61"/>
  <c r="D102" i="61"/>
  <c r="G101" i="61"/>
  <c r="F101" i="61"/>
  <c r="E101" i="61"/>
  <c r="D101" i="61"/>
  <c r="G100" i="61"/>
  <c r="F100" i="61"/>
  <c r="E100" i="61"/>
  <c r="D100" i="61"/>
  <c r="G99" i="61"/>
  <c r="F99" i="61"/>
  <c r="E99" i="61"/>
  <c r="G98" i="61"/>
  <c r="F98" i="61"/>
  <c r="E98" i="61"/>
  <c r="D98" i="61"/>
  <c r="G97" i="61"/>
  <c r="F97" i="61"/>
  <c r="E97" i="61"/>
  <c r="D97" i="61"/>
  <c r="G96" i="61"/>
  <c r="F96" i="61"/>
  <c r="E96" i="61"/>
  <c r="D96" i="61"/>
  <c r="G95" i="61"/>
  <c r="F95" i="61"/>
  <c r="E95" i="61"/>
  <c r="D95" i="61"/>
  <c r="G94" i="61"/>
  <c r="F94" i="61"/>
  <c r="E94" i="61"/>
  <c r="D94" i="61"/>
  <c r="G93" i="61"/>
  <c r="F93" i="61"/>
  <c r="E93" i="61"/>
  <c r="D93" i="61"/>
  <c r="G92" i="61"/>
  <c r="F92" i="61"/>
  <c r="E92" i="61"/>
  <c r="G91" i="61"/>
  <c r="F91" i="61"/>
  <c r="E91" i="61"/>
  <c r="G90" i="61"/>
  <c r="F90" i="61"/>
  <c r="E90" i="61"/>
  <c r="G89" i="61"/>
  <c r="F89" i="61"/>
  <c r="E89" i="61"/>
  <c r="D89" i="61"/>
  <c r="G86" i="61"/>
  <c r="F86" i="61"/>
  <c r="E86" i="61"/>
  <c r="D86" i="61"/>
  <c r="G84" i="61"/>
  <c r="F84" i="61"/>
  <c r="E84" i="61"/>
  <c r="D84" i="61"/>
  <c r="G82" i="61"/>
  <c r="F82" i="61"/>
  <c r="E82" i="61"/>
  <c r="D82" i="61"/>
  <c r="G81" i="61"/>
  <c r="F81" i="61"/>
  <c r="E81" i="61"/>
  <c r="G80" i="61"/>
  <c r="F80" i="61"/>
  <c r="E80" i="61"/>
  <c r="G79" i="61"/>
  <c r="F79" i="61"/>
  <c r="E79" i="61"/>
  <c r="G78" i="61"/>
  <c r="F78" i="61"/>
  <c r="E78" i="61"/>
  <c r="D78" i="61"/>
  <c r="G77" i="61"/>
  <c r="F77" i="61"/>
  <c r="E77" i="61"/>
  <c r="D77" i="61"/>
  <c r="G76" i="61"/>
  <c r="F76" i="61"/>
  <c r="E76" i="61"/>
  <c r="G75" i="61"/>
  <c r="F75" i="61"/>
  <c r="E75" i="61"/>
  <c r="F74" i="61"/>
  <c r="E74" i="61"/>
  <c r="D74" i="61"/>
  <c r="G71" i="61"/>
  <c r="F71" i="61"/>
  <c r="E71" i="61"/>
  <c r="D71" i="61"/>
  <c r="G70" i="61"/>
  <c r="F70" i="61"/>
  <c r="E70" i="61"/>
  <c r="D70" i="61"/>
  <c r="G69" i="61"/>
  <c r="F69" i="61"/>
  <c r="E69" i="61"/>
  <c r="D69" i="61"/>
  <c r="G68" i="61"/>
  <c r="F68" i="61"/>
  <c r="E68" i="61"/>
  <c r="D68" i="61"/>
  <c r="G67" i="61"/>
  <c r="F67" i="61"/>
  <c r="E67" i="61"/>
  <c r="D67" i="61"/>
  <c r="G65" i="61"/>
  <c r="F65" i="61"/>
  <c r="E65" i="61"/>
  <c r="D65" i="61"/>
  <c r="G64" i="61"/>
  <c r="F64" i="61"/>
  <c r="E64" i="61"/>
  <c r="D64" i="61"/>
  <c r="G63" i="61"/>
  <c r="F63" i="61"/>
  <c r="E63" i="61"/>
  <c r="D63" i="61"/>
  <c r="G62" i="61"/>
  <c r="F62" i="61"/>
  <c r="E62" i="61"/>
  <c r="D62" i="61"/>
  <c r="G61" i="61"/>
  <c r="F61" i="61"/>
  <c r="E61" i="61"/>
  <c r="D61" i="61"/>
  <c r="G59" i="61"/>
  <c r="F59" i="61"/>
  <c r="E59" i="61"/>
  <c r="D59" i="61"/>
  <c r="G58" i="61"/>
  <c r="F58" i="61"/>
  <c r="E58" i="61"/>
  <c r="D58" i="61"/>
  <c r="G57" i="61"/>
  <c r="F57" i="61"/>
  <c r="E57" i="61"/>
  <c r="D57" i="61"/>
  <c r="G56" i="61"/>
  <c r="F56" i="61"/>
  <c r="E56" i="61"/>
  <c r="D56" i="61"/>
  <c r="G55" i="61"/>
  <c r="F55" i="61"/>
  <c r="E55" i="61"/>
  <c r="D55" i="61"/>
  <c r="G54" i="61"/>
  <c r="F54" i="61"/>
  <c r="E54" i="61"/>
  <c r="D54" i="61"/>
  <c r="G53" i="61"/>
  <c r="F53" i="61"/>
  <c r="E53" i="61"/>
  <c r="D53" i="61"/>
  <c r="G52" i="61"/>
  <c r="F52" i="61"/>
  <c r="E52" i="61"/>
  <c r="D52" i="61"/>
  <c r="G51" i="61"/>
  <c r="F51" i="61"/>
  <c r="E51" i="61"/>
  <c r="D51" i="61"/>
  <c r="G49" i="61"/>
  <c r="F49" i="61"/>
  <c r="E49" i="61"/>
  <c r="D49" i="61"/>
  <c r="G48" i="61"/>
  <c r="F48" i="61"/>
  <c r="E48" i="61"/>
  <c r="D48" i="61"/>
  <c r="G47" i="61"/>
  <c r="F47" i="61"/>
  <c r="E47" i="61"/>
  <c r="D47" i="61"/>
  <c r="G46" i="61"/>
  <c r="F46" i="61"/>
  <c r="E46" i="61"/>
  <c r="D46" i="61"/>
  <c r="G45" i="61"/>
  <c r="F45" i="61"/>
  <c r="E45" i="61"/>
  <c r="D45" i="61"/>
  <c r="G44" i="61"/>
  <c r="F44" i="61"/>
  <c r="E44" i="61"/>
  <c r="D44" i="61"/>
  <c r="G42" i="61"/>
  <c r="F42" i="61"/>
  <c r="E42" i="61"/>
  <c r="D42" i="61"/>
  <c r="G41" i="61"/>
  <c r="F41" i="61"/>
  <c r="E41" i="61"/>
  <c r="D41" i="61"/>
  <c r="G40" i="61"/>
  <c r="F40" i="61"/>
  <c r="E40" i="61"/>
  <c r="G37" i="61"/>
  <c r="F37" i="61"/>
  <c r="E37" i="61"/>
  <c r="D37" i="61"/>
  <c r="G36" i="61"/>
  <c r="F36" i="61"/>
  <c r="E36" i="61"/>
  <c r="D36" i="61"/>
  <c r="G35" i="61"/>
  <c r="F35" i="61"/>
  <c r="E35" i="61"/>
  <c r="D35" i="61"/>
  <c r="G34" i="61"/>
  <c r="F34" i="61"/>
  <c r="E34" i="61"/>
  <c r="D34" i="61"/>
  <c r="G32" i="61"/>
  <c r="F32" i="61"/>
  <c r="E32" i="61"/>
  <c r="G31" i="61"/>
  <c r="F31" i="61"/>
  <c r="E31" i="61"/>
  <c r="D31" i="61"/>
  <c r="G30" i="61"/>
  <c r="F30" i="61"/>
  <c r="E30" i="61"/>
  <c r="G28" i="61"/>
  <c r="F28" i="61"/>
  <c r="E28" i="61"/>
  <c r="D28" i="61"/>
  <c r="G27" i="61"/>
  <c r="F27" i="61"/>
  <c r="E27" i="61"/>
  <c r="D27" i="61"/>
  <c r="G25" i="61"/>
  <c r="F25" i="61"/>
  <c r="E25" i="61"/>
  <c r="G24" i="61"/>
  <c r="F24" i="61"/>
  <c r="E24" i="61"/>
  <c r="D24" i="61"/>
  <c r="G23" i="61"/>
  <c r="F23" i="61"/>
  <c r="E23" i="61"/>
  <c r="D23" i="61"/>
  <c r="G22" i="61"/>
  <c r="F22" i="61"/>
  <c r="E22" i="61"/>
  <c r="D22" i="61"/>
  <c r="G21" i="61"/>
  <c r="F21" i="61"/>
  <c r="E21" i="61"/>
  <c r="G20" i="61"/>
  <c r="F20" i="61"/>
  <c r="E20" i="61"/>
  <c r="G18" i="61"/>
  <c r="F18" i="61"/>
  <c r="E18" i="61"/>
  <c r="D18" i="61"/>
  <c r="G17" i="61"/>
  <c r="F17" i="61"/>
  <c r="E17" i="61"/>
  <c r="D17" i="61"/>
  <c r="G16" i="61"/>
  <c r="F16" i="61"/>
  <c r="E16" i="61"/>
  <c r="G15" i="61"/>
  <c r="F15" i="61"/>
  <c r="E15" i="61"/>
  <c r="D15" i="61"/>
  <c r="G14" i="61"/>
  <c r="F14" i="61"/>
  <c r="E14" i="61"/>
  <c r="D14" i="61"/>
  <c r="G13" i="61"/>
  <c r="F13" i="61"/>
  <c r="E13" i="61"/>
  <c r="D13" i="61"/>
  <c r="G12" i="61"/>
  <c r="F12" i="61"/>
  <c r="E12" i="61"/>
  <c r="D12" i="61"/>
  <c r="G11" i="61"/>
  <c r="F11" i="61"/>
  <c r="E11" i="61"/>
  <c r="G10" i="61"/>
  <c r="F10" i="61"/>
  <c r="E10" i="61"/>
  <c r="D10" i="61"/>
  <c r="G8" i="61"/>
  <c r="F8" i="61"/>
  <c r="E8" i="61"/>
  <c r="D8" i="61"/>
  <c r="F7" i="61"/>
  <c r="E7" i="61"/>
  <c r="AH60" i="63"/>
  <c r="AG60" i="63"/>
  <c r="AF60" i="63"/>
  <c r="AE60" i="63"/>
  <c r="AD60" i="63"/>
  <c r="AC60" i="63"/>
  <c r="AB60" i="63"/>
  <c r="AA60" i="63"/>
  <c r="AH59" i="63"/>
  <c r="AG59" i="63"/>
  <c r="AF59" i="63"/>
  <c r="AE59" i="63"/>
  <c r="AD59" i="63"/>
  <c r="AC59" i="63"/>
  <c r="AB59" i="63"/>
  <c r="AA59" i="63"/>
  <c r="AH57" i="63"/>
  <c r="AG57" i="63"/>
  <c r="AF57" i="63"/>
  <c r="AE57" i="63"/>
  <c r="AD57" i="63"/>
  <c r="AC57" i="63"/>
  <c r="AB57" i="63"/>
  <c r="AA57" i="63"/>
  <c r="AH56" i="63"/>
  <c r="AG56" i="63"/>
  <c r="AF56" i="63"/>
  <c r="AE56" i="63"/>
  <c r="AD56" i="63"/>
  <c r="AC56" i="63"/>
  <c r="AB56" i="63"/>
  <c r="AA56" i="63"/>
  <c r="AH55" i="63"/>
  <c r="AG55" i="63"/>
  <c r="AF55" i="63"/>
  <c r="AE55" i="63"/>
  <c r="AD55" i="63"/>
  <c r="AC55" i="63"/>
  <c r="AB55" i="63"/>
  <c r="AA55" i="63"/>
  <c r="AH54" i="63"/>
  <c r="AG54" i="63"/>
  <c r="AF54" i="63"/>
  <c r="AE54" i="63"/>
  <c r="AD54" i="63"/>
  <c r="AC54" i="63"/>
  <c r="AB54" i="63"/>
  <c r="AA54" i="63"/>
  <c r="AH51" i="63"/>
  <c r="AG51" i="63"/>
  <c r="AF51" i="63"/>
  <c r="AE51" i="63"/>
  <c r="AD51" i="63"/>
  <c r="AC51" i="63"/>
  <c r="AB51" i="63"/>
  <c r="AA51" i="63"/>
  <c r="AH50" i="63"/>
  <c r="AG50" i="63"/>
  <c r="AF50" i="63"/>
  <c r="AE50" i="63"/>
  <c r="AD50" i="63"/>
  <c r="AC50" i="63"/>
  <c r="AB50" i="63"/>
  <c r="AA50" i="63"/>
  <c r="AH49" i="63"/>
  <c r="AG49" i="63"/>
  <c r="AF49" i="63"/>
  <c r="AE49" i="63"/>
  <c r="AD49" i="63"/>
  <c r="AC49" i="63"/>
  <c r="AB49" i="63"/>
  <c r="AA49" i="63"/>
  <c r="AH48" i="63"/>
  <c r="AG48" i="63"/>
  <c r="AF48" i="63"/>
  <c r="AE48" i="63"/>
  <c r="AD48" i="63"/>
  <c r="AC48" i="63"/>
  <c r="AB48" i="63"/>
  <c r="AA48" i="63"/>
  <c r="AH46" i="63"/>
  <c r="AG46" i="63"/>
  <c r="AF46" i="63"/>
  <c r="AE46" i="63"/>
  <c r="AD46" i="63"/>
  <c r="AC46" i="63"/>
  <c r="AB46" i="63"/>
  <c r="AA46" i="63"/>
  <c r="AH45" i="63"/>
  <c r="AG45" i="63"/>
  <c r="AF45" i="63"/>
  <c r="AE45" i="63"/>
  <c r="AD45" i="63"/>
  <c r="AC45" i="63"/>
  <c r="AB45" i="63"/>
  <c r="AA45" i="63"/>
  <c r="AH44" i="63"/>
  <c r="AG44" i="63"/>
  <c r="AF44" i="63"/>
  <c r="AE44" i="63"/>
  <c r="AD44" i="63"/>
  <c r="AC44" i="63"/>
  <c r="AB44" i="63"/>
  <c r="AA44" i="63"/>
  <c r="AH43" i="63"/>
  <c r="AG43" i="63"/>
  <c r="AF43" i="63"/>
  <c r="AE43" i="63"/>
  <c r="AD43" i="63"/>
  <c r="AC43" i="63"/>
  <c r="AB43" i="63"/>
  <c r="AA43" i="63"/>
  <c r="AH41" i="63"/>
  <c r="AG41" i="63"/>
  <c r="AF41" i="63"/>
  <c r="AE41" i="63"/>
  <c r="AD41" i="63"/>
  <c r="AC41" i="63"/>
  <c r="AB41" i="63"/>
  <c r="AA41" i="63"/>
  <c r="AH40" i="63"/>
  <c r="AG40" i="63"/>
  <c r="AF40" i="63"/>
  <c r="AE40" i="63"/>
  <c r="AD40" i="63"/>
  <c r="AC40" i="63"/>
  <c r="AB40" i="63"/>
  <c r="AA40" i="63"/>
  <c r="AH39" i="63"/>
  <c r="AG39" i="63"/>
  <c r="AF39" i="63"/>
  <c r="AE39" i="63"/>
  <c r="AD39" i="63"/>
  <c r="AC39" i="63"/>
  <c r="AB39" i="63"/>
  <c r="AA39" i="63"/>
  <c r="AH38" i="63"/>
  <c r="AG38" i="63"/>
  <c r="AF38" i="63"/>
  <c r="AE38" i="63"/>
  <c r="AD38" i="63"/>
  <c r="AC38" i="63"/>
  <c r="AB38" i="63"/>
  <c r="AA38" i="63"/>
  <c r="AH37" i="63"/>
  <c r="AG37" i="63"/>
  <c r="AF37" i="63"/>
  <c r="AE37" i="63"/>
  <c r="AD37" i="63"/>
  <c r="AC37" i="63"/>
  <c r="AB37" i="63"/>
  <c r="AA37" i="63"/>
  <c r="AH36" i="63"/>
  <c r="AG36" i="63"/>
  <c r="AF36" i="63"/>
  <c r="AE36" i="63"/>
  <c r="AD36" i="63"/>
  <c r="AC36" i="63"/>
  <c r="AB36" i="63"/>
  <c r="AA36" i="63"/>
  <c r="AH35" i="63"/>
  <c r="AG35" i="63"/>
  <c r="AF35" i="63"/>
  <c r="AE35" i="63"/>
  <c r="AD35" i="63"/>
  <c r="AC35" i="63"/>
  <c r="AB35" i="63"/>
  <c r="AA35" i="63"/>
  <c r="AH34" i="63"/>
  <c r="AG34" i="63"/>
  <c r="AF34" i="63"/>
  <c r="AE34" i="63"/>
  <c r="AD34" i="63"/>
  <c r="AC34" i="63"/>
  <c r="AB34" i="63"/>
  <c r="AA34" i="63"/>
  <c r="AH33" i="63"/>
  <c r="AG33" i="63"/>
  <c r="AF33" i="63"/>
  <c r="AE33" i="63"/>
  <c r="AD33" i="63"/>
  <c r="AC33" i="63"/>
  <c r="AB33" i="63"/>
  <c r="AA33" i="63"/>
  <c r="AH32" i="63"/>
  <c r="AG32" i="63"/>
  <c r="AF32" i="63"/>
  <c r="AE32" i="63"/>
  <c r="AD32" i="63"/>
  <c r="AC32" i="63"/>
  <c r="AB32" i="63"/>
  <c r="AA32" i="63"/>
  <c r="AH29" i="63"/>
  <c r="AG29" i="63"/>
  <c r="AF29" i="63"/>
  <c r="AE29" i="63"/>
  <c r="AD29" i="63"/>
  <c r="AC29" i="63"/>
  <c r="AB29" i="63"/>
  <c r="AA29" i="63"/>
  <c r="AH28" i="63"/>
  <c r="AG28" i="63"/>
  <c r="AF28" i="63"/>
  <c r="AE28" i="63"/>
  <c r="AD28" i="63"/>
  <c r="AC28" i="63"/>
  <c r="AB28" i="63"/>
  <c r="AA28" i="63"/>
  <c r="AH27" i="63"/>
  <c r="AG27" i="63"/>
  <c r="AF27" i="63"/>
  <c r="AE27" i="63"/>
  <c r="AD27" i="63"/>
  <c r="AC27" i="63"/>
  <c r="AB27" i="63"/>
  <c r="AA27" i="63"/>
  <c r="AH26" i="63"/>
  <c r="AG26" i="63"/>
  <c r="AF26" i="63"/>
  <c r="AE26" i="63"/>
  <c r="AD26" i="63"/>
  <c r="AC26" i="63"/>
  <c r="AB26" i="63"/>
  <c r="AA26" i="63"/>
  <c r="AH24" i="63"/>
  <c r="AG24" i="63"/>
  <c r="AF24" i="63"/>
  <c r="AE24" i="63"/>
  <c r="AD24" i="63"/>
  <c r="AC24" i="63"/>
  <c r="AB24" i="63"/>
  <c r="AA24" i="63"/>
  <c r="AH23" i="63"/>
  <c r="AG23" i="63"/>
  <c r="AF23" i="63"/>
  <c r="AE23" i="63"/>
  <c r="AD23" i="63"/>
  <c r="AC23" i="63"/>
  <c r="AB23" i="63"/>
  <c r="AA23" i="63"/>
  <c r="AH22" i="63"/>
  <c r="AG22" i="63"/>
  <c r="AF22" i="63"/>
  <c r="AE22" i="63"/>
  <c r="AD22" i="63"/>
  <c r="AC22" i="63"/>
  <c r="AB22" i="63"/>
  <c r="AA22" i="63"/>
  <c r="AH21" i="63"/>
  <c r="AG21" i="63"/>
  <c r="AF21" i="63"/>
  <c r="AE21" i="63"/>
  <c r="AD21" i="63"/>
  <c r="AC21" i="63"/>
  <c r="AB21" i="63"/>
  <c r="AA21" i="63"/>
  <c r="AH19" i="63"/>
  <c r="AG19" i="63"/>
  <c r="AF19" i="63"/>
  <c r="AE19" i="63"/>
  <c r="AD19" i="63"/>
  <c r="AC19" i="63"/>
  <c r="AB19" i="63"/>
  <c r="AA19" i="63"/>
  <c r="AH18" i="63"/>
  <c r="AG18" i="63"/>
  <c r="AF18" i="63"/>
  <c r="AE18" i="63"/>
  <c r="AD18" i="63"/>
  <c r="AC18" i="63"/>
  <c r="AB18" i="63"/>
  <c r="AA18" i="63"/>
  <c r="AH17" i="63"/>
  <c r="AG17" i="63"/>
  <c r="AF17" i="63"/>
  <c r="AE17" i="63"/>
  <c r="AD17" i="63"/>
  <c r="AC17" i="63"/>
  <c r="AB17" i="63"/>
  <c r="AA17" i="63"/>
  <c r="AH16" i="63"/>
  <c r="AG16" i="63"/>
  <c r="AF16" i="63"/>
  <c r="AE16" i="63"/>
  <c r="AD16" i="63"/>
  <c r="AC16" i="63"/>
  <c r="AB16" i="63"/>
  <c r="AA16" i="63"/>
  <c r="AH15" i="63"/>
  <c r="AG15" i="63"/>
  <c r="AF15" i="63"/>
  <c r="AE15" i="63"/>
  <c r="AD15" i="63"/>
  <c r="AC15" i="63"/>
  <c r="AB15" i="63"/>
  <c r="AA15" i="63"/>
  <c r="AH14" i="63"/>
  <c r="AG14" i="63"/>
  <c r="AF14" i="63"/>
  <c r="AE14" i="63"/>
  <c r="AD14" i="63"/>
  <c r="AC14" i="63"/>
  <c r="AB14" i="63"/>
  <c r="AA14" i="63"/>
  <c r="AH13" i="63"/>
  <c r="AG13" i="63"/>
  <c r="AF13" i="63"/>
  <c r="AE13" i="63"/>
  <c r="AD13" i="63"/>
  <c r="AC13" i="63"/>
  <c r="AB13" i="63"/>
  <c r="AA13" i="63"/>
  <c r="AH12" i="63"/>
  <c r="AG12" i="63"/>
  <c r="AF12" i="63"/>
  <c r="AE12" i="63"/>
  <c r="AD12" i="63"/>
  <c r="AC12" i="63"/>
  <c r="AB12" i="63"/>
  <c r="AA12" i="63"/>
  <c r="AH11" i="63"/>
  <c r="AG11" i="63"/>
  <c r="AF11" i="63"/>
  <c r="AE11" i="63"/>
  <c r="AD11" i="63"/>
  <c r="AC11" i="63"/>
  <c r="AB11" i="63"/>
  <c r="AA11" i="63"/>
  <c r="AH10" i="63"/>
  <c r="AG10" i="63"/>
  <c r="AF10" i="63"/>
  <c r="AE10" i="63"/>
  <c r="AD10" i="63"/>
  <c r="AC10" i="63"/>
  <c r="AB10" i="63"/>
  <c r="AA10" i="63"/>
  <c r="AH9" i="63"/>
  <c r="AG9" i="63"/>
  <c r="AF9" i="63"/>
  <c r="AE9" i="63"/>
  <c r="AD9" i="63"/>
  <c r="AC9" i="63"/>
  <c r="AB9" i="63"/>
  <c r="AA9" i="63"/>
  <c r="AH8" i="63"/>
  <c r="AG8" i="63"/>
  <c r="AF8" i="63"/>
  <c r="AE8" i="63"/>
  <c r="AD8" i="63"/>
  <c r="AC8" i="63"/>
  <c r="AB8" i="63"/>
  <c r="AA8" i="63"/>
  <c r="AH7" i="63"/>
  <c r="AG7" i="63"/>
  <c r="AF7" i="63"/>
  <c r="AE7" i="63"/>
  <c r="AD7" i="63"/>
  <c r="AC7" i="63"/>
  <c r="AB7" i="63"/>
  <c r="AA7" i="63"/>
  <c r="AH6" i="63"/>
  <c r="AG6" i="63"/>
  <c r="AF6" i="63"/>
  <c r="AE6" i="63"/>
  <c r="AD6" i="63"/>
  <c r="AC6" i="63"/>
  <c r="AB6" i="63"/>
  <c r="AA6" i="63"/>
  <c r="AH5" i="63"/>
  <c r="AG5" i="63"/>
  <c r="AF5" i="63"/>
  <c r="AE5" i="63"/>
  <c r="AD5" i="63"/>
  <c r="AC5" i="63"/>
  <c r="AB5" i="63"/>
  <c r="AA5" i="63"/>
  <c r="AH80" i="65"/>
  <c r="AG80" i="65"/>
  <c r="AF80" i="65"/>
  <c r="AE80" i="65"/>
  <c r="AD80" i="65"/>
  <c r="AC80" i="65"/>
  <c r="AB80" i="65"/>
  <c r="AA80" i="65"/>
  <c r="AH79" i="65"/>
  <c r="AG79" i="65"/>
  <c r="AF79" i="65"/>
  <c r="AE79" i="65"/>
  <c r="AD79" i="65"/>
  <c r="AC79" i="65"/>
  <c r="AB79" i="65"/>
  <c r="AA79" i="65"/>
  <c r="AH78" i="65"/>
  <c r="AG78" i="65"/>
  <c r="AF78" i="65"/>
  <c r="AE78" i="65"/>
  <c r="AD78" i="65"/>
  <c r="AC78" i="65"/>
  <c r="AB78" i="65"/>
  <c r="AA78" i="65"/>
  <c r="AH77" i="65"/>
  <c r="AG77" i="65"/>
  <c r="AF77" i="65"/>
  <c r="AE77" i="65"/>
  <c r="AD77" i="65"/>
  <c r="AC77" i="65"/>
  <c r="AB77" i="65"/>
  <c r="AA77" i="65"/>
  <c r="AH76" i="65"/>
  <c r="AG76" i="65"/>
  <c r="AF76" i="65"/>
  <c r="AE76" i="65"/>
  <c r="AD76" i="65"/>
  <c r="AC76" i="65"/>
  <c r="AB76" i="65"/>
  <c r="AA76" i="65"/>
  <c r="AH75" i="65"/>
  <c r="AG75" i="65"/>
  <c r="AF75" i="65"/>
  <c r="AE75" i="65"/>
  <c r="AD75" i="65"/>
  <c r="AC75" i="65"/>
  <c r="AB75" i="65"/>
  <c r="AA75" i="65"/>
  <c r="AH73" i="65"/>
  <c r="AG73" i="65"/>
  <c r="AF73" i="65"/>
  <c r="AE73" i="65"/>
  <c r="AD73" i="65"/>
  <c r="AC73" i="65"/>
  <c r="AB73" i="65"/>
  <c r="AA73" i="65"/>
  <c r="AH72" i="65"/>
  <c r="AG72" i="65"/>
  <c r="AF72" i="65"/>
  <c r="AE72" i="65"/>
  <c r="AD72" i="65"/>
  <c r="AC72" i="65"/>
  <c r="AB72" i="65"/>
  <c r="AA72" i="65"/>
  <c r="AH71" i="65"/>
  <c r="AG71" i="65"/>
  <c r="AF71" i="65"/>
  <c r="AE71" i="65"/>
  <c r="AD71" i="65"/>
  <c r="AC71" i="65"/>
  <c r="AB71" i="65"/>
  <c r="AA71" i="65"/>
  <c r="AH70" i="65"/>
  <c r="AG70" i="65"/>
  <c r="AF70" i="65"/>
  <c r="AE70" i="65"/>
  <c r="AD70" i="65"/>
  <c r="AC70" i="65"/>
  <c r="AB70" i="65"/>
  <c r="AA70" i="65"/>
  <c r="AH69" i="65"/>
  <c r="AG69" i="65"/>
  <c r="AF69" i="65"/>
  <c r="AE69" i="65"/>
  <c r="AD69" i="65"/>
  <c r="AC69" i="65"/>
  <c r="AB69" i="65"/>
  <c r="AA69" i="65"/>
  <c r="AH67" i="65"/>
  <c r="AG67" i="65"/>
  <c r="AF67" i="65"/>
  <c r="AE67" i="65"/>
  <c r="AD67" i="65"/>
  <c r="AC67" i="65"/>
  <c r="AB67" i="65"/>
  <c r="AA67" i="65"/>
  <c r="AH66" i="65"/>
  <c r="AG66" i="65"/>
  <c r="AF66" i="65"/>
  <c r="AE66" i="65"/>
  <c r="AD66" i="65"/>
  <c r="AC66" i="65"/>
  <c r="AB66" i="65"/>
  <c r="AA66" i="65"/>
  <c r="AH65" i="65"/>
  <c r="AG65" i="65"/>
  <c r="AF65" i="65"/>
  <c r="AE65" i="65"/>
  <c r="AD65" i="65"/>
  <c r="AC65" i="65"/>
  <c r="AB65" i="65"/>
  <c r="AA65" i="65"/>
  <c r="AH64" i="65"/>
  <c r="AG64" i="65"/>
  <c r="AF64" i="65"/>
  <c r="AE64" i="65"/>
  <c r="AD64" i="65"/>
  <c r="AC64" i="65"/>
  <c r="AB64" i="65"/>
  <c r="AA64" i="65"/>
  <c r="AH63" i="65"/>
  <c r="AG63" i="65"/>
  <c r="AF63" i="65"/>
  <c r="AE63" i="65"/>
  <c r="AD63" i="65"/>
  <c r="AC63" i="65"/>
  <c r="AB63" i="65"/>
  <c r="AA63" i="65"/>
  <c r="AH62" i="65"/>
  <c r="AG62" i="65"/>
  <c r="AF62" i="65"/>
  <c r="AE62" i="65"/>
  <c r="AD62" i="65"/>
  <c r="AC62" i="65"/>
  <c r="AB62" i="65"/>
  <c r="AA62" i="65"/>
  <c r="AH61" i="65"/>
  <c r="AG61" i="65"/>
  <c r="AF61" i="65"/>
  <c r="AE61" i="65"/>
  <c r="AD61" i="65"/>
  <c r="AC61" i="65"/>
  <c r="AB61" i="65"/>
  <c r="AA61" i="65"/>
  <c r="AH60" i="65"/>
  <c r="AG60" i="65"/>
  <c r="AF60" i="65"/>
  <c r="AE60" i="65"/>
  <c r="AD60" i="65"/>
  <c r="AC60" i="65"/>
  <c r="AB60" i="65"/>
  <c r="AA60" i="65"/>
  <c r="AH59" i="65"/>
  <c r="AG59" i="65"/>
  <c r="AF59" i="65"/>
  <c r="AE59" i="65"/>
  <c r="AD59" i="65"/>
  <c r="AC59" i="65"/>
  <c r="AB59" i="65"/>
  <c r="AA59" i="65"/>
  <c r="AH57" i="65"/>
  <c r="AG57" i="65"/>
  <c r="AF57" i="65"/>
  <c r="AE57" i="65"/>
  <c r="AD57" i="65"/>
  <c r="AC57" i="65"/>
  <c r="AB57" i="65"/>
  <c r="AA57" i="65"/>
  <c r="AH56" i="65"/>
  <c r="AG56" i="65"/>
  <c r="AF56" i="65"/>
  <c r="AE56" i="65"/>
  <c r="AD56" i="65"/>
  <c r="AC56" i="65"/>
  <c r="AB56" i="65"/>
  <c r="AA56" i="65"/>
  <c r="AH55" i="65"/>
  <c r="AG55" i="65"/>
  <c r="AF55" i="65"/>
  <c r="AE55" i="65"/>
  <c r="AD55" i="65"/>
  <c r="AC55" i="65"/>
  <c r="AB55" i="65"/>
  <c r="AA55" i="65"/>
  <c r="AH53" i="65"/>
  <c r="AG53" i="65"/>
  <c r="AF53" i="65"/>
  <c r="AE53" i="65"/>
  <c r="AD53" i="65"/>
  <c r="AC53" i="65"/>
  <c r="AB53" i="65"/>
  <c r="AA53" i="65"/>
  <c r="AH52" i="65"/>
  <c r="AG52" i="65"/>
  <c r="AF52" i="65"/>
  <c r="AE52" i="65"/>
  <c r="AD52" i="65"/>
  <c r="AC52" i="65"/>
  <c r="AB52" i="65"/>
  <c r="AA52" i="65"/>
  <c r="AH51" i="65"/>
  <c r="AG51" i="65"/>
  <c r="AF51" i="65"/>
  <c r="AE51" i="65"/>
  <c r="AD51" i="65"/>
  <c r="AC51" i="65"/>
  <c r="AB51" i="65"/>
  <c r="AA51" i="65"/>
  <c r="AH50" i="65"/>
  <c r="AG50" i="65"/>
  <c r="AF50" i="65"/>
  <c r="AE50" i="65"/>
  <c r="AD50" i="65"/>
  <c r="AC50" i="65"/>
  <c r="AB50" i="65"/>
  <c r="AA50" i="65"/>
  <c r="AH48" i="65"/>
  <c r="AG48" i="65"/>
  <c r="AF48" i="65"/>
  <c r="AE48" i="65"/>
  <c r="AD48" i="65"/>
  <c r="AC48" i="65"/>
  <c r="AB48" i="65"/>
  <c r="AA48" i="65"/>
  <c r="AH47" i="65"/>
  <c r="AG47" i="65"/>
  <c r="AF47" i="65"/>
  <c r="AE47" i="65"/>
  <c r="AD47" i="65"/>
  <c r="AC47" i="65"/>
  <c r="AB47" i="65"/>
  <c r="AA47" i="65"/>
  <c r="AH46" i="65"/>
  <c r="AG46" i="65"/>
  <c r="AF46" i="65"/>
  <c r="AE46" i="65"/>
  <c r="AD46" i="65"/>
  <c r="AC46" i="65"/>
  <c r="AB46" i="65"/>
  <c r="AA46" i="65"/>
  <c r="AH44" i="65"/>
  <c r="AG44" i="65"/>
  <c r="AF44" i="65"/>
  <c r="AE44" i="65"/>
  <c r="AD44" i="65"/>
  <c r="AC44" i="65"/>
  <c r="AB44" i="65"/>
  <c r="AA44" i="65"/>
  <c r="AH43" i="65"/>
  <c r="AG43" i="65"/>
  <c r="AF43" i="65"/>
  <c r="AE43" i="65"/>
  <c r="AD43" i="65"/>
  <c r="AC43" i="65"/>
  <c r="AB43" i="65"/>
  <c r="AA43" i="65"/>
  <c r="AH42" i="65"/>
  <c r="AG42" i="65"/>
  <c r="AF42" i="65"/>
  <c r="AE42" i="65"/>
  <c r="AD42" i="65"/>
  <c r="AC42" i="65"/>
  <c r="AB42" i="65"/>
  <c r="AA42" i="65"/>
  <c r="AH40" i="65"/>
  <c r="AG40" i="65"/>
  <c r="AF40" i="65"/>
  <c r="AE40" i="65"/>
  <c r="AD40" i="65"/>
  <c r="AC40" i="65"/>
  <c r="AB40" i="65"/>
  <c r="AA40" i="65"/>
  <c r="AH39" i="65"/>
  <c r="AG39" i="65"/>
  <c r="AF39" i="65"/>
  <c r="AE39" i="65"/>
  <c r="AD39" i="65"/>
  <c r="AC39" i="65"/>
  <c r="AB39" i="65"/>
  <c r="AA39" i="65"/>
  <c r="AH38" i="65"/>
  <c r="AG38" i="65"/>
  <c r="AF38" i="65"/>
  <c r="AE38" i="65"/>
  <c r="AD38" i="65"/>
  <c r="AC38" i="65"/>
  <c r="AB38" i="65"/>
  <c r="AA38" i="65"/>
  <c r="AH37" i="65"/>
  <c r="AG37" i="65"/>
  <c r="AF37" i="65"/>
  <c r="AE37" i="65"/>
  <c r="AD37" i="65"/>
  <c r="AC37" i="65"/>
  <c r="AB37" i="65"/>
  <c r="AA37" i="65"/>
  <c r="AH36" i="65"/>
  <c r="AG36" i="65"/>
  <c r="AF36" i="65"/>
  <c r="AE36" i="65"/>
  <c r="AD36" i="65"/>
  <c r="AC36" i="65"/>
  <c r="AB36" i="65"/>
  <c r="AA36" i="65"/>
  <c r="AH34" i="65"/>
  <c r="AG34" i="65"/>
  <c r="AF34" i="65"/>
  <c r="AE34" i="65"/>
  <c r="AD34" i="65"/>
  <c r="AC34" i="65"/>
  <c r="AB34" i="65"/>
  <c r="AA34" i="65"/>
  <c r="AH33" i="65"/>
  <c r="AG33" i="65"/>
  <c r="AF33" i="65"/>
  <c r="AE33" i="65"/>
  <c r="AD33" i="65"/>
  <c r="AC33" i="65"/>
  <c r="AB33" i="65"/>
  <c r="AA33" i="65"/>
  <c r="AH32" i="65"/>
  <c r="AG32" i="65"/>
  <c r="AF32" i="65"/>
  <c r="AE32" i="65"/>
  <c r="AD32" i="65"/>
  <c r="AC32" i="65"/>
  <c r="AB32" i="65"/>
  <c r="AA32" i="65"/>
  <c r="AH31" i="65"/>
  <c r="AG31" i="65"/>
  <c r="AF31" i="65"/>
  <c r="AE31" i="65"/>
  <c r="AD31" i="65"/>
  <c r="AC31" i="65"/>
  <c r="AB31" i="65"/>
  <c r="AA31" i="65"/>
  <c r="AH30" i="65"/>
  <c r="AG30" i="65"/>
  <c r="AF30" i="65"/>
  <c r="AE30" i="65"/>
  <c r="AD30" i="65"/>
  <c r="AC30" i="65"/>
  <c r="AB30" i="65"/>
  <c r="AA30" i="65"/>
  <c r="AH29" i="65"/>
  <c r="AG29" i="65"/>
  <c r="AF29" i="65"/>
  <c r="AE29" i="65"/>
  <c r="AD29" i="65"/>
  <c r="AC29" i="65"/>
  <c r="AB29" i="65"/>
  <c r="AA29" i="65"/>
  <c r="AH28" i="65"/>
  <c r="AG28" i="65"/>
  <c r="AF28" i="65"/>
  <c r="AE28" i="65"/>
  <c r="AD28" i="65"/>
  <c r="AC28" i="65"/>
  <c r="AB28" i="65"/>
  <c r="AA28" i="65"/>
  <c r="AH27" i="65"/>
  <c r="AG27" i="65"/>
  <c r="AF27" i="65"/>
  <c r="AE27" i="65"/>
  <c r="AD27" i="65"/>
  <c r="AC27" i="65"/>
  <c r="AB27" i="65"/>
  <c r="AA27" i="65"/>
  <c r="AH26" i="65"/>
  <c r="AG26" i="65"/>
  <c r="AF26" i="65"/>
  <c r="AE26" i="65"/>
  <c r="AD26" i="65"/>
  <c r="AC26" i="65"/>
  <c r="AB26" i="65"/>
  <c r="AA26" i="65"/>
  <c r="AH24" i="65"/>
  <c r="AG24" i="65"/>
  <c r="AF24" i="65"/>
  <c r="AE24" i="65"/>
  <c r="AD24" i="65"/>
  <c r="AC24" i="65"/>
  <c r="AB24" i="65"/>
  <c r="AA24" i="65"/>
  <c r="AH23" i="65"/>
  <c r="AG23" i="65"/>
  <c r="AF23" i="65"/>
  <c r="AE23" i="65"/>
  <c r="AD23" i="65"/>
  <c r="AC23" i="65"/>
  <c r="AB23" i="65"/>
  <c r="AA23" i="65"/>
  <c r="AH22" i="65"/>
  <c r="AG22" i="65"/>
  <c r="AF22" i="65"/>
  <c r="AE22" i="65"/>
  <c r="AD22" i="65"/>
  <c r="AC22" i="65"/>
  <c r="AB22" i="65"/>
  <c r="AA22" i="65"/>
  <c r="AH19" i="65"/>
  <c r="AG19" i="65"/>
  <c r="AF19" i="65"/>
  <c r="AE19" i="65"/>
  <c r="AD19" i="65"/>
  <c r="AC19" i="65"/>
  <c r="AB19" i="65"/>
  <c r="AA19" i="65"/>
  <c r="AH18" i="65"/>
  <c r="AG18" i="65"/>
  <c r="AF18" i="65"/>
  <c r="AE18" i="65"/>
  <c r="AD18" i="65"/>
  <c r="AC18" i="65"/>
  <c r="AB18" i="65"/>
  <c r="AA18" i="65"/>
  <c r="AH16" i="65"/>
  <c r="AG16" i="65"/>
  <c r="AF16" i="65"/>
  <c r="AE16" i="65"/>
  <c r="AD16" i="65"/>
  <c r="AC16" i="65"/>
  <c r="AB16" i="65"/>
  <c r="AA16" i="65"/>
  <c r="AH15" i="65"/>
  <c r="AG15" i="65"/>
  <c r="AF15" i="65"/>
  <c r="AE15" i="65"/>
  <c r="AD15" i="65"/>
  <c r="AC15" i="65"/>
  <c r="AB15" i="65"/>
  <c r="AA15" i="65"/>
  <c r="AH13" i="65"/>
  <c r="AG13" i="65"/>
  <c r="AF13" i="65"/>
  <c r="AE13" i="65"/>
  <c r="AD13" i="65"/>
  <c r="AC13" i="65"/>
  <c r="AB13" i="65"/>
  <c r="AA13" i="65"/>
  <c r="AH12" i="65"/>
  <c r="AG12" i="65"/>
  <c r="AF12" i="65"/>
  <c r="AE12" i="65"/>
  <c r="AD12" i="65"/>
  <c r="AC12" i="65"/>
  <c r="AB12" i="65"/>
  <c r="AA12" i="65"/>
  <c r="AH11" i="65"/>
  <c r="AG11" i="65"/>
  <c r="AF11" i="65"/>
  <c r="AE11" i="65"/>
  <c r="AD11" i="65"/>
  <c r="AC11" i="65"/>
  <c r="AB11" i="65"/>
  <c r="AA11" i="65"/>
  <c r="AH10" i="65"/>
  <c r="AG10" i="65"/>
  <c r="AF10" i="65"/>
  <c r="AE10" i="65"/>
  <c r="AD10" i="65"/>
  <c r="AC10" i="65"/>
  <c r="AB10" i="65"/>
  <c r="AA10" i="65"/>
  <c r="AH9" i="65"/>
  <c r="AG9" i="65"/>
  <c r="AF9" i="65"/>
  <c r="AE9" i="65"/>
  <c r="AD9" i="65"/>
  <c r="AC9" i="65"/>
  <c r="AB9" i="65"/>
  <c r="AA9" i="65"/>
  <c r="AH8" i="65"/>
  <c r="AG8" i="65"/>
  <c r="AF8" i="65"/>
  <c r="AE8" i="65"/>
  <c r="AD8" i="65"/>
  <c r="AC8" i="65"/>
  <c r="AB8" i="65"/>
  <c r="AA8" i="65"/>
  <c r="AH7" i="65"/>
  <c r="AG7" i="65"/>
  <c r="AF7" i="65"/>
  <c r="AE7" i="65"/>
  <c r="AD7" i="65"/>
  <c r="AC7" i="65"/>
  <c r="AB7" i="65"/>
  <c r="AA7" i="65"/>
  <c r="AH6" i="65"/>
  <c r="AG6" i="65"/>
  <c r="AF6" i="65"/>
  <c r="AE6" i="65"/>
  <c r="AD6" i="65"/>
  <c r="AC6" i="65"/>
  <c r="AB6" i="65"/>
  <c r="AA6" i="65"/>
  <c r="AH5" i="65"/>
  <c r="AG5" i="65"/>
  <c r="AF5" i="65"/>
  <c r="AE5" i="65"/>
  <c r="AD5" i="65"/>
  <c r="AC5" i="65"/>
  <c r="AB5" i="65"/>
  <c r="AA5" i="65"/>
  <c r="AH102" i="58"/>
  <c r="AG102" i="58"/>
  <c r="AF102" i="58"/>
  <c r="AE102" i="58"/>
  <c r="AD102" i="58"/>
  <c r="AC102" i="58"/>
  <c r="AB102" i="58"/>
  <c r="AA102" i="58"/>
  <c r="AH101" i="58"/>
  <c r="AG101" i="58"/>
  <c r="AF101" i="58"/>
  <c r="AE101" i="58"/>
  <c r="AD101" i="58"/>
  <c r="AC101" i="58"/>
  <c r="AB101" i="58"/>
  <c r="AA101" i="58"/>
  <c r="AH100" i="58"/>
  <c r="AG100" i="58"/>
  <c r="AF100" i="58"/>
  <c r="AE100" i="58"/>
  <c r="AD100" i="58"/>
  <c r="AC100" i="58"/>
  <c r="AB100" i="58"/>
  <c r="AA100" i="58"/>
  <c r="AH99" i="58"/>
  <c r="AG99" i="58"/>
  <c r="AF99" i="58"/>
  <c r="AE99" i="58"/>
  <c r="AD99" i="58"/>
  <c r="AC99" i="58"/>
  <c r="AB99" i="58"/>
  <c r="AA99" i="58"/>
  <c r="AH98" i="58"/>
  <c r="AG98" i="58"/>
  <c r="AF98" i="58"/>
  <c r="AE98" i="58"/>
  <c r="AD98" i="58"/>
  <c r="AC98" i="58"/>
  <c r="AB98" i="58"/>
  <c r="AA98" i="58"/>
  <c r="AH96" i="58"/>
  <c r="AG96" i="58"/>
  <c r="AF96" i="58"/>
  <c r="AE96" i="58"/>
  <c r="AD96" i="58"/>
  <c r="AC96" i="58"/>
  <c r="AB96" i="58"/>
  <c r="AA96" i="58"/>
  <c r="AH95" i="58"/>
  <c r="AG95" i="58"/>
  <c r="AF95" i="58"/>
  <c r="AE95" i="58"/>
  <c r="AD95" i="58"/>
  <c r="AC95" i="58"/>
  <c r="AB95" i="58"/>
  <c r="AA95" i="58"/>
  <c r="AH94" i="58"/>
  <c r="AG94" i="58"/>
  <c r="AF94" i="58"/>
  <c r="AE94" i="58"/>
  <c r="AD94" i="58"/>
  <c r="AC94" i="58"/>
  <c r="AB94" i="58"/>
  <c r="AA94" i="58"/>
  <c r="AH93" i="58"/>
  <c r="AG93" i="58"/>
  <c r="AF93" i="58"/>
  <c r="AE93" i="58"/>
  <c r="AD93" i="58"/>
  <c r="AC93" i="58"/>
  <c r="AB93" i="58"/>
  <c r="AA93" i="58"/>
  <c r="AH92" i="58"/>
  <c r="AG92" i="58"/>
  <c r="AF92" i="58"/>
  <c r="AE92" i="58"/>
  <c r="AD92" i="58"/>
  <c r="AC92" i="58"/>
  <c r="AB92" i="58"/>
  <c r="AA92" i="58"/>
  <c r="AH91" i="58"/>
  <c r="AG91" i="58"/>
  <c r="AF91" i="58"/>
  <c r="AE91" i="58"/>
  <c r="AD91" i="58"/>
  <c r="AC91" i="58"/>
  <c r="AB91" i="58"/>
  <c r="AA91" i="58"/>
  <c r="AH88" i="58"/>
  <c r="AG88" i="58"/>
  <c r="AF88" i="58"/>
  <c r="AE88" i="58"/>
  <c r="AD88" i="58"/>
  <c r="AC88" i="58"/>
  <c r="AB88" i="58"/>
  <c r="AA88" i="58"/>
  <c r="AH87" i="58"/>
  <c r="AG87" i="58"/>
  <c r="AF87" i="58"/>
  <c r="AE87" i="58"/>
  <c r="AD87" i="58"/>
  <c r="AC87" i="58"/>
  <c r="AB87" i="58"/>
  <c r="AA87" i="58"/>
  <c r="AH86" i="58"/>
  <c r="AG86" i="58"/>
  <c r="AF86" i="58"/>
  <c r="AE86" i="58"/>
  <c r="AD86" i="58"/>
  <c r="AC86" i="58"/>
  <c r="AB86" i="58"/>
  <c r="AA86" i="58"/>
  <c r="AH85" i="58"/>
  <c r="AG85" i="58"/>
  <c r="AF85" i="58"/>
  <c r="AE85" i="58"/>
  <c r="AD85" i="58"/>
  <c r="AC85" i="58"/>
  <c r="AB85" i="58"/>
  <c r="AA85" i="58"/>
  <c r="AH84" i="58"/>
  <c r="AG84" i="58"/>
  <c r="AF84" i="58"/>
  <c r="AE84" i="58"/>
  <c r="AD84" i="58"/>
  <c r="AC84" i="58"/>
  <c r="AB84" i="58"/>
  <c r="AA84" i="58"/>
  <c r="AH83" i="58"/>
  <c r="AG83" i="58"/>
  <c r="AF83" i="58"/>
  <c r="AE83" i="58"/>
  <c r="AD83" i="58"/>
  <c r="AC83" i="58"/>
  <c r="AB83" i="58"/>
  <c r="AA83" i="58"/>
  <c r="AH82" i="58"/>
  <c r="AG82" i="58"/>
  <c r="AF82" i="58"/>
  <c r="AE82" i="58"/>
  <c r="AD82" i="58"/>
  <c r="AC82" i="58"/>
  <c r="AB82" i="58"/>
  <c r="AA82" i="58"/>
  <c r="AH81" i="58"/>
  <c r="AG81" i="58"/>
  <c r="AF81" i="58"/>
  <c r="AE81" i="58"/>
  <c r="AD81" i="58"/>
  <c r="AC81" i="58"/>
  <c r="AB81" i="58"/>
  <c r="AA81" i="58"/>
  <c r="AH80" i="58"/>
  <c r="AG80" i="58"/>
  <c r="AF80" i="58"/>
  <c r="AE80" i="58"/>
  <c r="AD80" i="58"/>
  <c r="AC80" i="58"/>
  <c r="AB80" i="58"/>
  <c r="AA80" i="58"/>
  <c r="AH79" i="58"/>
  <c r="AG79" i="58"/>
  <c r="AF79" i="58"/>
  <c r="AE79" i="58"/>
  <c r="AD79" i="58"/>
  <c r="AC79" i="58"/>
  <c r="AB79" i="58"/>
  <c r="AA79" i="58"/>
  <c r="AH78" i="58"/>
  <c r="AG78" i="58"/>
  <c r="AF78" i="58"/>
  <c r="AE78" i="58"/>
  <c r="AD78" i="58"/>
  <c r="AC78" i="58"/>
  <c r="AB78" i="58"/>
  <c r="AA78" i="58"/>
  <c r="AH76" i="58"/>
  <c r="AG76" i="58"/>
  <c r="AF76" i="58"/>
  <c r="AE76" i="58"/>
  <c r="AD76" i="58"/>
  <c r="AC76" i="58"/>
  <c r="AB76" i="58"/>
  <c r="AA76" i="58"/>
  <c r="AH75" i="58"/>
  <c r="AG75" i="58"/>
  <c r="AF75" i="58"/>
  <c r="AE75" i="58"/>
  <c r="AD75" i="58"/>
  <c r="AC75" i="58"/>
  <c r="AB75" i="58"/>
  <c r="AA75" i="58"/>
  <c r="AH74" i="58"/>
  <c r="AG74" i="58"/>
  <c r="AF74" i="58"/>
  <c r="AE74" i="58"/>
  <c r="AD74" i="58"/>
  <c r="AC74" i="58"/>
  <c r="AB74" i="58"/>
  <c r="AA74" i="58"/>
  <c r="AH73" i="58"/>
  <c r="AG73" i="58"/>
  <c r="AF73" i="58"/>
  <c r="AE73" i="58"/>
  <c r="AD73" i="58"/>
  <c r="AC73" i="58"/>
  <c r="AB73" i="58"/>
  <c r="AA73" i="58"/>
  <c r="AH72" i="58"/>
  <c r="AG72" i="58"/>
  <c r="AF72" i="58"/>
  <c r="AE72" i="58"/>
  <c r="AD72" i="58"/>
  <c r="AC72" i="58"/>
  <c r="AB72" i="58"/>
  <c r="AA72" i="58"/>
  <c r="AH70" i="58"/>
  <c r="AG70" i="58"/>
  <c r="AF70" i="58"/>
  <c r="AE70" i="58"/>
  <c r="AD70" i="58"/>
  <c r="AC70" i="58"/>
  <c r="AB70" i="58"/>
  <c r="AA70" i="58"/>
  <c r="AH69" i="58"/>
  <c r="AG69" i="58"/>
  <c r="AF69" i="58"/>
  <c r="AE69" i="58"/>
  <c r="AD69" i="58"/>
  <c r="AC69" i="58"/>
  <c r="AB69" i="58"/>
  <c r="AA69" i="58"/>
  <c r="AH68" i="58"/>
  <c r="AG68" i="58"/>
  <c r="AF68" i="58"/>
  <c r="AE68" i="58"/>
  <c r="AD68" i="58"/>
  <c r="AC68" i="58"/>
  <c r="AB68" i="58"/>
  <c r="AA68" i="58"/>
  <c r="AH67" i="58"/>
  <c r="AG67" i="58"/>
  <c r="AF67" i="58"/>
  <c r="AE67" i="58"/>
  <c r="AD67" i="58"/>
  <c r="AC67" i="58"/>
  <c r="AB67" i="58"/>
  <c r="AA67" i="58"/>
  <c r="AH66" i="58"/>
  <c r="AG66" i="58"/>
  <c r="AF66" i="58"/>
  <c r="AE66" i="58"/>
  <c r="AD66" i="58"/>
  <c r="AC66" i="58"/>
  <c r="AB66" i="58"/>
  <c r="AA66" i="58"/>
  <c r="AH65" i="58"/>
  <c r="AG65" i="58"/>
  <c r="AF65" i="58"/>
  <c r="AE65" i="58"/>
  <c r="AD65" i="58"/>
  <c r="AC65" i="58"/>
  <c r="AB65" i="58"/>
  <c r="AA65" i="58"/>
  <c r="AH63" i="58"/>
  <c r="AG63" i="58"/>
  <c r="AF63" i="58"/>
  <c r="AE63" i="58"/>
  <c r="AD63" i="58"/>
  <c r="AC63" i="58"/>
  <c r="AB63" i="58"/>
  <c r="AA63" i="58"/>
  <c r="AH62" i="58"/>
  <c r="AG62" i="58"/>
  <c r="AF62" i="58"/>
  <c r="AE62" i="58"/>
  <c r="AD62" i="58"/>
  <c r="AC62" i="58"/>
  <c r="AB62" i="58"/>
  <c r="AA62" i="58"/>
  <c r="AH61" i="58"/>
  <c r="AG61" i="58"/>
  <c r="AF61" i="58"/>
  <c r="AE61" i="58"/>
  <c r="AD61" i="58"/>
  <c r="AC61" i="58"/>
  <c r="AB61" i="58"/>
  <c r="AA61" i="58"/>
  <c r="AH60" i="58"/>
  <c r="AG60" i="58"/>
  <c r="AF60" i="58"/>
  <c r="AE60" i="58"/>
  <c r="AD60" i="58"/>
  <c r="AC60" i="58"/>
  <c r="AB60" i="58"/>
  <c r="AA60" i="58"/>
  <c r="AH59" i="58"/>
  <c r="AG59" i="58"/>
  <c r="AF59" i="58"/>
  <c r="AE59" i="58"/>
  <c r="AD59" i="58"/>
  <c r="AC59" i="58"/>
  <c r="AB59" i="58"/>
  <c r="AA59" i="58"/>
  <c r="AH57" i="58"/>
  <c r="AG57" i="58"/>
  <c r="AF57" i="58"/>
  <c r="AE57" i="58"/>
  <c r="AD57" i="58"/>
  <c r="AC57" i="58"/>
  <c r="AB57" i="58"/>
  <c r="AA57" i="58"/>
  <c r="AH56" i="58"/>
  <c r="AG56" i="58"/>
  <c r="AF56" i="58"/>
  <c r="AE56" i="58"/>
  <c r="AD56" i="58"/>
  <c r="AC56" i="58"/>
  <c r="AB56" i="58"/>
  <c r="AA56" i="58"/>
  <c r="AH55" i="58"/>
  <c r="AG55" i="58"/>
  <c r="AF55" i="58"/>
  <c r="AE55" i="58"/>
  <c r="AD55" i="58"/>
  <c r="AC55" i="58"/>
  <c r="AB55" i="58"/>
  <c r="AA55" i="58"/>
  <c r="AH54" i="58"/>
  <c r="AG54" i="58"/>
  <c r="AF54" i="58"/>
  <c r="AE54" i="58"/>
  <c r="AD54" i="58"/>
  <c r="AC54" i="58"/>
  <c r="AB54" i="58"/>
  <c r="AA54" i="58"/>
  <c r="AH53" i="58"/>
  <c r="AG53" i="58"/>
  <c r="AF53" i="58"/>
  <c r="AE53" i="58"/>
  <c r="AD53" i="58"/>
  <c r="AC53" i="58"/>
  <c r="AB53" i="58"/>
  <c r="AA53" i="58"/>
  <c r="AH52" i="58"/>
  <c r="AG52" i="58"/>
  <c r="AF52" i="58"/>
  <c r="AE52" i="58"/>
  <c r="AD52" i="58"/>
  <c r="AC52" i="58"/>
  <c r="AB52" i="58"/>
  <c r="AA52" i="58"/>
  <c r="AH51" i="58"/>
  <c r="AG51" i="58"/>
  <c r="AF51" i="58"/>
  <c r="AE51" i="58"/>
  <c r="AD51" i="58"/>
  <c r="AC51" i="58"/>
  <c r="AB51" i="58"/>
  <c r="AA51" i="58"/>
  <c r="AH50" i="58"/>
  <c r="AG50" i="58"/>
  <c r="AF50" i="58"/>
  <c r="AE50" i="58"/>
  <c r="AD50" i="58"/>
  <c r="AC50" i="58"/>
  <c r="AB50" i="58"/>
  <c r="AA50" i="58"/>
  <c r="AH49" i="58"/>
  <c r="AG49" i="58"/>
  <c r="AF49" i="58"/>
  <c r="AE49" i="58"/>
  <c r="AD49" i="58"/>
  <c r="AC49" i="58"/>
  <c r="AB49" i="58"/>
  <c r="AA49" i="58"/>
  <c r="AH47" i="58"/>
  <c r="AG47" i="58"/>
  <c r="AF47" i="58"/>
  <c r="AE47" i="58"/>
  <c r="AD47" i="58"/>
  <c r="AC47" i="58"/>
  <c r="AB47" i="58"/>
  <c r="AA47" i="58"/>
  <c r="AH46" i="58"/>
  <c r="AG46" i="58"/>
  <c r="AF46" i="58"/>
  <c r="AE46" i="58"/>
  <c r="AD46" i="58"/>
  <c r="AC46" i="58"/>
  <c r="AB46" i="58"/>
  <c r="AA46" i="58"/>
  <c r="AH45" i="58"/>
  <c r="AG45" i="58"/>
  <c r="AF45" i="58"/>
  <c r="AE45" i="58"/>
  <c r="AD45" i="58"/>
  <c r="AC45" i="58"/>
  <c r="AB45" i="58"/>
  <c r="AA45" i="58"/>
  <c r="AH44" i="58"/>
  <c r="AG44" i="58"/>
  <c r="AF44" i="58"/>
  <c r="AE44" i="58"/>
  <c r="AD44" i="58"/>
  <c r="AC44" i="58"/>
  <c r="AB44" i="58"/>
  <c r="AA44" i="58"/>
  <c r="AH43" i="58"/>
  <c r="AG43" i="58"/>
  <c r="AF43" i="58"/>
  <c r="AE43" i="58"/>
  <c r="AD43" i="58"/>
  <c r="AC43" i="58"/>
  <c r="AB43" i="58"/>
  <c r="AA43" i="58"/>
  <c r="AH42" i="58"/>
  <c r="AG42" i="58"/>
  <c r="AF42" i="58"/>
  <c r="AE42" i="58"/>
  <c r="AD42" i="58"/>
  <c r="AC42" i="58"/>
  <c r="AB42" i="58"/>
  <c r="AA42" i="58"/>
  <c r="AH41" i="58"/>
  <c r="AG41" i="58"/>
  <c r="AF41" i="58"/>
  <c r="AE41" i="58"/>
  <c r="AD41" i="58"/>
  <c r="AC41" i="58"/>
  <c r="AB41" i="58"/>
  <c r="AA41" i="58"/>
  <c r="AH40" i="58"/>
  <c r="AG40" i="58"/>
  <c r="AF40" i="58"/>
  <c r="AE40" i="58"/>
  <c r="AD40" i="58"/>
  <c r="AC40" i="58"/>
  <c r="AB40" i="58"/>
  <c r="AA40" i="58"/>
  <c r="AH38" i="58"/>
  <c r="AG38" i="58"/>
  <c r="AF38" i="58"/>
  <c r="AE38" i="58"/>
  <c r="AD38" i="58"/>
  <c r="AC38" i="58"/>
  <c r="AB38" i="58"/>
  <c r="AA38" i="58"/>
  <c r="AH37" i="58"/>
  <c r="AG37" i="58"/>
  <c r="AF37" i="58"/>
  <c r="AE37" i="58"/>
  <c r="AD37" i="58"/>
  <c r="AC37" i="58"/>
  <c r="AB37" i="58"/>
  <c r="AA37" i="58"/>
  <c r="AH36" i="58"/>
  <c r="AG36" i="58"/>
  <c r="AF36" i="58"/>
  <c r="AE36" i="58"/>
  <c r="AD36" i="58"/>
  <c r="AC36" i="58"/>
  <c r="AB36" i="58"/>
  <c r="AA36" i="58"/>
  <c r="AH35" i="58"/>
  <c r="AG35" i="58"/>
  <c r="AF35" i="58"/>
  <c r="AE35" i="58"/>
  <c r="AD35" i="58"/>
  <c r="AC35" i="58"/>
  <c r="AB35" i="58"/>
  <c r="AA35" i="58"/>
  <c r="AH34" i="58"/>
  <c r="AG34" i="58"/>
  <c r="AF34" i="58"/>
  <c r="AE34" i="58"/>
  <c r="AD34" i="58"/>
  <c r="AC34" i="58"/>
  <c r="AB34" i="58"/>
  <c r="AA34" i="58"/>
  <c r="AH33" i="58"/>
  <c r="AG33" i="58"/>
  <c r="AF33" i="58"/>
  <c r="AE33" i="58"/>
  <c r="AD33" i="58"/>
  <c r="AC33" i="58"/>
  <c r="AB33" i="58"/>
  <c r="AA33" i="58"/>
  <c r="AH32" i="58"/>
  <c r="AG32" i="58"/>
  <c r="AF32" i="58"/>
  <c r="AE32" i="58"/>
  <c r="AD32" i="58"/>
  <c r="AC32" i="58"/>
  <c r="AB32" i="58"/>
  <c r="AA32" i="58"/>
  <c r="AH31" i="58"/>
  <c r="AG31" i="58"/>
  <c r="AF31" i="58"/>
  <c r="AE31" i="58"/>
  <c r="AD31" i="58"/>
  <c r="AC31" i="58"/>
  <c r="AB31" i="58"/>
  <c r="AA31" i="58"/>
  <c r="AH28" i="58"/>
  <c r="AG28" i="58"/>
  <c r="AF28" i="58"/>
  <c r="AE28" i="58"/>
  <c r="AD28" i="58"/>
  <c r="AC28" i="58"/>
  <c r="AB28" i="58"/>
  <c r="AA28" i="58"/>
  <c r="AH27" i="58"/>
  <c r="AG27" i="58"/>
  <c r="AF27" i="58"/>
  <c r="AE27" i="58"/>
  <c r="AD27" i="58"/>
  <c r="AC27" i="58"/>
  <c r="AB27" i="58"/>
  <c r="AA27" i="58"/>
  <c r="AH26" i="58"/>
  <c r="AG26" i="58"/>
  <c r="AF26" i="58"/>
  <c r="AE26" i="58"/>
  <c r="AD26" i="58"/>
  <c r="AC26" i="58"/>
  <c r="AB26" i="58"/>
  <c r="AA26" i="58"/>
  <c r="AH25" i="58"/>
  <c r="AG25" i="58"/>
  <c r="AF25" i="58"/>
  <c r="AE25" i="58"/>
  <c r="AD25" i="58"/>
  <c r="AC25" i="58"/>
  <c r="AB25" i="58"/>
  <c r="AA25" i="58"/>
  <c r="AH24" i="58"/>
  <c r="AG24" i="58"/>
  <c r="AF24" i="58"/>
  <c r="AE24" i="58"/>
  <c r="AD24" i="58"/>
  <c r="AC24" i="58"/>
  <c r="AB24" i="58"/>
  <c r="AA24" i="58"/>
  <c r="AH22" i="58"/>
  <c r="AG22" i="58"/>
  <c r="AF22" i="58"/>
  <c r="AE22" i="58"/>
  <c r="AD22" i="58"/>
  <c r="AC22" i="58"/>
  <c r="AB22" i="58"/>
  <c r="AA22" i="58"/>
  <c r="AH21" i="58"/>
  <c r="AG21" i="58"/>
  <c r="AF21" i="58"/>
  <c r="AE21" i="58"/>
  <c r="AD21" i="58"/>
  <c r="AC21" i="58"/>
  <c r="AB21" i="58"/>
  <c r="AA21" i="58"/>
  <c r="AH20" i="58"/>
  <c r="AG20" i="58"/>
  <c r="AF20" i="58"/>
  <c r="AE20" i="58"/>
  <c r="AD20" i="58"/>
  <c r="AC20" i="58"/>
  <c r="AB20" i="58"/>
  <c r="AA20" i="58"/>
  <c r="AH19" i="58"/>
  <c r="AG19" i="58"/>
  <c r="AF19" i="58"/>
  <c r="AE19" i="58"/>
  <c r="AD19" i="58"/>
  <c r="AC19" i="58"/>
  <c r="AB19" i="58"/>
  <c r="AA19" i="58"/>
  <c r="AH18" i="58"/>
  <c r="AG18" i="58"/>
  <c r="AF18" i="58"/>
  <c r="AE18" i="58"/>
  <c r="AD18" i="58"/>
  <c r="AC18" i="58"/>
  <c r="AB18" i="58"/>
  <c r="AA18" i="58"/>
  <c r="AH17" i="58"/>
  <c r="AG17" i="58"/>
  <c r="AF17" i="58"/>
  <c r="AE17" i="58"/>
  <c r="AD17" i="58"/>
  <c r="AC17" i="58"/>
  <c r="AB17" i="58"/>
  <c r="AA17" i="58"/>
  <c r="AH16" i="58"/>
  <c r="AG16" i="58"/>
  <c r="AF16" i="58"/>
  <c r="AE16" i="58"/>
  <c r="D160" i="61" s="1"/>
  <c r="AD16" i="58"/>
  <c r="AC16" i="58"/>
  <c r="AB16" i="58"/>
  <c r="AA16" i="58"/>
  <c r="AH14" i="58"/>
  <c r="AG14" i="58"/>
  <c r="AF14" i="58"/>
  <c r="AE14" i="58"/>
  <c r="AD14" i="58"/>
  <c r="AC14" i="58"/>
  <c r="AB14" i="58"/>
  <c r="AA14" i="58"/>
  <c r="AH13" i="58"/>
  <c r="AG13" i="58"/>
  <c r="AF13" i="58"/>
  <c r="AE13" i="58"/>
  <c r="AD13" i="58"/>
  <c r="AC13" i="58"/>
  <c r="AB13" i="58"/>
  <c r="AA13" i="58"/>
  <c r="AH12" i="58"/>
  <c r="AG12" i="58"/>
  <c r="AF12" i="58"/>
  <c r="AE12" i="58"/>
  <c r="AD12" i="58"/>
  <c r="AC12" i="58"/>
  <c r="AB12" i="58"/>
  <c r="AA12" i="58"/>
  <c r="AH11" i="58"/>
  <c r="AG11" i="58"/>
  <c r="AF11" i="58"/>
  <c r="AE11" i="58"/>
  <c r="AD11" i="58"/>
  <c r="AC11" i="58"/>
  <c r="AB11" i="58"/>
  <c r="AA11" i="58"/>
  <c r="AH10" i="58"/>
  <c r="AG10" i="58"/>
  <c r="AF10" i="58"/>
  <c r="AE10" i="58"/>
  <c r="AD10" i="58"/>
  <c r="AC10" i="58"/>
  <c r="AB10" i="58"/>
  <c r="AA10" i="58"/>
  <c r="AH9" i="58"/>
  <c r="AG9" i="58"/>
  <c r="AF9" i="58"/>
  <c r="AE9" i="58"/>
  <c r="AD9" i="58"/>
  <c r="AC9" i="58"/>
  <c r="AB9" i="58"/>
  <c r="AA9" i="58"/>
  <c r="AH8" i="58"/>
  <c r="AG8" i="58"/>
  <c r="AF8" i="58"/>
  <c r="AE8" i="58"/>
  <c r="AD8" i="58"/>
  <c r="AC8" i="58"/>
  <c r="AB8" i="58"/>
  <c r="AA8" i="58"/>
  <c r="AH7" i="58"/>
  <c r="AG7" i="58"/>
  <c r="AF7" i="58"/>
  <c r="AE7" i="58"/>
  <c r="AD7" i="58"/>
  <c r="AC7" i="58"/>
  <c r="AB7" i="58"/>
  <c r="AA7" i="58"/>
  <c r="AH6" i="58"/>
  <c r="AG6" i="58"/>
  <c r="AF6" i="58"/>
  <c r="AE6" i="58"/>
  <c r="AD6" i="58"/>
  <c r="AC6" i="58"/>
  <c r="AB6" i="58"/>
  <c r="AA6" i="58"/>
  <c r="AH5" i="58"/>
  <c r="AG5" i="58"/>
  <c r="AF5" i="58"/>
  <c r="AE5" i="58"/>
  <c r="AD5" i="58"/>
  <c r="AC5" i="58"/>
  <c r="AB5" i="58"/>
  <c r="AA5" i="58"/>
  <c r="AH174" i="57"/>
  <c r="AG174" i="57"/>
  <c r="AF174" i="57"/>
  <c r="AE174" i="57"/>
  <c r="AD174" i="57"/>
  <c r="AC174" i="57"/>
  <c r="AB174" i="57"/>
  <c r="AA174" i="57"/>
  <c r="AH173" i="57"/>
  <c r="AG173" i="57"/>
  <c r="AF173" i="57"/>
  <c r="AE173" i="57"/>
  <c r="AD173" i="57"/>
  <c r="AC173" i="57"/>
  <c r="AB173" i="57"/>
  <c r="AA173" i="57"/>
  <c r="AH172" i="57"/>
  <c r="AG172" i="57"/>
  <c r="AF172" i="57"/>
  <c r="AE172" i="57"/>
  <c r="AD172" i="57"/>
  <c r="AC172" i="57"/>
  <c r="AB172" i="57"/>
  <c r="AA172" i="57"/>
  <c r="AH171" i="57"/>
  <c r="AG171" i="57"/>
  <c r="AF171" i="57"/>
  <c r="AE171" i="57"/>
  <c r="AD171" i="57"/>
  <c r="AC171" i="57"/>
  <c r="AB171" i="57"/>
  <c r="AA171" i="57"/>
  <c r="AH170" i="57"/>
  <c r="AG170" i="57"/>
  <c r="AF170" i="57"/>
  <c r="AE170" i="57"/>
  <c r="AD170" i="57"/>
  <c r="AC170" i="57"/>
  <c r="AB170" i="57"/>
  <c r="AA170" i="57"/>
  <c r="AH168" i="57"/>
  <c r="AG168" i="57"/>
  <c r="AF168" i="57"/>
  <c r="AE168" i="57"/>
  <c r="AD168" i="57"/>
  <c r="AC168" i="57"/>
  <c r="AB168" i="57"/>
  <c r="AA168" i="57"/>
  <c r="AH167" i="57"/>
  <c r="AG167" i="57"/>
  <c r="AF167" i="57"/>
  <c r="AE167" i="57"/>
  <c r="AD167" i="57"/>
  <c r="AC167" i="57"/>
  <c r="AB167" i="57"/>
  <c r="AA167" i="57"/>
  <c r="AH166" i="57"/>
  <c r="AG166" i="57"/>
  <c r="AF166" i="57"/>
  <c r="AE166" i="57"/>
  <c r="AD166" i="57"/>
  <c r="AC166" i="57"/>
  <c r="AB166" i="57"/>
  <c r="AA166" i="57"/>
  <c r="AH165" i="57"/>
  <c r="AG165" i="57"/>
  <c r="AF165" i="57"/>
  <c r="AE165" i="57"/>
  <c r="AD165" i="57"/>
  <c r="AC165" i="57"/>
  <c r="AB165" i="57"/>
  <c r="AA165" i="57"/>
  <c r="AH162" i="57"/>
  <c r="AG162" i="57"/>
  <c r="AF162" i="57"/>
  <c r="AE162" i="57"/>
  <c r="AD162" i="57"/>
  <c r="AC162" i="57"/>
  <c r="AB162" i="57"/>
  <c r="AA162" i="57"/>
  <c r="AH161" i="57"/>
  <c r="AG161" i="57"/>
  <c r="AF161" i="57"/>
  <c r="AE161" i="57"/>
  <c r="AD161" i="57"/>
  <c r="AC161" i="57"/>
  <c r="AB161" i="57"/>
  <c r="AA161" i="57"/>
  <c r="AH160" i="57"/>
  <c r="AG160" i="57"/>
  <c r="AF160" i="57"/>
  <c r="AE160" i="57"/>
  <c r="AD160" i="57"/>
  <c r="AC160" i="57"/>
  <c r="AB160" i="57"/>
  <c r="AA160" i="57"/>
  <c r="AH159" i="57"/>
  <c r="AG159" i="57"/>
  <c r="AF159" i="57"/>
  <c r="AE159" i="57"/>
  <c r="AD159" i="57"/>
  <c r="AC159" i="57"/>
  <c r="AB159" i="57"/>
  <c r="AA159" i="57"/>
  <c r="AH158" i="57"/>
  <c r="AG158" i="57"/>
  <c r="AF158" i="57"/>
  <c r="AE158" i="57"/>
  <c r="AD158" i="57"/>
  <c r="AC158" i="57"/>
  <c r="AB158" i="57"/>
  <c r="AA158" i="57"/>
  <c r="AH156" i="57"/>
  <c r="AG156" i="57"/>
  <c r="AF156" i="57"/>
  <c r="AE156" i="57"/>
  <c r="AD156" i="57"/>
  <c r="AC156" i="57"/>
  <c r="AB156" i="57"/>
  <c r="AA156" i="57"/>
  <c r="AH155" i="57"/>
  <c r="AG155" i="57"/>
  <c r="AF155" i="57"/>
  <c r="AE155" i="57"/>
  <c r="AD155" i="57"/>
  <c r="AC155" i="57"/>
  <c r="AB155" i="57"/>
  <c r="AA155" i="57"/>
  <c r="AH154" i="57"/>
  <c r="AG154" i="57"/>
  <c r="AF154" i="57"/>
  <c r="AE154" i="57"/>
  <c r="AD154" i="57"/>
  <c r="AC154" i="57"/>
  <c r="AB154" i="57"/>
  <c r="AA154" i="57"/>
  <c r="AH153" i="57"/>
  <c r="AG153" i="57"/>
  <c r="AF153" i="57"/>
  <c r="AE153" i="57"/>
  <c r="AD153" i="57"/>
  <c r="AC153" i="57"/>
  <c r="AB153" i="57"/>
  <c r="AA153" i="57"/>
  <c r="AH152" i="57"/>
  <c r="AG152" i="57"/>
  <c r="AF152" i="57"/>
  <c r="AE152" i="57"/>
  <c r="AD152" i="57"/>
  <c r="AC152" i="57"/>
  <c r="AB152" i="57"/>
  <c r="AA152" i="57"/>
  <c r="AH151" i="57"/>
  <c r="AG151" i="57"/>
  <c r="AF151" i="57"/>
  <c r="AE151" i="57"/>
  <c r="AD151" i="57"/>
  <c r="AC151" i="57"/>
  <c r="AB151" i="57"/>
  <c r="AA151" i="57"/>
  <c r="AH149" i="57"/>
  <c r="AG149" i="57"/>
  <c r="AF149" i="57"/>
  <c r="AE149" i="57"/>
  <c r="AD149" i="57"/>
  <c r="AC149" i="57"/>
  <c r="AB149" i="57"/>
  <c r="AA149" i="57"/>
  <c r="AH148" i="57"/>
  <c r="AG148" i="57"/>
  <c r="AF148" i="57"/>
  <c r="AE148" i="57"/>
  <c r="AD148" i="57"/>
  <c r="AC148" i="57"/>
  <c r="AB148" i="57"/>
  <c r="AA148" i="57"/>
  <c r="AH147" i="57"/>
  <c r="AG147" i="57"/>
  <c r="AF147" i="57"/>
  <c r="AE147" i="57"/>
  <c r="AD147" i="57"/>
  <c r="AC147" i="57"/>
  <c r="AB147" i="57"/>
  <c r="AA147" i="57"/>
  <c r="AH146" i="57"/>
  <c r="AG146" i="57"/>
  <c r="AF146" i="57"/>
  <c r="AE146" i="57"/>
  <c r="AD146" i="57"/>
  <c r="AC146" i="57"/>
  <c r="AB146" i="57"/>
  <c r="AA146" i="57"/>
  <c r="AH145" i="57"/>
  <c r="AG145" i="57"/>
  <c r="AF145" i="57"/>
  <c r="AE145" i="57"/>
  <c r="AD145" i="57"/>
  <c r="AC145" i="57"/>
  <c r="AB145" i="57"/>
  <c r="AA145" i="57"/>
  <c r="AH144" i="57"/>
  <c r="AG144" i="57"/>
  <c r="AF144" i="57"/>
  <c r="AE144" i="57"/>
  <c r="AD144" i="57"/>
  <c r="AC144" i="57"/>
  <c r="AB144" i="57"/>
  <c r="AA144" i="57"/>
  <c r="AH141" i="57"/>
  <c r="AG141" i="57"/>
  <c r="AF141" i="57"/>
  <c r="AE141" i="57"/>
  <c r="AD141" i="57"/>
  <c r="AC141" i="57"/>
  <c r="AB141" i="57"/>
  <c r="AA141" i="57"/>
  <c r="AH140" i="57"/>
  <c r="AG140" i="57"/>
  <c r="AF140" i="57"/>
  <c r="AE140" i="57"/>
  <c r="AD140" i="57"/>
  <c r="AC140" i="57"/>
  <c r="AB140" i="57"/>
  <c r="AA140" i="57"/>
  <c r="AH139" i="57"/>
  <c r="AG139" i="57"/>
  <c r="AF139" i="57"/>
  <c r="AE139" i="57"/>
  <c r="AD139" i="57"/>
  <c r="AC139" i="57"/>
  <c r="AB139" i="57"/>
  <c r="AA139" i="57"/>
  <c r="AH138" i="57"/>
  <c r="AG138" i="57"/>
  <c r="AF138" i="57"/>
  <c r="AE138" i="57"/>
  <c r="AD138" i="57"/>
  <c r="AC138" i="57"/>
  <c r="AB138" i="57"/>
  <c r="AA138" i="57"/>
  <c r="AH137" i="57"/>
  <c r="AG137" i="57"/>
  <c r="AF137" i="57"/>
  <c r="AE137" i="57"/>
  <c r="AD137" i="57"/>
  <c r="AC137" i="57"/>
  <c r="AB137" i="57"/>
  <c r="AA137" i="57"/>
  <c r="AH135" i="57"/>
  <c r="AG135" i="57"/>
  <c r="AF135" i="57"/>
  <c r="AE135" i="57"/>
  <c r="AD135" i="57"/>
  <c r="AC135" i="57"/>
  <c r="AB135" i="57"/>
  <c r="AA135" i="57"/>
  <c r="AH134" i="57"/>
  <c r="AG134" i="57"/>
  <c r="AF134" i="57"/>
  <c r="AE134" i="57"/>
  <c r="AD134" i="57"/>
  <c r="AC134" i="57"/>
  <c r="AB134" i="57"/>
  <c r="AA134" i="57"/>
  <c r="AH133" i="57"/>
  <c r="AG133" i="57"/>
  <c r="AF133" i="57"/>
  <c r="AE133" i="57"/>
  <c r="AD133" i="57"/>
  <c r="AC133" i="57"/>
  <c r="AB133" i="57"/>
  <c r="AA133" i="57"/>
  <c r="AH132" i="57"/>
  <c r="AG132" i="57"/>
  <c r="AF132" i="57"/>
  <c r="AE132" i="57"/>
  <c r="AD132" i="57"/>
  <c r="AC132" i="57"/>
  <c r="AB132" i="57"/>
  <c r="AA132" i="57"/>
  <c r="AH131" i="57"/>
  <c r="AG131" i="57"/>
  <c r="AF131" i="57"/>
  <c r="AE131" i="57"/>
  <c r="AD131" i="57"/>
  <c r="AC131" i="57"/>
  <c r="AB131" i="57"/>
  <c r="AA131" i="57"/>
  <c r="AH130" i="57"/>
  <c r="AG130" i="57"/>
  <c r="AF130" i="57"/>
  <c r="AE130" i="57"/>
  <c r="AD130" i="57"/>
  <c r="AC130" i="57"/>
  <c r="AB130" i="57"/>
  <c r="AA130" i="57"/>
  <c r="AH129" i="57"/>
  <c r="AG129" i="57"/>
  <c r="AF129" i="57"/>
  <c r="AE129" i="57"/>
  <c r="AD129" i="57"/>
  <c r="AC129" i="57"/>
  <c r="AB129" i="57"/>
  <c r="AA129" i="57"/>
  <c r="AH127" i="57"/>
  <c r="AG127" i="57"/>
  <c r="AF127" i="57"/>
  <c r="AE127" i="57"/>
  <c r="AD127" i="57"/>
  <c r="AC127" i="57"/>
  <c r="AB127" i="57"/>
  <c r="AA127" i="57"/>
  <c r="AH126" i="57"/>
  <c r="AG126" i="57"/>
  <c r="AF126" i="57"/>
  <c r="AE126" i="57"/>
  <c r="AD126" i="57"/>
  <c r="AC126" i="57"/>
  <c r="AB126" i="57"/>
  <c r="AA126" i="57"/>
  <c r="AH125" i="57"/>
  <c r="AG125" i="57"/>
  <c r="AF125" i="57"/>
  <c r="AE125" i="57"/>
  <c r="AD125" i="57"/>
  <c r="AC125" i="57"/>
  <c r="AB125" i="57"/>
  <c r="AA125" i="57"/>
  <c r="AH124" i="57"/>
  <c r="AG124" i="57"/>
  <c r="AF124" i="57"/>
  <c r="AE124" i="57"/>
  <c r="AD124" i="57"/>
  <c r="AC124" i="57"/>
  <c r="AB124" i="57"/>
  <c r="AA124" i="57"/>
  <c r="AH123" i="57"/>
  <c r="AG123" i="57"/>
  <c r="AF123" i="57"/>
  <c r="AE123" i="57"/>
  <c r="AD123" i="57"/>
  <c r="AC123" i="57"/>
  <c r="AB123" i="57"/>
  <c r="AA123" i="57"/>
  <c r="AH122" i="57"/>
  <c r="AG122" i="57"/>
  <c r="AF122" i="57"/>
  <c r="AE122" i="57"/>
  <c r="AD122" i="57"/>
  <c r="AC122" i="57"/>
  <c r="AB122" i="57"/>
  <c r="AA122" i="57"/>
  <c r="AH120" i="57"/>
  <c r="AG120" i="57"/>
  <c r="AF120" i="57"/>
  <c r="AE120" i="57"/>
  <c r="AD120" i="57"/>
  <c r="AC120" i="57"/>
  <c r="AB120" i="57"/>
  <c r="AA120" i="57"/>
  <c r="AH119" i="57"/>
  <c r="AG119" i="57"/>
  <c r="AF119" i="57"/>
  <c r="AE119" i="57"/>
  <c r="AD119" i="57"/>
  <c r="AC119" i="57"/>
  <c r="AB119" i="57"/>
  <c r="AA119" i="57"/>
  <c r="AH118" i="57"/>
  <c r="AG118" i="57"/>
  <c r="AF118" i="57"/>
  <c r="AE118" i="57"/>
  <c r="AD118" i="57"/>
  <c r="AC118" i="57"/>
  <c r="AB118" i="57"/>
  <c r="AA118" i="57"/>
  <c r="AH117" i="57"/>
  <c r="AG117" i="57"/>
  <c r="AF117" i="57"/>
  <c r="AE117" i="57"/>
  <c r="AD117" i="57"/>
  <c r="AC117" i="57"/>
  <c r="AB117" i="57"/>
  <c r="AA117" i="57"/>
  <c r="AH116" i="57"/>
  <c r="AG116" i="57"/>
  <c r="AF116" i="57"/>
  <c r="AE116" i="57"/>
  <c r="AD116" i="57"/>
  <c r="AC116" i="57"/>
  <c r="AB116" i="57"/>
  <c r="AA116" i="57"/>
  <c r="AH115" i="57"/>
  <c r="AG115" i="57"/>
  <c r="AF115" i="57"/>
  <c r="AE115" i="57"/>
  <c r="AD115" i="57"/>
  <c r="AC115" i="57"/>
  <c r="AB115" i="57"/>
  <c r="AA115" i="57"/>
  <c r="AH112" i="57"/>
  <c r="AG112" i="57"/>
  <c r="AF112" i="57"/>
  <c r="AE112" i="57"/>
  <c r="AD112" i="57"/>
  <c r="AC112" i="57"/>
  <c r="AB112" i="57"/>
  <c r="AA112" i="57"/>
  <c r="AH111" i="57"/>
  <c r="AG111" i="57"/>
  <c r="AF111" i="57"/>
  <c r="AE111" i="57"/>
  <c r="AD111" i="57"/>
  <c r="AC111" i="57"/>
  <c r="AB111" i="57"/>
  <c r="AA111" i="57"/>
  <c r="AH110" i="57"/>
  <c r="AG110" i="57"/>
  <c r="AF110" i="57"/>
  <c r="AE110" i="57"/>
  <c r="AD110" i="57"/>
  <c r="AC110" i="57"/>
  <c r="AB110" i="57"/>
  <c r="AA110" i="57"/>
  <c r="AH109" i="57"/>
  <c r="AG109" i="57"/>
  <c r="AF109" i="57"/>
  <c r="AE109" i="57"/>
  <c r="AD109" i="57"/>
  <c r="AC109" i="57"/>
  <c r="AB109" i="57"/>
  <c r="AA109" i="57"/>
  <c r="AH108" i="57"/>
  <c r="AG108" i="57"/>
  <c r="AF108" i="57"/>
  <c r="AE108" i="57"/>
  <c r="AD108" i="57"/>
  <c r="AC108" i="57"/>
  <c r="AB108" i="57"/>
  <c r="AA108" i="57"/>
  <c r="AH107" i="57"/>
  <c r="AG107" i="57"/>
  <c r="AF107" i="57"/>
  <c r="AE107" i="57"/>
  <c r="AD107" i="57"/>
  <c r="AC107" i="57"/>
  <c r="AB107" i="57"/>
  <c r="AA107" i="57"/>
  <c r="AH105" i="57"/>
  <c r="AG105" i="57"/>
  <c r="AF105" i="57"/>
  <c r="AE105" i="57"/>
  <c r="AD105" i="57"/>
  <c r="AC105" i="57"/>
  <c r="AB105" i="57"/>
  <c r="AA105" i="57"/>
  <c r="AH104" i="57"/>
  <c r="AG104" i="57"/>
  <c r="AF104" i="57"/>
  <c r="AE104" i="57"/>
  <c r="AD104" i="57"/>
  <c r="AC104" i="57"/>
  <c r="AB104" i="57"/>
  <c r="AA104" i="57"/>
  <c r="AH102" i="57"/>
  <c r="AG102" i="57"/>
  <c r="AF102" i="57"/>
  <c r="AE102" i="57"/>
  <c r="AD102" i="57"/>
  <c r="AC102" i="57"/>
  <c r="AB102" i="57"/>
  <c r="AA102" i="57"/>
  <c r="D142" i="61" s="1"/>
  <c r="AH101" i="57"/>
  <c r="AG101" i="57"/>
  <c r="AF101" i="57"/>
  <c r="AE101" i="57"/>
  <c r="AD101" i="57"/>
  <c r="AC101" i="57"/>
  <c r="AB101" i="57"/>
  <c r="AA101" i="57"/>
  <c r="AH100" i="57"/>
  <c r="AG100" i="57"/>
  <c r="AF100" i="57"/>
  <c r="AE100" i="57"/>
  <c r="AD100" i="57"/>
  <c r="AC100" i="57"/>
  <c r="AB100" i="57"/>
  <c r="AA100" i="57"/>
  <c r="AH99" i="57"/>
  <c r="AG99" i="57"/>
  <c r="AF99" i="57"/>
  <c r="AE99" i="57"/>
  <c r="AD99" i="57"/>
  <c r="AC99" i="57"/>
  <c r="AB99" i="57"/>
  <c r="AA99" i="57"/>
  <c r="AH98" i="57"/>
  <c r="AG98" i="57"/>
  <c r="AF98" i="57"/>
  <c r="AE98" i="57"/>
  <c r="AD98" i="57"/>
  <c r="AC98" i="57"/>
  <c r="AB98" i="57"/>
  <c r="AA98" i="57"/>
  <c r="AH97" i="57"/>
  <c r="AG97" i="57"/>
  <c r="AF97" i="57"/>
  <c r="AE97" i="57"/>
  <c r="AD97" i="57"/>
  <c r="AC97" i="57"/>
  <c r="AB97" i="57"/>
  <c r="AA97" i="57"/>
  <c r="AH95" i="57"/>
  <c r="AG95" i="57"/>
  <c r="AF95" i="57"/>
  <c r="AE95" i="57"/>
  <c r="AD95" i="57"/>
  <c r="AC95" i="57"/>
  <c r="AB95" i="57"/>
  <c r="AA95" i="57"/>
  <c r="AH94" i="57"/>
  <c r="AG94" i="57"/>
  <c r="AF94" i="57"/>
  <c r="AE94" i="57"/>
  <c r="AD94" i="57"/>
  <c r="AC94" i="57"/>
  <c r="AB94" i="57"/>
  <c r="AA94" i="57"/>
  <c r="AH93" i="57"/>
  <c r="AG93" i="57"/>
  <c r="AF93" i="57"/>
  <c r="AE93" i="57"/>
  <c r="AD93" i="57"/>
  <c r="AC93" i="57"/>
  <c r="AB93" i="57"/>
  <c r="AA93" i="57"/>
  <c r="AH92" i="57"/>
  <c r="AG92" i="57"/>
  <c r="AF92" i="57"/>
  <c r="AE92" i="57"/>
  <c r="AD92" i="57"/>
  <c r="AC92" i="57"/>
  <c r="AB92" i="57"/>
  <c r="AA92" i="57"/>
  <c r="AH91" i="57"/>
  <c r="AG91" i="57"/>
  <c r="AF91" i="57"/>
  <c r="AE91" i="57"/>
  <c r="AD91" i="57"/>
  <c r="AC91" i="57"/>
  <c r="AB91" i="57"/>
  <c r="AA91" i="57"/>
  <c r="AH90" i="57"/>
  <c r="AG90" i="57"/>
  <c r="AF90" i="57"/>
  <c r="AE90" i="57"/>
  <c r="AD90" i="57"/>
  <c r="AC90" i="57"/>
  <c r="AB90" i="57"/>
  <c r="AA90" i="57"/>
  <c r="AH89" i="57"/>
  <c r="AG89" i="57"/>
  <c r="AF89" i="57"/>
  <c r="AE89" i="57"/>
  <c r="AD89" i="57"/>
  <c r="AC89" i="57"/>
  <c r="AB89" i="57"/>
  <c r="AA89" i="57"/>
  <c r="AH88" i="57"/>
  <c r="AG88" i="57"/>
  <c r="AF88" i="57"/>
  <c r="AE88" i="57"/>
  <c r="AD88" i="57"/>
  <c r="AC88" i="57"/>
  <c r="AB88" i="57"/>
  <c r="AA88" i="57"/>
  <c r="AH87" i="57"/>
  <c r="AG87" i="57"/>
  <c r="AF87" i="57"/>
  <c r="AE87" i="57"/>
  <c r="AD87" i="57"/>
  <c r="AC87" i="57"/>
  <c r="AB87" i="57"/>
  <c r="AA87" i="57"/>
  <c r="AH86" i="57"/>
  <c r="AG86" i="57"/>
  <c r="AF86" i="57"/>
  <c r="AE86" i="57"/>
  <c r="AD86" i="57"/>
  <c r="AC86" i="57"/>
  <c r="AB86" i="57"/>
  <c r="AA86" i="57"/>
  <c r="AH83" i="57"/>
  <c r="AG83" i="57"/>
  <c r="AF83" i="57"/>
  <c r="AE83" i="57"/>
  <c r="AD83" i="57"/>
  <c r="AC83" i="57"/>
  <c r="AB83" i="57"/>
  <c r="AA83" i="57"/>
  <c r="AH82" i="57"/>
  <c r="AG82" i="57"/>
  <c r="AF82" i="57"/>
  <c r="AE82" i="57"/>
  <c r="AD82" i="57"/>
  <c r="AC82" i="57"/>
  <c r="AB82" i="57"/>
  <c r="AA82" i="57"/>
  <c r="AH81" i="57"/>
  <c r="AG81" i="57"/>
  <c r="AF81" i="57"/>
  <c r="AE81" i="57"/>
  <c r="AD81" i="57"/>
  <c r="AC81" i="57"/>
  <c r="AB81" i="57"/>
  <c r="AA81" i="57"/>
  <c r="AH80" i="57"/>
  <c r="AG80" i="57"/>
  <c r="AF80" i="57"/>
  <c r="AE80" i="57"/>
  <c r="AD80" i="57"/>
  <c r="AC80" i="57"/>
  <c r="AB80" i="57"/>
  <c r="AA80" i="57"/>
  <c r="AH79" i="57"/>
  <c r="AG79" i="57"/>
  <c r="AF79" i="57"/>
  <c r="AE79" i="57"/>
  <c r="AD79" i="57"/>
  <c r="AC79" i="57"/>
  <c r="AB79" i="57"/>
  <c r="AA79" i="57"/>
  <c r="AH78" i="57"/>
  <c r="AG78" i="57"/>
  <c r="AF78" i="57"/>
  <c r="AE78" i="57"/>
  <c r="AD78" i="57"/>
  <c r="AC78" i="57"/>
  <c r="AB78" i="57"/>
  <c r="AA78" i="57"/>
  <c r="AH76" i="57"/>
  <c r="AG76" i="57"/>
  <c r="AF76" i="57"/>
  <c r="AE76" i="57"/>
  <c r="AD76" i="57"/>
  <c r="AC76" i="57"/>
  <c r="AB76" i="57"/>
  <c r="AA76" i="57"/>
  <c r="AH75" i="57"/>
  <c r="AG75" i="57"/>
  <c r="AF75" i="57"/>
  <c r="AE75" i="57"/>
  <c r="AD75" i="57"/>
  <c r="AC75" i="57"/>
  <c r="AB75" i="57"/>
  <c r="AA75" i="57"/>
  <c r="AH74" i="57"/>
  <c r="AG74" i="57"/>
  <c r="AF74" i="57"/>
  <c r="AE74" i="57"/>
  <c r="AD74" i="57"/>
  <c r="AC74" i="57"/>
  <c r="AB74" i="57"/>
  <c r="AA74" i="57"/>
  <c r="AH73" i="57"/>
  <c r="AG73" i="57"/>
  <c r="AF73" i="57"/>
  <c r="AE73" i="57"/>
  <c r="AD73" i="57"/>
  <c r="AC73" i="57"/>
  <c r="AB73" i="57"/>
  <c r="AA73" i="57"/>
  <c r="AH71" i="57"/>
  <c r="AG71" i="57"/>
  <c r="AF71" i="57"/>
  <c r="AE71" i="57"/>
  <c r="AD71" i="57"/>
  <c r="AC71" i="57"/>
  <c r="AB71" i="57"/>
  <c r="AA71" i="57"/>
  <c r="AH70" i="57"/>
  <c r="AG70" i="57"/>
  <c r="AF70" i="57"/>
  <c r="AE70" i="57"/>
  <c r="AD70" i="57"/>
  <c r="AC70" i="57"/>
  <c r="AB70" i="57"/>
  <c r="AA70" i="57"/>
  <c r="AH69" i="57"/>
  <c r="AG69" i="57"/>
  <c r="AF69" i="57"/>
  <c r="AE69" i="57"/>
  <c r="AD69" i="57"/>
  <c r="AC69" i="57"/>
  <c r="AB69" i="57"/>
  <c r="AA69" i="57"/>
  <c r="AH68" i="57"/>
  <c r="AG68" i="57"/>
  <c r="AF68" i="57"/>
  <c r="AE68" i="57"/>
  <c r="AD68" i="57"/>
  <c r="AC68" i="57"/>
  <c r="AB68" i="57"/>
  <c r="AA68" i="57"/>
  <c r="AH67" i="57"/>
  <c r="AG67" i="57"/>
  <c r="AF67" i="57"/>
  <c r="AE67" i="57"/>
  <c r="AD67" i="57"/>
  <c r="AC67" i="57"/>
  <c r="AB67" i="57"/>
  <c r="AA67" i="57"/>
  <c r="AH66" i="57"/>
  <c r="AG66" i="57"/>
  <c r="AF66" i="57"/>
  <c r="AE66" i="57"/>
  <c r="AD66" i="57"/>
  <c r="AC66" i="57"/>
  <c r="AB66" i="57"/>
  <c r="AA66" i="57"/>
  <c r="AH65" i="57"/>
  <c r="AG65" i="57"/>
  <c r="AF65" i="57"/>
  <c r="AE65" i="57"/>
  <c r="AD65" i="57"/>
  <c r="AC65" i="57"/>
  <c r="AB65" i="57"/>
  <c r="AA65" i="57"/>
  <c r="AH62" i="57"/>
  <c r="AG62" i="57"/>
  <c r="AF62" i="57"/>
  <c r="AE62" i="57"/>
  <c r="AD62" i="57"/>
  <c r="AC62" i="57"/>
  <c r="AB62" i="57"/>
  <c r="AA62" i="57"/>
  <c r="AH61" i="57"/>
  <c r="AG61" i="57"/>
  <c r="AF61" i="57"/>
  <c r="AE61" i="57"/>
  <c r="AD61" i="57"/>
  <c r="AC61" i="57"/>
  <c r="AB61" i="57"/>
  <c r="AA61" i="57"/>
  <c r="AH60" i="57"/>
  <c r="AG60" i="57"/>
  <c r="AF60" i="57"/>
  <c r="AE60" i="57"/>
  <c r="AD60" i="57"/>
  <c r="AC60" i="57"/>
  <c r="AB60" i="57"/>
  <c r="AA60" i="57"/>
  <c r="AH59" i="57"/>
  <c r="AG59" i="57"/>
  <c r="AF59" i="57"/>
  <c r="AE59" i="57"/>
  <c r="AD59" i="57"/>
  <c r="AC59" i="57"/>
  <c r="AB59" i="57"/>
  <c r="AA59" i="57"/>
  <c r="AH58" i="57"/>
  <c r="AG58" i="57"/>
  <c r="AF58" i="57"/>
  <c r="AE58" i="57"/>
  <c r="AD58" i="57"/>
  <c r="AC58" i="57"/>
  <c r="AB58" i="57"/>
  <c r="AA58" i="57"/>
  <c r="AH57" i="57"/>
  <c r="AG57" i="57"/>
  <c r="AF57" i="57"/>
  <c r="AE57" i="57"/>
  <c r="AD57" i="57"/>
  <c r="AC57" i="57"/>
  <c r="AB57" i="57"/>
  <c r="AA57" i="57"/>
  <c r="AH55" i="57"/>
  <c r="AG55" i="57"/>
  <c r="AF55" i="57"/>
  <c r="AE55" i="57"/>
  <c r="AD55" i="57"/>
  <c r="AC55" i="57"/>
  <c r="AB55" i="57"/>
  <c r="AA55" i="57"/>
  <c r="AH54" i="57"/>
  <c r="AG54" i="57"/>
  <c r="AF54" i="57"/>
  <c r="AE54" i="57"/>
  <c r="AD54" i="57"/>
  <c r="AC54" i="57"/>
  <c r="AB54" i="57"/>
  <c r="AA54" i="57"/>
  <c r="AH53" i="57"/>
  <c r="AG53" i="57"/>
  <c r="AF53" i="57"/>
  <c r="AE53" i="57"/>
  <c r="AD53" i="57"/>
  <c r="AC53" i="57"/>
  <c r="AB53" i="57"/>
  <c r="AA53" i="57"/>
  <c r="AH52" i="57"/>
  <c r="AG52" i="57"/>
  <c r="AF52" i="57"/>
  <c r="AE52" i="57"/>
  <c r="AD52" i="57"/>
  <c r="AC52" i="57"/>
  <c r="AB52" i="57"/>
  <c r="AA52" i="57"/>
  <c r="AH49" i="57"/>
  <c r="AG49" i="57"/>
  <c r="AF49" i="57"/>
  <c r="AE49" i="57"/>
  <c r="AD49" i="57"/>
  <c r="AC49" i="57"/>
  <c r="AB49" i="57"/>
  <c r="AA49" i="57"/>
  <c r="AH48" i="57"/>
  <c r="AG48" i="57"/>
  <c r="AF48" i="57"/>
  <c r="AE48" i="57"/>
  <c r="AD48" i="57"/>
  <c r="AC48" i="57"/>
  <c r="AB48" i="57"/>
  <c r="AA48" i="57"/>
  <c r="AH47" i="57"/>
  <c r="AG47" i="57"/>
  <c r="AF47" i="57"/>
  <c r="AE47" i="57"/>
  <c r="AD47" i="57"/>
  <c r="AC47" i="57"/>
  <c r="AB47" i="57"/>
  <c r="AA47" i="57"/>
  <c r="AH46" i="57"/>
  <c r="AG46" i="57"/>
  <c r="AF46" i="57"/>
  <c r="AE46" i="57"/>
  <c r="AD46" i="57"/>
  <c r="AC46" i="57"/>
  <c r="AB46" i="57"/>
  <c r="AA46" i="57"/>
  <c r="AH45" i="57"/>
  <c r="AG45" i="57"/>
  <c r="AF45" i="57"/>
  <c r="AE45" i="57"/>
  <c r="AD45" i="57"/>
  <c r="AC45" i="57"/>
  <c r="AB45" i="57"/>
  <c r="AA45" i="57"/>
  <c r="AH44" i="57"/>
  <c r="AG44" i="57"/>
  <c r="AF44" i="57"/>
  <c r="AE44" i="57"/>
  <c r="AD44" i="57"/>
  <c r="AC44" i="57"/>
  <c r="AB44" i="57"/>
  <c r="AA44" i="57"/>
  <c r="AH42" i="57"/>
  <c r="AG42" i="57"/>
  <c r="AF42" i="57"/>
  <c r="AE42" i="57"/>
  <c r="AD42" i="57"/>
  <c r="AC42" i="57"/>
  <c r="AB42" i="57"/>
  <c r="AA42" i="57"/>
  <c r="AH41" i="57"/>
  <c r="AG41" i="57"/>
  <c r="AF41" i="57"/>
  <c r="AE41" i="57"/>
  <c r="AD41" i="57"/>
  <c r="AC41" i="57"/>
  <c r="AB41" i="57"/>
  <c r="AA41" i="57"/>
  <c r="AH40" i="57"/>
  <c r="AG40" i="57"/>
  <c r="AF40" i="57"/>
  <c r="AE40" i="57"/>
  <c r="AD40" i="57"/>
  <c r="AC40" i="57"/>
  <c r="AB40" i="57"/>
  <c r="AA40" i="57"/>
  <c r="AH39" i="57"/>
  <c r="AG39" i="57"/>
  <c r="AF39" i="57"/>
  <c r="AE39" i="57"/>
  <c r="AD39" i="57"/>
  <c r="AC39" i="57"/>
  <c r="AB39" i="57"/>
  <c r="AA39" i="57"/>
  <c r="AH38" i="57"/>
  <c r="AG38" i="57"/>
  <c r="AF38" i="57"/>
  <c r="AE38" i="57"/>
  <c r="AD38" i="57"/>
  <c r="AC38" i="57"/>
  <c r="AB38" i="57"/>
  <c r="AA38" i="57"/>
  <c r="AH37" i="57"/>
  <c r="AG37" i="57"/>
  <c r="AF37" i="57"/>
  <c r="AE37" i="57"/>
  <c r="AD37" i="57"/>
  <c r="AC37" i="57"/>
  <c r="AB37" i="57"/>
  <c r="AA37" i="57"/>
  <c r="AH35" i="57"/>
  <c r="AG35" i="57"/>
  <c r="AF35" i="57"/>
  <c r="AE35" i="57"/>
  <c r="AD35" i="57"/>
  <c r="AC35" i="57"/>
  <c r="AB35" i="57"/>
  <c r="AA35" i="57"/>
  <c r="AH34" i="57"/>
  <c r="AG34" i="57"/>
  <c r="AF34" i="57"/>
  <c r="AE34" i="57"/>
  <c r="AD34" i="57"/>
  <c r="AC34" i="57"/>
  <c r="AB34" i="57"/>
  <c r="AA34" i="57"/>
  <c r="AH33" i="57"/>
  <c r="AG33" i="57"/>
  <c r="AF33" i="57"/>
  <c r="AE33" i="57"/>
  <c r="AD33" i="57"/>
  <c r="AC33" i="57"/>
  <c r="AB33" i="57"/>
  <c r="AA33" i="57"/>
  <c r="AH32" i="57"/>
  <c r="AG32" i="57"/>
  <c r="AF32" i="57"/>
  <c r="AE32" i="57"/>
  <c r="AD32" i="57"/>
  <c r="AC32" i="57"/>
  <c r="AB32" i="57"/>
  <c r="AA32" i="57"/>
  <c r="AH31" i="57"/>
  <c r="AG31" i="57"/>
  <c r="AF31" i="57"/>
  <c r="AE31" i="57"/>
  <c r="AD31" i="57"/>
  <c r="AC31" i="57"/>
  <c r="AB31" i="57"/>
  <c r="AA31" i="57"/>
  <c r="AH30" i="57"/>
  <c r="AG30" i="57"/>
  <c r="AF30" i="57"/>
  <c r="AE30" i="57"/>
  <c r="AD30" i="57"/>
  <c r="AC30" i="57"/>
  <c r="AB30" i="57"/>
  <c r="AA30" i="57"/>
  <c r="AH29" i="57"/>
  <c r="AG29" i="57"/>
  <c r="AF29" i="57"/>
  <c r="AE29" i="57"/>
  <c r="AD29" i="57"/>
  <c r="AC29" i="57"/>
  <c r="AB29" i="57"/>
  <c r="AA29" i="57"/>
  <c r="AH28" i="57"/>
  <c r="AG28" i="57"/>
  <c r="AF28" i="57"/>
  <c r="AE28" i="57"/>
  <c r="AD28" i="57"/>
  <c r="AC28" i="57"/>
  <c r="AB28" i="57"/>
  <c r="AA28" i="57"/>
  <c r="AH27" i="57"/>
  <c r="AG27" i="57"/>
  <c r="AF27" i="57"/>
  <c r="AE27" i="57"/>
  <c r="AD27" i="57"/>
  <c r="AC27" i="57"/>
  <c r="AB27" i="57"/>
  <c r="AA27" i="57"/>
  <c r="AH25" i="57"/>
  <c r="AG25" i="57"/>
  <c r="AF25" i="57"/>
  <c r="AE25" i="57"/>
  <c r="AD25" i="57"/>
  <c r="AC25" i="57"/>
  <c r="AB25" i="57"/>
  <c r="AA25" i="57"/>
  <c r="AH24" i="57"/>
  <c r="AG24" i="57"/>
  <c r="AF24" i="57"/>
  <c r="AE24" i="57"/>
  <c r="AD24" i="57"/>
  <c r="AC24" i="57"/>
  <c r="AB24" i="57"/>
  <c r="AA24" i="57"/>
  <c r="AH23" i="57"/>
  <c r="AG23" i="57"/>
  <c r="AF23" i="57"/>
  <c r="AE23" i="57"/>
  <c r="AD23" i="57"/>
  <c r="AC23" i="57"/>
  <c r="AB23" i="57"/>
  <c r="AA23" i="57"/>
  <c r="AH22" i="57"/>
  <c r="AG22" i="57"/>
  <c r="AF22" i="57"/>
  <c r="AE22" i="57"/>
  <c r="AD22" i="57"/>
  <c r="AC22" i="57"/>
  <c r="AB22" i="57"/>
  <c r="AA22" i="57"/>
  <c r="AH21" i="57"/>
  <c r="AG21" i="57"/>
  <c r="AF21" i="57"/>
  <c r="AE21" i="57"/>
  <c r="AD21" i="57"/>
  <c r="AC21" i="57"/>
  <c r="AB21" i="57"/>
  <c r="AA21" i="57"/>
  <c r="AH20" i="57"/>
  <c r="AG20" i="57"/>
  <c r="AF20" i="57"/>
  <c r="AE20" i="57"/>
  <c r="AD20" i="57"/>
  <c r="AC20" i="57"/>
  <c r="AB20" i="57"/>
  <c r="AA20" i="57"/>
  <c r="AH18" i="57"/>
  <c r="AG18" i="57"/>
  <c r="AF18" i="57"/>
  <c r="AE18" i="57"/>
  <c r="AD18" i="57"/>
  <c r="AC18" i="57"/>
  <c r="AB18" i="57"/>
  <c r="AA18" i="57"/>
  <c r="AH17" i="57"/>
  <c r="AG17" i="57"/>
  <c r="AF17" i="57"/>
  <c r="AE17" i="57"/>
  <c r="AD17" i="57"/>
  <c r="AC17" i="57"/>
  <c r="AB17" i="57"/>
  <c r="AA17" i="57"/>
  <c r="AH16" i="57"/>
  <c r="AG16" i="57"/>
  <c r="AF16" i="57"/>
  <c r="AE16" i="57"/>
  <c r="AD16" i="57"/>
  <c r="AC16" i="57"/>
  <c r="AB16" i="57"/>
  <c r="AA16" i="57"/>
  <c r="AH15" i="57"/>
  <c r="AG15" i="57"/>
  <c r="AF15" i="57"/>
  <c r="AE15" i="57"/>
  <c r="AD15" i="57"/>
  <c r="AC15" i="57"/>
  <c r="AB15" i="57"/>
  <c r="AA15" i="57"/>
  <c r="AH14" i="57"/>
  <c r="AG14" i="57"/>
  <c r="AF14" i="57"/>
  <c r="AE14" i="57"/>
  <c r="AD14" i="57"/>
  <c r="AC14" i="57"/>
  <c r="AB14" i="57"/>
  <c r="AA14" i="57"/>
  <c r="AH13" i="57"/>
  <c r="AG13" i="57"/>
  <c r="AF13" i="57"/>
  <c r="AE13" i="57"/>
  <c r="AD13" i="57"/>
  <c r="AC13" i="57"/>
  <c r="AB13" i="57"/>
  <c r="AA13" i="57"/>
  <c r="AH12" i="57"/>
  <c r="AG12" i="57"/>
  <c r="AF12" i="57"/>
  <c r="AE12" i="57"/>
  <c r="AD12" i="57"/>
  <c r="AC12" i="57"/>
  <c r="AB12" i="57"/>
  <c r="AA12" i="57"/>
  <c r="AH10" i="57"/>
  <c r="AG10" i="57"/>
  <c r="AF10" i="57"/>
  <c r="AE10" i="57"/>
  <c r="AD10" i="57"/>
  <c r="AC10" i="57"/>
  <c r="AB10" i="57"/>
  <c r="AA10" i="57"/>
  <c r="AH9" i="57"/>
  <c r="AG9" i="57"/>
  <c r="AF9" i="57"/>
  <c r="AE9" i="57"/>
  <c r="AD9" i="57"/>
  <c r="AC9" i="57"/>
  <c r="AB9" i="57"/>
  <c r="AA9" i="57"/>
  <c r="AH8" i="57"/>
  <c r="AG8" i="57"/>
  <c r="AF8" i="57"/>
  <c r="AE8" i="57"/>
  <c r="AD8" i="57"/>
  <c r="AC8" i="57"/>
  <c r="AB8" i="57"/>
  <c r="AA8" i="57"/>
  <c r="AH7" i="57"/>
  <c r="AG7" i="57"/>
  <c r="AF7" i="57"/>
  <c r="AE7" i="57"/>
  <c r="AD7" i="57"/>
  <c r="AC7" i="57"/>
  <c r="AB7" i="57"/>
  <c r="AA7" i="57"/>
  <c r="AH6" i="57"/>
  <c r="AG6" i="57"/>
  <c r="AF6" i="57"/>
  <c r="AE6" i="57"/>
  <c r="AD6" i="57"/>
  <c r="AC6" i="57"/>
  <c r="AB6" i="57"/>
  <c r="AA6" i="57"/>
  <c r="AH5" i="57"/>
  <c r="AG5" i="57"/>
  <c r="AF5" i="57"/>
  <c r="AE5" i="57"/>
  <c r="AD5" i="57"/>
  <c r="AC5" i="57"/>
  <c r="AB5" i="57"/>
  <c r="AA5" i="57"/>
  <c r="D127" i="61" s="1"/>
  <c r="AH337" i="56"/>
  <c r="AG337" i="56"/>
  <c r="AF337" i="56"/>
  <c r="AE337" i="56"/>
  <c r="AD337" i="56"/>
  <c r="AC337" i="56"/>
  <c r="AB337" i="56"/>
  <c r="AA337" i="56"/>
  <c r="AH336" i="56"/>
  <c r="AG336" i="56"/>
  <c r="AF336" i="56"/>
  <c r="AE336" i="56"/>
  <c r="AD336" i="56"/>
  <c r="AC336" i="56"/>
  <c r="AB336" i="56"/>
  <c r="AA336" i="56"/>
  <c r="AH335" i="56"/>
  <c r="AG335" i="56"/>
  <c r="AF335" i="56"/>
  <c r="AE335" i="56"/>
  <c r="AD335" i="56"/>
  <c r="AC335" i="56"/>
  <c r="AB335" i="56"/>
  <c r="AA335" i="56"/>
  <c r="AH334" i="56"/>
  <c r="AG334" i="56"/>
  <c r="AF334" i="56"/>
  <c r="AE334" i="56"/>
  <c r="AD334" i="56"/>
  <c r="AC334" i="56"/>
  <c r="AB334" i="56"/>
  <c r="AA334" i="56"/>
  <c r="AH333" i="56"/>
  <c r="AG333" i="56"/>
  <c r="AF333" i="56"/>
  <c r="AE333" i="56"/>
  <c r="AD333" i="56"/>
  <c r="AC333" i="56"/>
  <c r="AB333" i="56"/>
  <c r="AA333" i="56"/>
  <c r="AH332" i="56"/>
  <c r="AG332" i="56"/>
  <c r="AF332" i="56"/>
  <c r="AE332" i="56"/>
  <c r="AD332" i="56"/>
  <c r="AC332" i="56"/>
  <c r="AB332" i="56"/>
  <c r="AA332" i="56"/>
  <c r="AH331" i="56"/>
  <c r="AG331" i="56"/>
  <c r="AF331" i="56"/>
  <c r="AE331" i="56"/>
  <c r="AD331" i="56"/>
  <c r="AC331" i="56"/>
  <c r="AB331" i="56"/>
  <c r="AA331" i="56"/>
  <c r="AH330" i="56"/>
  <c r="AG330" i="56"/>
  <c r="AF330" i="56"/>
  <c r="AE330" i="56"/>
  <c r="AD330" i="56"/>
  <c r="AC330" i="56"/>
  <c r="AB330" i="56"/>
  <c r="AA330" i="56"/>
  <c r="AH329" i="56"/>
  <c r="AG329" i="56"/>
  <c r="AF329" i="56"/>
  <c r="AE329" i="56"/>
  <c r="AD329" i="56"/>
  <c r="AC329" i="56"/>
  <c r="AB329" i="56"/>
  <c r="AA329" i="56"/>
  <c r="AH327" i="56"/>
  <c r="AG327" i="56"/>
  <c r="AF327" i="56"/>
  <c r="AE327" i="56"/>
  <c r="AD327" i="56"/>
  <c r="AC327" i="56"/>
  <c r="AB327" i="56"/>
  <c r="AA327" i="56"/>
  <c r="AH326" i="56"/>
  <c r="AG326" i="56"/>
  <c r="AF326" i="56"/>
  <c r="AE326" i="56"/>
  <c r="AD326" i="56"/>
  <c r="AC326" i="56"/>
  <c r="AB326" i="56"/>
  <c r="AA326" i="56"/>
  <c r="AH325" i="56"/>
  <c r="AG325" i="56"/>
  <c r="AF325" i="56"/>
  <c r="AE325" i="56"/>
  <c r="AD325" i="56"/>
  <c r="AC325" i="56"/>
  <c r="AB325" i="56"/>
  <c r="AA325" i="56"/>
  <c r="AH324" i="56"/>
  <c r="AG324" i="56"/>
  <c r="AF324" i="56"/>
  <c r="AE324" i="56"/>
  <c r="AD324" i="56"/>
  <c r="AC324" i="56"/>
  <c r="AB324" i="56"/>
  <c r="AA324" i="56"/>
  <c r="AH323" i="56"/>
  <c r="AG323" i="56"/>
  <c r="AF323" i="56"/>
  <c r="AE323" i="56"/>
  <c r="AD323" i="56"/>
  <c r="AC323" i="56"/>
  <c r="AB323" i="56"/>
  <c r="AA323" i="56"/>
  <c r="AH322" i="56"/>
  <c r="AG322" i="56"/>
  <c r="AF322" i="56"/>
  <c r="AE322" i="56"/>
  <c r="AD322" i="56"/>
  <c r="AC322" i="56"/>
  <c r="AB322" i="56"/>
  <c r="AA322" i="56"/>
  <c r="AH321" i="56"/>
  <c r="AG321" i="56"/>
  <c r="AF321" i="56"/>
  <c r="AE321" i="56"/>
  <c r="AD321" i="56"/>
  <c r="AC321" i="56"/>
  <c r="AB321" i="56"/>
  <c r="AA321" i="56"/>
  <c r="AH320" i="56"/>
  <c r="AG320" i="56"/>
  <c r="AF320" i="56"/>
  <c r="AE320" i="56"/>
  <c r="AD320" i="56"/>
  <c r="AC320" i="56"/>
  <c r="AB320" i="56"/>
  <c r="AA320" i="56"/>
  <c r="AH319" i="56"/>
  <c r="AG319" i="56"/>
  <c r="AF319" i="56"/>
  <c r="AE319" i="56"/>
  <c r="AD319" i="56"/>
  <c r="AC319" i="56"/>
  <c r="AB319" i="56"/>
  <c r="AA319" i="56"/>
  <c r="AH318" i="56"/>
  <c r="AG318" i="56"/>
  <c r="AF318" i="56"/>
  <c r="AE318" i="56"/>
  <c r="AD318" i="56"/>
  <c r="AC318" i="56"/>
  <c r="AB318" i="56"/>
  <c r="AA318" i="56"/>
  <c r="AH316" i="56"/>
  <c r="AG316" i="56"/>
  <c r="AF316" i="56"/>
  <c r="AE316" i="56"/>
  <c r="AD316" i="56"/>
  <c r="AC316" i="56"/>
  <c r="AB316" i="56"/>
  <c r="AA316" i="56"/>
  <c r="AH315" i="56"/>
  <c r="AG315" i="56"/>
  <c r="AF315" i="56"/>
  <c r="AE315" i="56"/>
  <c r="AD315" i="56"/>
  <c r="AC315" i="56"/>
  <c r="AB315" i="56"/>
  <c r="AA315" i="56"/>
  <c r="AH314" i="56"/>
  <c r="AG314" i="56"/>
  <c r="AF314" i="56"/>
  <c r="AE314" i="56"/>
  <c r="AD314" i="56"/>
  <c r="AC314" i="56"/>
  <c r="AB314" i="56"/>
  <c r="AA314" i="56"/>
  <c r="AH313" i="56"/>
  <c r="AG313" i="56"/>
  <c r="AF313" i="56"/>
  <c r="AE313" i="56"/>
  <c r="AD313" i="56"/>
  <c r="AC313" i="56"/>
  <c r="AB313" i="56"/>
  <c r="AA313" i="56"/>
  <c r="AH312" i="56"/>
  <c r="AG312" i="56"/>
  <c r="AF312" i="56"/>
  <c r="AE312" i="56"/>
  <c r="AD312" i="56"/>
  <c r="AC312" i="56"/>
  <c r="AB312" i="56"/>
  <c r="AA312" i="56"/>
  <c r="AH311" i="56"/>
  <c r="AG311" i="56"/>
  <c r="AF311" i="56"/>
  <c r="AE311" i="56"/>
  <c r="AD311" i="56"/>
  <c r="AC311" i="56"/>
  <c r="AB311" i="56"/>
  <c r="AA311" i="56"/>
  <c r="AH310" i="56"/>
  <c r="AG310" i="56"/>
  <c r="AF310" i="56"/>
  <c r="AE310" i="56"/>
  <c r="AD310" i="56"/>
  <c r="AC310" i="56"/>
  <c r="AB310" i="56"/>
  <c r="AA310" i="56"/>
  <c r="AH309" i="56"/>
  <c r="AG309" i="56"/>
  <c r="AF309" i="56"/>
  <c r="AE309" i="56"/>
  <c r="AD309" i="56"/>
  <c r="AC309" i="56"/>
  <c r="AB309" i="56"/>
  <c r="AA309" i="56"/>
  <c r="AH308" i="56"/>
  <c r="AG308" i="56"/>
  <c r="AF308" i="56"/>
  <c r="AE308" i="56"/>
  <c r="AD308" i="56"/>
  <c r="AC308" i="56"/>
  <c r="AB308" i="56"/>
  <c r="AA308" i="56"/>
  <c r="AH307" i="56"/>
  <c r="AG307" i="56"/>
  <c r="AF307" i="56"/>
  <c r="AE307" i="56"/>
  <c r="AD307" i="56"/>
  <c r="AC307" i="56"/>
  <c r="AB307" i="56"/>
  <c r="AA307" i="56"/>
  <c r="AH306" i="56"/>
  <c r="AG306" i="56"/>
  <c r="AF306" i="56"/>
  <c r="AE306" i="56"/>
  <c r="AD306" i="56"/>
  <c r="AC306" i="56"/>
  <c r="AB306" i="56"/>
  <c r="AA306" i="56"/>
  <c r="AH305" i="56"/>
  <c r="AG305" i="56"/>
  <c r="AF305" i="56"/>
  <c r="AE305" i="56"/>
  <c r="AD305" i="56"/>
  <c r="AC305" i="56"/>
  <c r="AB305" i="56"/>
  <c r="AA305" i="56"/>
  <c r="AH302" i="56"/>
  <c r="AG302" i="56"/>
  <c r="AF302" i="56"/>
  <c r="AE302" i="56"/>
  <c r="AD302" i="56"/>
  <c r="AC302" i="56"/>
  <c r="AB302" i="56"/>
  <c r="AA302" i="56"/>
  <c r="AH301" i="56"/>
  <c r="AG301" i="56"/>
  <c r="AF301" i="56"/>
  <c r="AE301" i="56"/>
  <c r="AD301" i="56"/>
  <c r="AC301" i="56"/>
  <c r="AB301" i="56"/>
  <c r="AA301" i="56"/>
  <c r="AH300" i="56"/>
  <c r="AG300" i="56"/>
  <c r="AF300" i="56"/>
  <c r="AE300" i="56"/>
  <c r="AD300" i="56"/>
  <c r="AC300" i="56"/>
  <c r="AB300" i="56"/>
  <c r="AA300" i="56"/>
  <c r="AH299" i="56"/>
  <c r="AG299" i="56"/>
  <c r="AF299" i="56"/>
  <c r="AE299" i="56"/>
  <c r="AD299" i="56"/>
  <c r="AC299" i="56"/>
  <c r="AB299" i="56"/>
  <c r="AA299" i="56"/>
  <c r="AH298" i="56"/>
  <c r="AG298" i="56"/>
  <c r="AF298" i="56"/>
  <c r="AE298" i="56"/>
  <c r="AD298" i="56"/>
  <c r="AC298" i="56"/>
  <c r="AB298" i="56"/>
  <c r="AA298" i="56"/>
  <c r="AH297" i="56"/>
  <c r="AG297" i="56"/>
  <c r="AF297" i="56"/>
  <c r="AE297" i="56"/>
  <c r="AD297" i="56"/>
  <c r="AC297" i="56"/>
  <c r="AB297" i="56"/>
  <c r="AA297" i="56"/>
  <c r="AH296" i="56"/>
  <c r="AG296" i="56"/>
  <c r="AF296" i="56"/>
  <c r="AE296" i="56"/>
  <c r="AD296" i="56"/>
  <c r="AC296" i="56"/>
  <c r="AB296" i="56"/>
  <c r="AA296" i="56"/>
  <c r="AH295" i="56"/>
  <c r="AG295" i="56"/>
  <c r="AF295" i="56"/>
  <c r="AE295" i="56"/>
  <c r="AD295" i="56"/>
  <c r="AC295" i="56"/>
  <c r="AB295" i="56"/>
  <c r="AA295" i="56"/>
  <c r="AH294" i="56"/>
  <c r="AG294" i="56"/>
  <c r="AF294" i="56"/>
  <c r="AE294" i="56"/>
  <c r="AD294" i="56"/>
  <c r="AC294" i="56"/>
  <c r="AB294" i="56"/>
  <c r="AA294" i="56"/>
  <c r="AH293" i="56"/>
  <c r="AG293" i="56"/>
  <c r="AF293" i="56"/>
  <c r="AE293" i="56"/>
  <c r="AD293" i="56"/>
  <c r="AC293" i="56"/>
  <c r="AB293" i="56"/>
  <c r="AA293" i="56"/>
  <c r="AH291" i="56"/>
  <c r="AG291" i="56"/>
  <c r="AF291" i="56"/>
  <c r="AE291" i="56"/>
  <c r="AD291" i="56"/>
  <c r="AC291" i="56"/>
  <c r="AB291" i="56"/>
  <c r="AA291" i="56"/>
  <c r="AH290" i="56"/>
  <c r="AG290" i="56"/>
  <c r="AF290" i="56"/>
  <c r="AE290" i="56"/>
  <c r="AD290" i="56"/>
  <c r="AC290" i="56"/>
  <c r="AB290" i="56"/>
  <c r="AA290" i="56"/>
  <c r="AH289" i="56"/>
  <c r="AG289" i="56"/>
  <c r="AF289" i="56"/>
  <c r="AE289" i="56"/>
  <c r="AD289" i="56"/>
  <c r="AC289" i="56"/>
  <c r="AB289" i="56"/>
  <c r="AA289" i="56"/>
  <c r="AH288" i="56"/>
  <c r="AG288" i="56"/>
  <c r="AF288" i="56"/>
  <c r="AE288" i="56"/>
  <c r="AD288" i="56"/>
  <c r="AC288" i="56"/>
  <c r="AB288" i="56"/>
  <c r="AA288" i="56"/>
  <c r="AH287" i="56"/>
  <c r="AG287" i="56"/>
  <c r="AF287" i="56"/>
  <c r="AE287" i="56"/>
  <c r="AD287" i="56"/>
  <c r="AC287" i="56"/>
  <c r="AB287" i="56"/>
  <c r="AA287" i="56"/>
  <c r="AH285" i="56"/>
  <c r="AG285" i="56"/>
  <c r="AF285" i="56"/>
  <c r="AE285" i="56"/>
  <c r="AD285" i="56"/>
  <c r="AC285" i="56"/>
  <c r="AB285" i="56"/>
  <c r="AA285" i="56"/>
  <c r="AH284" i="56"/>
  <c r="AG284" i="56"/>
  <c r="AF284" i="56"/>
  <c r="AE284" i="56"/>
  <c r="AD284" i="56"/>
  <c r="AC284" i="56"/>
  <c r="AB284" i="56"/>
  <c r="AA284" i="56"/>
  <c r="AH283" i="56"/>
  <c r="AG283" i="56"/>
  <c r="AF283" i="56"/>
  <c r="AE283" i="56"/>
  <c r="AD283" i="56"/>
  <c r="AC283" i="56"/>
  <c r="AB283" i="56"/>
  <c r="AA283" i="56"/>
  <c r="AH282" i="56"/>
  <c r="AG282" i="56"/>
  <c r="AF282" i="56"/>
  <c r="AE282" i="56"/>
  <c r="AD282" i="56"/>
  <c r="AC282" i="56"/>
  <c r="AB282" i="56"/>
  <c r="AA282" i="56"/>
  <c r="AH281" i="56"/>
  <c r="AG281" i="56"/>
  <c r="AF281" i="56"/>
  <c r="AE281" i="56"/>
  <c r="AD281" i="56"/>
  <c r="AC281" i="56"/>
  <c r="AB281" i="56"/>
  <c r="AA281" i="56"/>
  <c r="AH279" i="56"/>
  <c r="AG279" i="56"/>
  <c r="AF279" i="56"/>
  <c r="AE279" i="56"/>
  <c r="AD279" i="56"/>
  <c r="AC279" i="56"/>
  <c r="AB279" i="56"/>
  <c r="AA279" i="56"/>
  <c r="AH278" i="56"/>
  <c r="AG278" i="56"/>
  <c r="AF278" i="56"/>
  <c r="AE278" i="56"/>
  <c r="AD278" i="56"/>
  <c r="AC278" i="56"/>
  <c r="AB278" i="56"/>
  <c r="AA278" i="56"/>
  <c r="AH277" i="56"/>
  <c r="AG277" i="56"/>
  <c r="AF277" i="56"/>
  <c r="AE277" i="56"/>
  <c r="AD277" i="56"/>
  <c r="AC277" i="56"/>
  <c r="AB277" i="56"/>
  <c r="AA277" i="56"/>
  <c r="AH276" i="56"/>
  <c r="AG276" i="56"/>
  <c r="AF276" i="56"/>
  <c r="AE276" i="56"/>
  <c r="AD276" i="56"/>
  <c r="AC276" i="56"/>
  <c r="AB276" i="56"/>
  <c r="AA276" i="56"/>
  <c r="AH275" i="56"/>
  <c r="AG275" i="56"/>
  <c r="AF275" i="56"/>
  <c r="AE275" i="56"/>
  <c r="AD275" i="56"/>
  <c r="AC275" i="56"/>
  <c r="AB275" i="56"/>
  <c r="AA275" i="56"/>
  <c r="AH274" i="56"/>
  <c r="AG274" i="56"/>
  <c r="AF274" i="56"/>
  <c r="AE274" i="56"/>
  <c r="AD274" i="56"/>
  <c r="AC274" i="56"/>
  <c r="AB274" i="56"/>
  <c r="AA274" i="56"/>
  <c r="AH273" i="56"/>
  <c r="AG273" i="56"/>
  <c r="AF273" i="56"/>
  <c r="AE273" i="56"/>
  <c r="AD273" i="56"/>
  <c r="AC273" i="56"/>
  <c r="AB273" i="56"/>
  <c r="AA273" i="56"/>
  <c r="AH272" i="56"/>
  <c r="AG272" i="56"/>
  <c r="AF272" i="56"/>
  <c r="AE272" i="56"/>
  <c r="AD272" i="56"/>
  <c r="AC272" i="56"/>
  <c r="AB272" i="56"/>
  <c r="AA272" i="56"/>
  <c r="AH271" i="56"/>
  <c r="AG271" i="56"/>
  <c r="AF271" i="56"/>
  <c r="AE271" i="56"/>
  <c r="AD271" i="56"/>
  <c r="AC271" i="56"/>
  <c r="AB271" i="56"/>
  <c r="AA271" i="56"/>
  <c r="AH270" i="56"/>
  <c r="AG270" i="56"/>
  <c r="AF270" i="56"/>
  <c r="AE270" i="56"/>
  <c r="AD270" i="56"/>
  <c r="AC270" i="56"/>
  <c r="AB270" i="56"/>
  <c r="AA270" i="56"/>
  <c r="AH268" i="56"/>
  <c r="AG268" i="56"/>
  <c r="AF268" i="56"/>
  <c r="AE268" i="56"/>
  <c r="AD268" i="56"/>
  <c r="AC268" i="56"/>
  <c r="AB268" i="56"/>
  <c r="AA268" i="56"/>
  <c r="AH267" i="56"/>
  <c r="AG267" i="56"/>
  <c r="AF267" i="56"/>
  <c r="AE267" i="56"/>
  <c r="AD267" i="56"/>
  <c r="AC267" i="56"/>
  <c r="AB267" i="56"/>
  <c r="AA267" i="56"/>
  <c r="AH266" i="56"/>
  <c r="AG266" i="56"/>
  <c r="AF266" i="56"/>
  <c r="AE266" i="56"/>
  <c r="AD266" i="56"/>
  <c r="AC266" i="56"/>
  <c r="AB266" i="56"/>
  <c r="AA266" i="56"/>
  <c r="AH265" i="56"/>
  <c r="AG265" i="56"/>
  <c r="AF265" i="56"/>
  <c r="AE265" i="56"/>
  <c r="AD265" i="56"/>
  <c r="AC265" i="56"/>
  <c r="AB265" i="56"/>
  <c r="AA265" i="56"/>
  <c r="AH264" i="56"/>
  <c r="AG264" i="56"/>
  <c r="AF264" i="56"/>
  <c r="AE264" i="56"/>
  <c r="AD264" i="56"/>
  <c r="AC264" i="56"/>
  <c r="AB264" i="56"/>
  <c r="AA264" i="56"/>
  <c r="AH263" i="56"/>
  <c r="AG263" i="56"/>
  <c r="AF263" i="56"/>
  <c r="AE263" i="56"/>
  <c r="AD263" i="56"/>
  <c r="AC263" i="56"/>
  <c r="AB263" i="56"/>
  <c r="AA263" i="56"/>
  <c r="AH262" i="56"/>
  <c r="AG262" i="56"/>
  <c r="AF262" i="56"/>
  <c r="AE262" i="56"/>
  <c r="AD262" i="56"/>
  <c r="AC262" i="56"/>
  <c r="AB262" i="56"/>
  <c r="AA262" i="56"/>
  <c r="AH261" i="56"/>
  <c r="AG261" i="56"/>
  <c r="AF261" i="56"/>
  <c r="AE261" i="56"/>
  <c r="AD261" i="56"/>
  <c r="AC261" i="56"/>
  <c r="AB261" i="56"/>
  <c r="AA261" i="56"/>
  <c r="AH258" i="56"/>
  <c r="AG258" i="56"/>
  <c r="AF258" i="56"/>
  <c r="AE258" i="56"/>
  <c r="AD258" i="56"/>
  <c r="AC258" i="56"/>
  <c r="AB258" i="56"/>
  <c r="AA258" i="56"/>
  <c r="AH257" i="56"/>
  <c r="AG257" i="56"/>
  <c r="AF257" i="56"/>
  <c r="AE257" i="56"/>
  <c r="AD257" i="56"/>
  <c r="AC257" i="56"/>
  <c r="AB257" i="56"/>
  <c r="AA257" i="56"/>
  <c r="AH256" i="56"/>
  <c r="AG256" i="56"/>
  <c r="AF256" i="56"/>
  <c r="AE256" i="56"/>
  <c r="AD256" i="56"/>
  <c r="AC256" i="56"/>
  <c r="AB256" i="56"/>
  <c r="AA256" i="56"/>
  <c r="AH255" i="56"/>
  <c r="AG255" i="56"/>
  <c r="AF255" i="56"/>
  <c r="AE255" i="56"/>
  <c r="AD255" i="56"/>
  <c r="AC255" i="56"/>
  <c r="AB255" i="56"/>
  <c r="AA255" i="56"/>
  <c r="AH254" i="56"/>
  <c r="AG254" i="56"/>
  <c r="AF254" i="56"/>
  <c r="AE254" i="56"/>
  <c r="AD254" i="56"/>
  <c r="AC254" i="56"/>
  <c r="AB254" i="56"/>
  <c r="AA254" i="56"/>
  <c r="AH253" i="56"/>
  <c r="AG253" i="56"/>
  <c r="AF253" i="56"/>
  <c r="AE253" i="56"/>
  <c r="AD253" i="56"/>
  <c r="AC253" i="56"/>
  <c r="AB253" i="56"/>
  <c r="AA253" i="56"/>
  <c r="AH252" i="56"/>
  <c r="AG252" i="56"/>
  <c r="AF252" i="56"/>
  <c r="AE252" i="56"/>
  <c r="AD252" i="56"/>
  <c r="AC252" i="56"/>
  <c r="AB252" i="56"/>
  <c r="AA252" i="56"/>
  <c r="AH251" i="56"/>
  <c r="AG251" i="56"/>
  <c r="AF251" i="56"/>
  <c r="AE251" i="56"/>
  <c r="AD251" i="56"/>
  <c r="AC251" i="56"/>
  <c r="AB251" i="56"/>
  <c r="AA251" i="56"/>
  <c r="AH250" i="56"/>
  <c r="AG250" i="56"/>
  <c r="AF250" i="56"/>
  <c r="AE250" i="56"/>
  <c r="AD250" i="56"/>
  <c r="AC250" i="56"/>
  <c r="AB250" i="56"/>
  <c r="AA250" i="56"/>
  <c r="AH249" i="56"/>
  <c r="AG249" i="56"/>
  <c r="AF249" i="56"/>
  <c r="AE249" i="56"/>
  <c r="AD249" i="56"/>
  <c r="AC249" i="56"/>
  <c r="AB249" i="56"/>
  <c r="AA249" i="56"/>
  <c r="AH248" i="56"/>
  <c r="AG248" i="56"/>
  <c r="AF248" i="56"/>
  <c r="AE248" i="56"/>
  <c r="AD248" i="56"/>
  <c r="AC248" i="56"/>
  <c r="AB248" i="56"/>
  <c r="AA248" i="56"/>
  <c r="AH247" i="56"/>
  <c r="AG247" i="56"/>
  <c r="AF247" i="56"/>
  <c r="AE247" i="56"/>
  <c r="AD247" i="56"/>
  <c r="AC247" i="56"/>
  <c r="AB247" i="56"/>
  <c r="AA247" i="56"/>
  <c r="AH246" i="56"/>
  <c r="AG246" i="56"/>
  <c r="AF246" i="56"/>
  <c r="AE246" i="56"/>
  <c r="AD246" i="56"/>
  <c r="AC246" i="56"/>
  <c r="AB246" i="56"/>
  <c r="AA246" i="56"/>
  <c r="AH245" i="56"/>
  <c r="AG245" i="56"/>
  <c r="AF245" i="56"/>
  <c r="AE245" i="56"/>
  <c r="AD245" i="56"/>
  <c r="AC245" i="56"/>
  <c r="AB245" i="56"/>
  <c r="AA245" i="56"/>
  <c r="AH244" i="56"/>
  <c r="AG244" i="56"/>
  <c r="AF244" i="56"/>
  <c r="AE244" i="56"/>
  <c r="AD244" i="56"/>
  <c r="AC244" i="56"/>
  <c r="AB244" i="56"/>
  <c r="AA244" i="56"/>
  <c r="AH242" i="56"/>
  <c r="AG242" i="56"/>
  <c r="AF242" i="56"/>
  <c r="AE242" i="56"/>
  <c r="AD242" i="56"/>
  <c r="AC242" i="56"/>
  <c r="AB242" i="56"/>
  <c r="AA242" i="56"/>
  <c r="AH241" i="56"/>
  <c r="AG241" i="56"/>
  <c r="AF241" i="56"/>
  <c r="AE241" i="56"/>
  <c r="AD241" i="56"/>
  <c r="AC241" i="56"/>
  <c r="AB241" i="56"/>
  <c r="AA241" i="56"/>
  <c r="AH240" i="56"/>
  <c r="AG240" i="56"/>
  <c r="AF240" i="56"/>
  <c r="AE240" i="56"/>
  <c r="AD240" i="56"/>
  <c r="AC240" i="56"/>
  <c r="AB240" i="56"/>
  <c r="AA240" i="56"/>
  <c r="AH239" i="56"/>
  <c r="AG239" i="56"/>
  <c r="AF239" i="56"/>
  <c r="AE239" i="56"/>
  <c r="AD239" i="56"/>
  <c r="AC239" i="56"/>
  <c r="AB239" i="56"/>
  <c r="AA239" i="56"/>
  <c r="AH238" i="56"/>
  <c r="AG238" i="56"/>
  <c r="AF238" i="56"/>
  <c r="AE238" i="56"/>
  <c r="AD238" i="56"/>
  <c r="AC238" i="56"/>
  <c r="AB238" i="56"/>
  <c r="AA238" i="56"/>
  <c r="AH237" i="56"/>
  <c r="AG237" i="56"/>
  <c r="AF237" i="56"/>
  <c r="AE237" i="56"/>
  <c r="AD237" i="56"/>
  <c r="AC237" i="56"/>
  <c r="AB237" i="56"/>
  <c r="AA237" i="56"/>
  <c r="AH236" i="56"/>
  <c r="AG236" i="56"/>
  <c r="AF236" i="56"/>
  <c r="AE236" i="56"/>
  <c r="AD236" i="56"/>
  <c r="AC236" i="56"/>
  <c r="AB236" i="56"/>
  <c r="AA236" i="56"/>
  <c r="AH235" i="56"/>
  <c r="AG235" i="56"/>
  <c r="AF235" i="56"/>
  <c r="AE235" i="56"/>
  <c r="AD235" i="56"/>
  <c r="AC235" i="56"/>
  <c r="AB235" i="56"/>
  <c r="AA235" i="56"/>
  <c r="AH234" i="56"/>
  <c r="AG234" i="56"/>
  <c r="AF234" i="56"/>
  <c r="AE234" i="56"/>
  <c r="AD234" i="56"/>
  <c r="AC234" i="56"/>
  <c r="AB234" i="56"/>
  <c r="AA234" i="56"/>
  <c r="AH233" i="56"/>
  <c r="AG233" i="56"/>
  <c r="AF233" i="56"/>
  <c r="AE233" i="56"/>
  <c r="AD233" i="56"/>
  <c r="AC233" i="56"/>
  <c r="AB233" i="56"/>
  <c r="AA233" i="56"/>
  <c r="AH230" i="56"/>
  <c r="AG230" i="56"/>
  <c r="AF230" i="56"/>
  <c r="AE230" i="56"/>
  <c r="AD230" i="56"/>
  <c r="AC230" i="56"/>
  <c r="AB230" i="56"/>
  <c r="AA230" i="56"/>
  <c r="AH229" i="56"/>
  <c r="AG229" i="56"/>
  <c r="AF229" i="56"/>
  <c r="AE229" i="56"/>
  <c r="AD229" i="56"/>
  <c r="AC229" i="56"/>
  <c r="AB229" i="56"/>
  <c r="AA229" i="56"/>
  <c r="AH228" i="56"/>
  <c r="AG228" i="56"/>
  <c r="AF228" i="56"/>
  <c r="AE228" i="56"/>
  <c r="AD228" i="56"/>
  <c r="AC228" i="56"/>
  <c r="AB228" i="56"/>
  <c r="AA228" i="56"/>
  <c r="AH227" i="56"/>
  <c r="AG227" i="56"/>
  <c r="AF227" i="56"/>
  <c r="AE227" i="56"/>
  <c r="AD227" i="56"/>
  <c r="AC227" i="56"/>
  <c r="AB227" i="56"/>
  <c r="AA227" i="56"/>
  <c r="AH226" i="56"/>
  <c r="AG226" i="56"/>
  <c r="AF226" i="56"/>
  <c r="AE226" i="56"/>
  <c r="AD226" i="56"/>
  <c r="AC226" i="56"/>
  <c r="AB226" i="56"/>
  <c r="AA226" i="56"/>
  <c r="AH225" i="56"/>
  <c r="AG225" i="56"/>
  <c r="AF225" i="56"/>
  <c r="AE225" i="56"/>
  <c r="AD225" i="56"/>
  <c r="AC225" i="56"/>
  <c r="AB225" i="56"/>
  <c r="AA225" i="56"/>
  <c r="AH224" i="56"/>
  <c r="AG224" i="56"/>
  <c r="AF224" i="56"/>
  <c r="AE224" i="56"/>
  <c r="AD224" i="56"/>
  <c r="AC224" i="56"/>
  <c r="AB224" i="56"/>
  <c r="AA224" i="56"/>
  <c r="AH223" i="56"/>
  <c r="AG223" i="56"/>
  <c r="AF223" i="56"/>
  <c r="AE223" i="56"/>
  <c r="AD223" i="56"/>
  <c r="AC223" i="56"/>
  <c r="AB223" i="56"/>
  <c r="AA223" i="56"/>
  <c r="AH222" i="56"/>
  <c r="AG222" i="56"/>
  <c r="AF222" i="56"/>
  <c r="AE222" i="56"/>
  <c r="AD222" i="56"/>
  <c r="AC222" i="56"/>
  <c r="AB222" i="56"/>
  <c r="AA222" i="56"/>
  <c r="AH220" i="56"/>
  <c r="AG220" i="56"/>
  <c r="AF220" i="56"/>
  <c r="AE220" i="56"/>
  <c r="AD220" i="56"/>
  <c r="AC220" i="56"/>
  <c r="AB220" i="56"/>
  <c r="AA220" i="56"/>
  <c r="AH219" i="56"/>
  <c r="AG219" i="56"/>
  <c r="AF219" i="56"/>
  <c r="AE219" i="56"/>
  <c r="AD219" i="56"/>
  <c r="AC219" i="56"/>
  <c r="AB219" i="56"/>
  <c r="AA219" i="56"/>
  <c r="AH218" i="56"/>
  <c r="AG218" i="56"/>
  <c r="AF218" i="56"/>
  <c r="AE218" i="56"/>
  <c r="AD218" i="56"/>
  <c r="AC218" i="56"/>
  <c r="AB218" i="56"/>
  <c r="AA218" i="56"/>
  <c r="AH217" i="56"/>
  <c r="AG217" i="56"/>
  <c r="AF217" i="56"/>
  <c r="AE217" i="56"/>
  <c r="AD217" i="56"/>
  <c r="AC217" i="56"/>
  <c r="AB217" i="56"/>
  <c r="AA217" i="56"/>
  <c r="AH216" i="56"/>
  <c r="AG216" i="56"/>
  <c r="AF216" i="56"/>
  <c r="AE216" i="56"/>
  <c r="AD216" i="56"/>
  <c r="AC216" i="56"/>
  <c r="AB216" i="56"/>
  <c r="AA216" i="56"/>
  <c r="AH215" i="56"/>
  <c r="AG215" i="56"/>
  <c r="AF215" i="56"/>
  <c r="AE215" i="56"/>
  <c r="AD215" i="56"/>
  <c r="AC215" i="56"/>
  <c r="AB215" i="56"/>
  <c r="AA215" i="56"/>
  <c r="AH214" i="56"/>
  <c r="AG214" i="56"/>
  <c r="AF214" i="56"/>
  <c r="AE214" i="56"/>
  <c r="AD214" i="56"/>
  <c r="AC214" i="56"/>
  <c r="AB214" i="56"/>
  <c r="AA214" i="56"/>
  <c r="AH212" i="56"/>
  <c r="AG212" i="56"/>
  <c r="AF212" i="56"/>
  <c r="AE212" i="56"/>
  <c r="AD212" i="56"/>
  <c r="AC212" i="56"/>
  <c r="AB212" i="56"/>
  <c r="AA212" i="56"/>
  <c r="AH211" i="56"/>
  <c r="AG211" i="56"/>
  <c r="AF211" i="56"/>
  <c r="AE211" i="56"/>
  <c r="AD211" i="56"/>
  <c r="AC211" i="56"/>
  <c r="AB211" i="56"/>
  <c r="AA211" i="56"/>
  <c r="AH210" i="56"/>
  <c r="AG210" i="56"/>
  <c r="AF210" i="56"/>
  <c r="AE210" i="56"/>
  <c r="AD210" i="56"/>
  <c r="AC210" i="56"/>
  <c r="AB210" i="56"/>
  <c r="AA210" i="56"/>
  <c r="AH209" i="56"/>
  <c r="AG209" i="56"/>
  <c r="AF209" i="56"/>
  <c r="AE209" i="56"/>
  <c r="AD209" i="56"/>
  <c r="AC209" i="56"/>
  <c r="AB209" i="56"/>
  <c r="AA209" i="56"/>
  <c r="AH208" i="56"/>
  <c r="AG208" i="56"/>
  <c r="AF208" i="56"/>
  <c r="AE208" i="56"/>
  <c r="AD208" i="56"/>
  <c r="AC208" i="56"/>
  <c r="AB208" i="56"/>
  <c r="AA208" i="56"/>
  <c r="AH207" i="56"/>
  <c r="AG207" i="56"/>
  <c r="AF207" i="56"/>
  <c r="AE207" i="56"/>
  <c r="AD207" i="56"/>
  <c r="AC207" i="56"/>
  <c r="AB207" i="56"/>
  <c r="AA207" i="56"/>
  <c r="AH206" i="56"/>
  <c r="AG206" i="56"/>
  <c r="AF206" i="56"/>
  <c r="AE206" i="56"/>
  <c r="AD206" i="56"/>
  <c r="AC206" i="56"/>
  <c r="AB206" i="56"/>
  <c r="AA206" i="56"/>
  <c r="AH205" i="56"/>
  <c r="AG205" i="56"/>
  <c r="AF205" i="56"/>
  <c r="AE205" i="56"/>
  <c r="AD205" i="56"/>
  <c r="AC205" i="56"/>
  <c r="AB205" i="56"/>
  <c r="AA205" i="56"/>
  <c r="AH204" i="56"/>
  <c r="AG204" i="56"/>
  <c r="AF204" i="56"/>
  <c r="AE204" i="56"/>
  <c r="AD204" i="56"/>
  <c r="AC204" i="56"/>
  <c r="AB204" i="56"/>
  <c r="AA204" i="56"/>
  <c r="AH203" i="56"/>
  <c r="AG203" i="56"/>
  <c r="AF203" i="56"/>
  <c r="AE203" i="56"/>
  <c r="AD203" i="56"/>
  <c r="AC203" i="56"/>
  <c r="AB203" i="56"/>
  <c r="AA203" i="56"/>
  <c r="AH202" i="56"/>
  <c r="AG202" i="56"/>
  <c r="AF202" i="56"/>
  <c r="AE202" i="56"/>
  <c r="AD202" i="56"/>
  <c r="AC202" i="56"/>
  <c r="AB202" i="56"/>
  <c r="AA202" i="56"/>
  <c r="AH201" i="56"/>
  <c r="AG201" i="56"/>
  <c r="AF201" i="56"/>
  <c r="AE201" i="56"/>
  <c r="AD201" i="56"/>
  <c r="AC201" i="56"/>
  <c r="AB201" i="56"/>
  <c r="AA201" i="56"/>
  <c r="AH200" i="56"/>
  <c r="AG200" i="56"/>
  <c r="AF200" i="56"/>
  <c r="AE200" i="56"/>
  <c r="AD200" i="56"/>
  <c r="AC200" i="56"/>
  <c r="AB200" i="56"/>
  <c r="AA200" i="56"/>
  <c r="AH199" i="56"/>
  <c r="AG199" i="56"/>
  <c r="AF199" i="56"/>
  <c r="AE199" i="56"/>
  <c r="AD199" i="56"/>
  <c r="AC199" i="56"/>
  <c r="AB199" i="56"/>
  <c r="AA199" i="56"/>
  <c r="AH198" i="56"/>
  <c r="AG198" i="56"/>
  <c r="AF198" i="56"/>
  <c r="AE198" i="56"/>
  <c r="AD198" i="56"/>
  <c r="AC198" i="56"/>
  <c r="AB198" i="56"/>
  <c r="AA198" i="56"/>
  <c r="AH196" i="56"/>
  <c r="AG196" i="56"/>
  <c r="AF196" i="56"/>
  <c r="AE196" i="56"/>
  <c r="AD196" i="56"/>
  <c r="AC196" i="56"/>
  <c r="AB196" i="56"/>
  <c r="AA196" i="56"/>
  <c r="AH195" i="56"/>
  <c r="AG195" i="56"/>
  <c r="AF195" i="56"/>
  <c r="AE195" i="56"/>
  <c r="AD195" i="56"/>
  <c r="AC195" i="56"/>
  <c r="AB195" i="56"/>
  <c r="AA195" i="56"/>
  <c r="AH194" i="56"/>
  <c r="AG194" i="56"/>
  <c r="AF194" i="56"/>
  <c r="AE194" i="56"/>
  <c r="AD194" i="56"/>
  <c r="AC194" i="56"/>
  <c r="AB194" i="56"/>
  <c r="AA194" i="56"/>
  <c r="AH193" i="56"/>
  <c r="AG193" i="56"/>
  <c r="AF193" i="56"/>
  <c r="AE193" i="56"/>
  <c r="AD193" i="56"/>
  <c r="AC193" i="56"/>
  <c r="AB193" i="56"/>
  <c r="AA193" i="56"/>
  <c r="AH192" i="56"/>
  <c r="AG192" i="56"/>
  <c r="AF192" i="56"/>
  <c r="AE192" i="56"/>
  <c r="AD192" i="56"/>
  <c r="AC192" i="56"/>
  <c r="AB192" i="56"/>
  <c r="AA192" i="56"/>
  <c r="AH191" i="56"/>
  <c r="AG191" i="56"/>
  <c r="AF191" i="56"/>
  <c r="AE191" i="56"/>
  <c r="AD191" i="56"/>
  <c r="AC191" i="56"/>
  <c r="AB191" i="56"/>
  <c r="AA191" i="56"/>
  <c r="AH190" i="56"/>
  <c r="AG190" i="56"/>
  <c r="AF190" i="56"/>
  <c r="AE190" i="56"/>
  <c r="AD190" i="56"/>
  <c r="AC190" i="56"/>
  <c r="AB190" i="56"/>
  <c r="AA190" i="56"/>
  <c r="AH189" i="56"/>
  <c r="AG189" i="56"/>
  <c r="AF189" i="56"/>
  <c r="AE189" i="56"/>
  <c r="AD189" i="56"/>
  <c r="AC189" i="56"/>
  <c r="AB189" i="56"/>
  <c r="AA189" i="56"/>
  <c r="AH188" i="56"/>
  <c r="AG188" i="56"/>
  <c r="AF188" i="56"/>
  <c r="AE188" i="56"/>
  <c r="AD188" i="56"/>
  <c r="AC188" i="56"/>
  <c r="AB188" i="56"/>
  <c r="AA188" i="56"/>
  <c r="AH187" i="56"/>
  <c r="AG187" i="56"/>
  <c r="AF187" i="56"/>
  <c r="AE187" i="56"/>
  <c r="AD187" i="56"/>
  <c r="AC187" i="56"/>
  <c r="AB187" i="56"/>
  <c r="AA187" i="56"/>
  <c r="AH186" i="56"/>
  <c r="AG186" i="56"/>
  <c r="AF186" i="56"/>
  <c r="AE186" i="56"/>
  <c r="AD186" i="56"/>
  <c r="AC186" i="56"/>
  <c r="AB186" i="56"/>
  <c r="AA186" i="56"/>
  <c r="AH185" i="56"/>
  <c r="AG185" i="56"/>
  <c r="AF185" i="56"/>
  <c r="AE185" i="56"/>
  <c r="AD185" i="56"/>
  <c r="AC185" i="56"/>
  <c r="AB185" i="56"/>
  <c r="AA185" i="56"/>
  <c r="AH184" i="56"/>
  <c r="AG184" i="56"/>
  <c r="AF184" i="56"/>
  <c r="AE184" i="56"/>
  <c r="AD184" i="56"/>
  <c r="AC184" i="56"/>
  <c r="AB184" i="56"/>
  <c r="AA184" i="56"/>
  <c r="AH183" i="56"/>
  <c r="AG183" i="56"/>
  <c r="AF183" i="56"/>
  <c r="AE183" i="56"/>
  <c r="AD183" i="56"/>
  <c r="AC183" i="56"/>
  <c r="AB183" i="56"/>
  <c r="AA183" i="56"/>
  <c r="AH181" i="56"/>
  <c r="AG181" i="56"/>
  <c r="AF181" i="56"/>
  <c r="AE181" i="56"/>
  <c r="AD181" i="56"/>
  <c r="AC181" i="56"/>
  <c r="AB181" i="56"/>
  <c r="AA181" i="56"/>
  <c r="AH180" i="56"/>
  <c r="AG180" i="56"/>
  <c r="AF180" i="56"/>
  <c r="AE180" i="56"/>
  <c r="AD180" i="56"/>
  <c r="AC180" i="56"/>
  <c r="AB180" i="56"/>
  <c r="AA180" i="56"/>
  <c r="AH179" i="56"/>
  <c r="AG179" i="56"/>
  <c r="AF179" i="56"/>
  <c r="AE179" i="56"/>
  <c r="AD179" i="56"/>
  <c r="AC179" i="56"/>
  <c r="AB179" i="56"/>
  <c r="AA179" i="56"/>
  <c r="AH178" i="56"/>
  <c r="AG178" i="56"/>
  <c r="AF178" i="56"/>
  <c r="AE178" i="56"/>
  <c r="AD178" i="56"/>
  <c r="AC178" i="56"/>
  <c r="AB178" i="56"/>
  <c r="AA178" i="56"/>
  <c r="AH177" i="56"/>
  <c r="AG177" i="56"/>
  <c r="AF177" i="56"/>
  <c r="AE177" i="56"/>
  <c r="AD177" i="56"/>
  <c r="AC177" i="56"/>
  <c r="AB177" i="56"/>
  <c r="AA177" i="56"/>
  <c r="AH176" i="56"/>
  <c r="AG176" i="56"/>
  <c r="AF176" i="56"/>
  <c r="AE176" i="56"/>
  <c r="AD176" i="56"/>
  <c r="AC176" i="56"/>
  <c r="AB176" i="56"/>
  <c r="AA176" i="56"/>
  <c r="AH175" i="56"/>
  <c r="AG175" i="56"/>
  <c r="AF175" i="56"/>
  <c r="AE175" i="56"/>
  <c r="AD175" i="56"/>
  <c r="AC175" i="56"/>
  <c r="AB175" i="56"/>
  <c r="AA175" i="56"/>
  <c r="AH174" i="56"/>
  <c r="AG174" i="56"/>
  <c r="AF174" i="56"/>
  <c r="AE174" i="56"/>
  <c r="AD174" i="56"/>
  <c r="AC174" i="56"/>
  <c r="AB174" i="56"/>
  <c r="AA174" i="56"/>
  <c r="AH173" i="56"/>
  <c r="AG173" i="56"/>
  <c r="AF173" i="56"/>
  <c r="AE173" i="56"/>
  <c r="AD173" i="56"/>
  <c r="AC173" i="56"/>
  <c r="AB173" i="56"/>
  <c r="AA173" i="56"/>
  <c r="AH172" i="56"/>
  <c r="AG172" i="56"/>
  <c r="AF172" i="56"/>
  <c r="AE172" i="56"/>
  <c r="AD172" i="56"/>
  <c r="AC172" i="56"/>
  <c r="AB172" i="56"/>
  <c r="AA172" i="56"/>
  <c r="AH170" i="56"/>
  <c r="AG170" i="56"/>
  <c r="AF170" i="56"/>
  <c r="AE170" i="56"/>
  <c r="AD170" i="56"/>
  <c r="AC170" i="56"/>
  <c r="AB170" i="56"/>
  <c r="AA170" i="56"/>
  <c r="AH169" i="56"/>
  <c r="AG169" i="56"/>
  <c r="AF169" i="56"/>
  <c r="AE169" i="56"/>
  <c r="AD169" i="56"/>
  <c r="AC169" i="56"/>
  <c r="AB169" i="56"/>
  <c r="AA169" i="56"/>
  <c r="AH168" i="56"/>
  <c r="AG168" i="56"/>
  <c r="AF168" i="56"/>
  <c r="AE168" i="56"/>
  <c r="AD168" i="56"/>
  <c r="AC168" i="56"/>
  <c r="AB168" i="56"/>
  <c r="AA168" i="56"/>
  <c r="AH167" i="56"/>
  <c r="AG167" i="56"/>
  <c r="AF167" i="56"/>
  <c r="AE167" i="56"/>
  <c r="AD167" i="56"/>
  <c r="AC167" i="56"/>
  <c r="AB167" i="56"/>
  <c r="AA167" i="56"/>
  <c r="AH166" i="56"/>
  <c r="AG166" i="56"/>
  <c r="AF166" i="56"/>
  <c r="AE166" i="56"/>
  <c r="AD166" i="56"/>
  <c r="AC166" i="56"/>
  <c r="AB166" i="56"/>
  <c r="AA166" i="56"/>
  <c r="AH165" i="56"/>
  <c r="AG165" i="56"/>
  <c r="AF165" i="56"/>
  <c r="AE165" i="56"/>
  <c r="AD165" i="56"/>
  <c r="AC165" i="56"/>
  <c r="AB165" i="56"/>
  <c r="AA165" i="56"/>
  <c r="AH164" i="56"/>
  <c r="AG164" i="56"/>
  <c r="AF164" i="56"/>
  <c r="AE164" i="56"/>
  <c r="AD164" i="56"/>
  <c r="AC164" i="56"/>
  <c r="AB164" i="56"/>
  <c r="AA164" i="56"/>
  <c r="AH163" i="56"/>
  <c r="AG163" i="56"/>
  <c r="AF163" i="56"/>
  <c r="AE163" i="56"/>
  <c r="AD163" i="56"/>
  <c r="AC163" i="56"/>
  <c r="AB163" i="56"/>
  <c r="AA163" i="56"/>
  <c r="AH162" i="56"/>
  <c r="AG162" i="56"/>
  <c r="AF162" i="56"/>
  <c r="AE162" i="56"/>
  <c r="AD162" i="56"/>
  <c r="AC162" i="56"/>
  <c r="AB162" i="56"/>
  <c r="AA162" i="56"/>
  <c r="AH161" i="56"/>
  <c r="AG161" i="56"/>
  <c r="AF161" i="56"/>
  <c r="AE161" i="56"/>
  <c r="AD161" i="56"/>
  <c r="AC161" i="56"/>
  <c r="AB161" i="56"/>
  <c r="AA161" i="56"/>
  <c r="AH160" i="56"/>
  <c r="AG160" i="56"/>
  <c r="AF160" i="56"/>
  <c r="AE160" i="56"/>
  <c r="AD160" i="56"/>
  <c r="AC160" i="56"/>
  <c r="AB160" i="56"/>
  <c r="AA160" i="56"/>
  <c r="AH159" i="56"/>
  <c r="AG159" i="56"/>
  <c r="AF159" i="56"/>
  <c r="AE159" i="56"/>
  <c r="AD159" i="56"/>
  <c r="AC159" i="56"/>
  <c r="AB159" i="56"/>
  <c r="AA159" i="56"/>
  <c r="AH158" i="56"/>
  <c r="AG158" i="56"/>
  <c r="AF158" i="56"/>
  <c r="AE158" i="56"/>
  <c r="AD158" i="56"/>
  <c r="AC158" i="56"/>
  <c r="AB158" i="56"/>
  <c r="AA158" i="56"/>
  <c r="AH157" i="56"/>
  <c r="AG157" i="56"/>
  <c r="AF157" i="56"/>
  <c r="AE157" i="56"/>
  <c r="AD157" i="56"/>
  <c r="AC157" i="56"/>
  <c r="AB157" i="56"/>
  <c r="AA157" i="56"/>
  <c r="AH156" i="56"/>
  <c r="AG156" i="56"/>
  <c r="AF156" i="56"/>
  <c r="AE156" i="56"/>
  <c r="AD156" i="56"/>
  <c r="AC156" i="56"/>
  <c r="AB156" i="56"/>
  <c r="AA156" i="56"/>
  <c r="AH155" i="56"/>
  <c r="AG155" i="56"/>
  <c r="AF155" i="56"/>
  <c r="AE155" i="56"/>
  <c r="AD155" i="56"/>
  <c r="AC155" i="56"/>
  <c r="AB155" i="56"/>
  <c r="AA155" i="56"/>
  <c r="AH148" i="56"/>
  <c r="AG148" i="56"/>
  <c r="AF148" i="56"/>
  <c r="AE148" i="56"/>
  <c r="AD148" i="56"/>
  <c r="AC148" i="56"/>
  <c r="AB148" i="56"/>
  <c r="AA148" i="56"/>
  <c r="AH147" i="56"/>
  <c r="AG147" i="56"/>
  <c r="AF147" i="56"/>
  <c r="AE147" i="56"/>
  <c r="AD147" i="56"/>
  <c r="AC147" i="56"/>
  <c r="AB147" i="56"/>
  <c r="AA147" i="56"/>
  <c r="AH146" i="56"/>
  <c r="AG146" i="56"/>
  <c r="AF146" i="56"/>
  <c r="AE146" i="56"/>
  <c r="AD146" i="56"/>
  <c r="AC146" i="56"/>
  <c r="AB146" i="56"/>
  <c r="AA146" i="56"/>
  <c r="AH145" i="56"/>
  <c r="AG145" i="56"/>
  <c r="AF145" i="56"/>
  <c r="AE145" i="56"/>
  <c r="AD145" i="56"/>
  <c r="AC145" i="56"/>
  <c r="AB145" i="56"/>
  <c r="AA145" i="56"/>
  <c r="AH144" i="56"/>
  <c r="AG144" i="56"/>
  <c r="AF144" i="56"/>
  <c r="AE144" i="56"/>
  <c r="AD144" i="56"/>
  <c r="AC144" i="56"/>
  <c r="AB144" i="56"/>
  <c r="AA144" i="56"/>
  <c r="AH143" i="56"/>
  <c r="AG143" i="56"/>
  <c r="AF143" i="56"/>
  <c r="AE143" i="56"/>
  <c r="AD143" i="56"/>
  <c r="AC143" i="56"/>
  <c r="AB143" i="56"/>
  <c r="AA143" i="56"/>
  <c r="AH142" i="56"/>
  <c r="AG142" i="56"/>
  <c r="AF142" i="56"/>
  <c r="AE142" i="56"/>
  <c r="AD142" i="56"/>
  <c r="AC142" i="56"/>
  <c r="AB142" i="56"/>
  <c r="AA142" i="56"/>
  <c r="AH141" i="56"/>
  <c r="AG141" i="56"/>
  <c r="AF141" i="56"/>
  <c r="AE141" i="56"/>
  <c r="AD141" i="56"/>
  <c r="AC141" i="56"/>
  <c r="AB141" i="56"/>
  <c r="AA141" i="56"/>
  <c r="AH140" i="56"/>
  <c r="AG140" i="56"/>
  <c r="AF140" i="56"/>
  <c r="AE140" i="56"/>
  <c r="AD140" i="56"/>
  <c r="AC140" i="56"/>
  <c r="AB140" i="56"/>
  <c r="AA140" i="56"/>
  <c r="AH139" i="56"/>
  <c r="AG139" i="56"/>
  <c r="AF139" i="56"/>
  <c r="AE139" i="56"/>
  <c r="AD139" i="56"/>
  <c r="AC139" i="56"/>
  <c r="AB139" i="56"/>
  <c r="AA139" i="56"/>
  <c r="AH138" i="56"/>
  <c r="AG138" i="56"/>
  <c r="AF138" i="56"/>
  <c r="AE138" i="56"/>
  <c r="AD138" i="56"/>
  <c r="AC138" i="56"/>
  <c r="AB138" i="56"/>
  <c r="AA138" i="56"/>
  <c r="AH137" i="56"/>
  <c r="AG137" i="56"/>
  <c r="AF137" i="56"/>
  <c r="AE137" i="56"/>
  <c r="AD137" i="56"/>
  <c r="AC137" i="56"/>
  <c r="AB137" i="56"/>
  <c r="AA137" i="56"/>
  <c r="AH134" i="56"/>
  <c r="AG134" i="56"/>
  <c r="AF134" i="56"/>
  <c r="AE134" i="56"/>
  <c r="AD134" i="56"/>
  <c r="AC134" i="56"/>
  <c r="AB134" i="56"/>
  <c r="AA134" i="56"/>
  <c r="AH133" i="56"/>
  <c r="AG133" i="56"/>
  <c r="AF133" i="56"/>
  <c r="AE133" i="56"/>
  <c r="AD133" i="56"/>
  <c r="AC133" i="56"/>
  <c r="AB133" i="56"/>
  <c r="AA133" i="56"/>
  <c r="AH132" i="56"/>
  <c r="AG132" i="56"/>
  <c r="AF132" i="56"/>
  <c r="AE132" i="56"/>
  <c r="AD132" i="56"/>
  <c r="AC132" i="56"/>
  <c r="AB132" i="56"/>
  <c r="AA132" i="56"/>
  <c r="AH131" i="56"/>
  <c r="AG131" i="56"/>
  <c r="AF131" i="56"/>
  <c r="AE131" i="56"/>
  <c r="AD131" i="56"/>
  <c r="AC131" i="56"/>
  <c r="AB131" i="56"/>
  <c r="AA131" i="56"/>
  <c r="AH130" i="56"/>
  <c r="AG130" i="56"/>
  <c r="AF130" i="56"/>
  <c r="AE130" i="56"/>
  <c r="AD130" i="56"/>
  <c r="AC130" i="56"/>
  <c r="AB130" i="56"/>
  <c r="AA130" i="56"/>
  <c r="AH129" i="56"/>
  <c r="AG129" i="56"/>
  <c r="AF129" i="56"/>
  <c r="AE129" i="56"/>
  <c r="AD129" i="56"/>
  <c r="AC129" i="56"/>
  <c r="AB129" i="56"/>
  <c r="AA129" i="56"/>
  <c r="AH128" i="56"/>
  <c r="AG128" i="56"/>
  <c r="AF128" i="56"/>
  <c r="AE128" i="56"/>
  <c r="AD128" i="56"/>
  <c r="AC128" i="56"/>
  <c r="AB128" i="56"/>
  <c r="AA128" i="56"/>
  <c r="AH127" i="56"/>
  <c r="AG127" i="56"/>
  <c r="AF127" i="56"/>
  <c r="AE127" i="56"/>
  <c r="AD127" i="56"/>
  <c r="AC127" i="56"/>
  <c r="AB127" i="56"/>
  <c r="AA127" i="56"/>
  <c r="AH125" i="56"/>
  <c r="AG125" i="56"/>
  <c r="AF125" i="56"/>
  <c r="AE125" i="56"/>
  <c r="AD125" i="56"/>
  <c r="AC125" i="56"/>
  <c r="AB125" i="56"/>
  <c r="AA125" i="56"/>
  <c r="AH124" i="56"/>
  <c r="AG124" i="56"/>
  <c r="AF124" i="56"/>
  <c r="AE124" i="56"/>
  <c r="AD124" i="56"/>
  <c r="AC124" i="56"/>
  <c r="AB124" i="56"/>
  <c r="AA124" i="56"/>
  <c r="AH123" i="56"/>
  <c r="AG123" i="56"/>
  <c r="AF123" i="56"/>
  <c r="AE123" i="56"/>
  <c r="AD123" i="56"/>
  <c r="AC123" i="56"/>
  <c r="AB123" i="56"/>
  <c r="AA123" i="56"/>
  <c r="AH121" i="56"/>
  <c r="AG121" i="56"/>
  <c r="AF121" i="56"/>
  <c r="AE121" i="56"/>
  <c r="AD121" i="56"/>
  <c r="AC121" i="56"/>
  <c r="AB121" i="56"/>
  <c r="AA121" i="56"/>
  <c r="AH120" i="56"/>
  <c r="AG120" i="56"/>
  <c r="AF120" i="56"/>
  <c r="AE120" i="56"/>
  <c r="AD120" i="56"/>
  <c r="AC120" i="56"/>
  <c r="AB120" i="56"/>
  <c r="AA120" i="56"/>
  <c r="AH119" i="56"/>
  <c r="AG119" i="56"/>
  <c r="AF119" i="56"/>
  <c r="AE119" i="56"/>
  <c r="AD119" i="56"/>
  <c r="AC119" i="56"/>
  <c r="AB119" i="56"/>
  <c r="AA119" i="56"/>
  <c r="AH118" i="56"/>
  <c r="AG118" i="56"/>
  <c r="AF118" i="56"/>
  <c r="AE118" i="56"/>
  <c r="AD118" i="56"/>
  <c r="AC118" i="56"/>
  <c r="AB118" i="56"/>
  <c r="AA118" i="56"/>
  <c r="AH117" i="56"/>
  <c r="AG117" i="56"/>
  <c r="AF117" i="56"/>
  <c r="AE117" i="56"/>
  <c r="AD117" i="56"/>
  <c r="AC117" i="56"/>
  <c r="AB117" i="56"/>
  <c r="AA117" i="56"/>
  <c r="AH116" i="56"/>
  <c r="AG116" i="56"/>
  <c r="AF116" i="56"/>
  <c r="AE116" i="56"/>
  <c r="AD116" i="56"/>
  <c r="AC116" i="56"/>
  <c r="AB116" i="56"/>
  <c r="AA116" i="56"/>
  <c r="AH115" i="56"/>
  <c r="AG115" i="56"/>
  <c r="AF115" i="56"/>
  <c r="AE115" i="56"/>
  <c r="AD115" i="56"/>
  <c r="AC115" i="56"/>
  <c r="AB115" i="56"/>
  <c r="AA115" i="56"/>
  <c r="AH114" i="56"/>
  <c r="AG114" i="56"/>
  <c r="AF114" i="56"/>
  <c r="AE114" i="56"/>
  <c r="AD114" i="56"/>
  <c r="AC114" i="56"/>
  <c r="AB114" i="56"/>
  <c r="AA114" i="56"/>
  <c r="AH113" i="56"/>
  <c r="AG113" i="56"/>
  <c r="AF113" i="56"/>
  <c r="AE113" i="56"/>
  <c r="AD113" i="56"/>
  <c r="AC113" i="56"/>
  <c r="AB113" i="56"/>
  <c r="AA113" i="56"/>
  <c r="AH112" i="56"/>
  <c r="AG112" i="56"/>
  <c r="AF112" i="56"/>
  <c r="AE112" i="56"/>
  <c r="AD112" i="56"/>
  <c r="AC112" i="56"/>
  <c r="AB112" i="56"/>
  <c r="AA112" i="56"/>
  <c r="AH110" i="56"/>
  <c r="AG110" i="56"/>
  <c r="AF110" i="56"/>
  <c r="AE110" i="56"/>
  <c r="AD110" i="56"/>
  <c r="AC110" i="56"/>
  <c r="AB110" i="56"/>
  <c r="AA110" i="56"/>
  <c r="AH109" i="56"/>
  <c r="AG109" i="56"/>
  <c r="AF109" i="56"/>
  <c r="AE109" i="56"/>
  <c r="AD109" i="56"/>
  <c r="AC109" i="56"/>
  <c r="AB109" i="56"/>
  <c r="AA109" i="56"/>
  <c r="AH108" i="56"/>
  <c r="AG108" i="56"/>
  <c r="AF108" i="56"/>
  <c r="AE108" i="56"/>
  <c r="AD108" i="56"/>
  <c r="AC108" i="56"/>
  <c r="AB108" i="56"/>
  <c r="AA108" i="56"/>
  <c r="AH107" i="56"/>
  <c r="AG107" i="56"/>
  <c r="AF107" i="56"/>
  <c r="AE107" i="56"/>
  <c r="AD107" i="56"/>
  <c r="AC107" i="56"/>
  <c r="AB107" i="56"/>
  <c r="AA107" i="56"/>
  <c r="AH106" i="56"/>
  <c r="AG106" i="56"/>
  <c r="AF106" i="56"/>
  <c r="AE106" i="56"/>
  <c r="AD106" i="56"/>
  <c r="AC106" i="56"/>
  <c r="AB106" i="56"/>
  <c r="AA106" i="56"/>
  <c r="AH105" i="56"/>
  <c r="AG105" i="56"/>
  <c r="AF105" i="56"/>
  <c r="AE105" i="56"/>
  <c r="AD105" i="56"/>
  <c r="AC105" i="56"/>
  <c r="AB105" i="56"/>
  <c r="AA105" i="56"/>
  <c r="AH104" i="56"/>
  <c r="AG104" i="56"/>
  <c r="AF104" i="56"/>
  <c r="AE104" i="56"/>
  <c r="AD104" i="56"/>
  <c r="AC104" i="56"/>
  <c r="AB104" i="56"/>
  <c r="AA104" i="56"/>
  <c r="AH103" i="56"/>
  <c r="AG103" i="56"/>
  <c r="AF103" i="56"/>
  <c r="AE103" i="56"/>
  <c r="AD103" i="56"/>
  <c r="AC103" i="56"/>
  <c r="AB103" i="56"/>
  <c r="AA103" i="56"/>
  <c r="AH102" i="56"/>
  <c r="AG102" i="56"/>
  <c r="AF102" i="56"/>
  <c r="AE102" i="56"/>
  <c r="AD102" i="56"/>
  <c r="AC102" i="56"/>
  <c r="AB102" i="56"/>
  <c r="AA102" i="56"/>
  <c r="AH101" i="56"/>
  <c r="AG101" i="56"/>
  <c r="AF101" i="56"/>
  <c r="AE101" i="56"/>
  <c r="AD101" i="56"/>
  <c r="AC101" i="56"/>
  <c r="AB101" i="56"/>
  <c r="AA101" i="56"/>
  <c r="AH100" i="56"/>
  <c r="AG100" i="56"/>
  <c r="AF100" i="56"/>
  <c r="AE100" i="56"/>
  <c r="AD100" i="56"/>
  <c r="AC100" i="56"/>
  <c r="AB100" i="56"/>
  <c r="AA100" i="56"/>
  <c r="AH99" i="56"/>
  <c r="AG99" i="56"/>
  <c r="AF99" i="56"/>
  <c r="AE99" i="56"/>
  <c r="AD99" i="56"/>
  <c r="AC99" i="56"/>
  <c r="AB99" i="56"/>
  <c r="AA99" i="56"/>
  <c r="D99" i="61" s="1"/>
  <c r="AH98" i="56"/>
  <c r="AG98" i="56"/>
  <c r="AF98" i="56"/>
  <c r="AE98" i="56"/>
  <c r="AD98" i="56"/>
  <c r="AC98" i="56"/>
  <c r="AB98" i="56"/>
  <c r="AA98" i="56"/>
  <c r="AH95" i="56"/>
  <c r="AG95" i="56"/>
  <c r="AF95" i="56"/>
  <c r="AE95" i="56"/>
  <c r="AD95" i="56"/>
  <c r="AC95" i="56"/>
  <c r="AB95" i="56"/>
  <c r="AA95" i="56"/>
  <c r="AH94" i="56"/>
  <c r="AG94" i="56"/>
  <c r="AF94" i="56"/>
  <c r="AE94" i="56"/>
  <c r="AD94" i="56"/>
  <c r="AC94" i="56"/>
  <c r="AB94" i="56"/>
  <c r="AA94" i="56"/>
  <c r="AH93" i="56"/>
  <c r="AG93" i="56"/>
  <c r="AF93" i="56"/>
  <c r="AE93" i="56"/>
  <c r="AD93" i="56"/>
  <c r="AC93" i="56"/>
  <c r="AB93" i="56"/>
  <c r="AA93" i="56"/>
  <c r="AH92" i="56"/>
  <c r="AG92" i="56"/>
  <c r="AF92" i="56"/>
  <c r="AE92" i="56"/>
  <c r="AD92" i="56"/>
  <c r="AC92" i="56"/>
  <c r="AB92" i="56"/>
  <c r="AA92" i="56"/>
  <c r="AH91" i="56"/>
  <c r="AG91" i="56"/>
  <c r="AF91" i="56"/>
  <c r="AE91" i="56"/>
  <c r="AD91" i="56"/>
  <c r="AC91" i="56"/>
  <c r="AB91" i="56"/>
  <c r="AA91" i="56"/>
  <c r="AH90" i="56"/>
  <c r="AG90" i="56"/>
  <c r="AF90" i="56"/>
  <c r="AE90" i="56"/>
  <c r="AD90" i="56"/>
  <c r="AC90" i="56"/>
  <c r="AB90" i="56"/>
  <c r="AA90" i="56"/>
  <c r="AH89" i="56"/>
  <c r="AG89" i="56"/>
  <c r="AF89" i="56"/>
  <c r="AE89" i="56"/>
  <c r="AD89" i="56"/>
  <c r="AC89" i="56"/>
  <c r="AB89" i="56"/>
  <c r="AA89" i="56"/>
  <c r="AH88" i="56"/>
  <c r="AG88" i="56"/>
  <c r="AF88" i="56"/>
  <c r="AE88" i="56"/>
  <c r="AD88" i="56"/>
  <c r="AC88" i="56"/>
  <c r="AB88" i="56"/>
  <c r="AA88" i="56"/>
  <c r="AH86" i="56"/>
  <c r="AG86" i="56"/>
  <c r="AF86" i="56"/>
  <c r="AE86" i="56"/>
  <c r="AD86" i="56"/>
  <c r="AC86" i="56"/>
  <c r="AB86" i="56"/>
  <c r="AA86" i="56"/>
  <c r="AH85" i="56"/>
  <c r="AG85" i="56"/>
  <c r="AF85" i="56"/>
  <c r="AE85" i="56"/>
  <c r="AD85" i="56"/>
  <c r="AC85" i="56"/>
  <c r="AB85" i="56"/>
  <c r="AA85" i="56"/>
  <c r="AH84" i="56"/>
  <c r="AG84" i="56"/>
  <c r="AF84" i="56"/>
  <c r="AE84" i="56"/>
  <c r="AD84" i="56"/>
  <c r="AC84" i="56"/>
  <c r="AB84" i="56"/>
  <c r="AA84" i="56"/>
  <c r="AH83" i="56"/>
  <c r="AG83" i="56"/>
  <c r="AF83" i="56"/>
  <c r="AE83" i="56"/>
  <c r="AD83" i="56"/>
  <c r="AC83" i="56"/>
  <c r="AB83" i="56"/>
  <c r="AA83" i="56"/>
  <c r="AH82" i="56"/>
  <c r="AG82" i="56"/>
  <c r="AF82" i="56"/>
  <c r="AE82" i="56"/>
  <c r="AD82" i="56"/>
  <c r="AC82" i="56"/>
  <c r="AB82" i="56"/>
  <c r="AA82" i="56"/>
  <c r="AH80" i="56"/>
  <c r="AG80" i="56"/>
  <c r="AF80" i="56"/>
  <c r="AE80" i="56"/>
  <c r="AD80" i="56"/>
  <c r="AC80" i="56"/>
  <c r="AB80" i="56"/>
  <c r="AA80" i="56"/>
  <c r="AH79" i="56"/>
  <c r="AG79" i="56"/>
  <c r="AF79" i="56"/>
  <c r="AE79" i="56"/>
  <c r="AD79" i="56"/>
  <c r="AC79" i="56"/>
  <c r="AB79" i="56"/>
  <c r="AA79" i="56"/>
  <c r="AH77" i="56"/>
  <c r="AG77" i="56"/>
  <c r="AF77" i="56"/>
  <c r="AE77" i="56"/>
  <c r="AD77" i="56"/>
  <c r="AC77" i="56"/>
  <c r="AB77" i="56"/>
  <c r="AA77" i="56"/>
  <c r="AH76" i="56"/>
  <c r="AG76" i="56"/>
  <c r="AF76" i="56"/>
  <c r="AE76" i="56"/>
  <c r="AD76" i="56"/>
  <c r="AC76" i="56"/>
  <c r="AB76" i="56"/>
  <c r="AA76" i="56"/>
  <c r="AH74" i="56"/>
  <c r="AG74" i="56"/>
  <c r="AF74" i="56"/>
  <c r="AE74" i="56"/>
  <c r="AD74" i="56"/>
  <c r="AC74" i="56"/>
  <c r="AB74" i="56"/>
  <c r="AA74" i="56"/>
  <c r="AH73" i="56"/>
  <c r="AG73" i="56"/>
  <c r="AF73" i="56"/>
  <c r="AE73" i="56"/>
  <c r="AD73" i="56"/>
  <c r="AC73" i="56"/>
  <c r="AB73" i="56"/>
  <c r="AA73" i="56"/>
  <c r="AH72" i="56"/>
  <c r="AG72" i="56"/>
  <c r="AF72" i="56"/>
  <c r="AE72" i="56"/>
  <c r="AD72" i="56"/>
  <c r="AC72" i="56"/>
  <c r="AB72" i="56"/>
  <c r="AA72" i="56"/>
  <c r="AH71" i="56"/>
  <c r="AG71" i="56"/>
  <c r="AF71" i="56"/>
  <c r="AE71" i="56"/>
  <c r="AD71" i="56"/>
  <c r="AC71" i="56"/>
  <c r="AB71" i="56"/>
  <c r="AA71" i="56"/>
  <c r="AH69" i="56"/>
  <c r="AG69" i="56"/>
  <c r="AF69" i="56"/>
  <c r="AE69" i="56"/>
  <c r="AD69" i="56"/>
  <c r="AC69" i="56"/>
  <c r="AB69" i="56"/>
  <c r="AA69" i="56"/>
  <c r="AH68" i="56"/>
  <c r="AG68" i="56"/>
  <c r="AF68" i="56"/>
  <c r="AE68" i="56"/>
  <c r="AD68" i="56"/>
  <c r="AC68" i="56"/>
  <c r="AB68" i="56"/>
  <c r="AA68" i="56"/>
  <c r="AH67" i="56"/>
  <c r="AG67" i="56"/>
  <c r="AF67" i="56"/>
  <c r="AE67" i="56"/>
  <c r="AD67" i="56"/>
  <c r="AC67" i="56"/>
  <c r="AB67" i="56"/>
  <c r="AA67" i="56"/>
  <c r="AH66" i="56"/>
  <c r="AG66" i="56"/>
  <c r="AF66" i="56"/>
  <c r="AE66" i="56"/>
  <c r="AD66" i="56"/>
  <c r="AC66" i="56"/>
  <c r="AB66" i="56"/>
  <c r="AA66" i="56"/>
  <c r="AH65" i="56"/>
  <c r="AG65" i="56"/>
  <c r="AF65" i="56"/>
  <c r="AE65" i="56"/>
  <c r="AD65" i="56"/>
  <c r="AC65" i="56"/>
  <c r="AB65" i="56"/>
  <c r="AA65" i="56"/>
  <c r="AH64" i="56"/>
  <c r="AG64" i="56"/>
  <c r="AF64" i="56"/>
  <c r="AE64" i="56"/>
  <c r="AD64" i="56"/>
  <c r="AC64" i="56"/>
  <c r="AB64" i="56"/>
  <c r="AA64" i="56"/>
  <c r="AH63" i="56"/>
  <c r="AG63" i="56"/>
  <c r="AF63" i="56"/>
  <c r="AE63" i="56"/>
  <c r="AD63" i="56"/>
  <c r="AC63" i="56"/>
  <c r="AB63" i="56"/>
  <c r="AA63" i="56"/>
  <c r="AH62" i="56"/>
  <c r="AG62" i="56"/>
  <c r="AF62" i="56"/>
  <c r="AE62" i="56"/>
  <c r="AD62" i="56"/>
  <c r="AC62" i="56"/>
  <c r="AB62" i="56"/>
  <c r="AA62" i="56"/>
  <c r="AH61" i="56"/>
  <c r="AG61" i="56"/>
  <c r="AF61" i="56"/>
  <c r="AE61" i="56"/>
  <c r="AD61" i="56"/>
  <c r="AC61" i="56"/>
  <c r="AB61" i="56"/>
  <c r="AA61" i="56"/>
  <c r="AH60" i="56"/>
  <c r="AG60" i="56"/>
  <c r="AF60" i="56"/>
  <c r="AE60" i="56"/>
  <c r="AD60" i="56"/>
  <c r="AC60" i="56"/>
  <c r="AB60" i="56"/>
  <c r="AA60" i="56"/>
  <c r="AH59" i="56"/>
  <c r="AG59" i="56"/>
  <c r="AF59" i="56"/>
  <c r="AE59" i="56"/>
  <c r="AD59" i="56"/>
  <c r="AC59" i="56"/>
  <c r="AB59" i="56"/>
  <c r="AA59" i="56"/>
  <c r="AH58" i="56"/>
  <c r="AG58" i="56"/>
  <c r="AF58" i="56"/>
  <c r="AE58" i="56"/>
  <c r="AD58" i="56"/>
  <c r="AC58" i="56"/>
  <c r="AB58" i="56"/>
  <c r="AA58" i="56"/>
  <c r="AH57" i="56"/>
  <c r="AG57" i="56"/>
  <c r="AF57" i="56"/>
  <c r="AE57" i="56"/>
  <c r="AD57" i="56"/>
  <c r="AC57" i="56"/>
  <c r="AB57" i="56"/>
  <c r="AA57" i="56"/>
  <c r="AH56" i="56"/>
  <c r="AG56" i="56"/>
  <c r="AF56" i="56"/>
  <c r="AE56" i="56"/>
  <c r="AD56" i="56"/>
  <c r="AC56" i="56"/>
  <c r="AB56" i="56"/>
  <c r="AA56" i="56"/>
  <c r="AH55" i="56"/>
  <c r="AG55" i="56"/>
  <c r="AF55" i="56"/>
  <c r="AE55" i="56"/>
  <c r="AD55" i="56"/>
  <c r="AC55" i="56"/>
  <c r="AB55" i="56"/>
  <c r="AA55" i="56"/>
  <c r="AH53" i="56"/>
  <c r="AG53" i="56"/>
  <c r="AF53" i="56"/>
  <c r="AE53" i="56"/>
  <c r="AD53" i="56"/>
  <c r="AC53" i="56"/>
  <c r="AB53" i="56"/>
  <c r="AA53" i="56"/>
  <c r="AH52" i="56"/>
  <c r="AG52" i="56"/>
  <c r="AF52" i="56"/>
  <c r="AE52" i="56"/>
  <c r="AD52" i="56"/>
  <c r="AC52" i="56"/>
  <c r="AB52" i="56"/>
  <c r="AA52" i="56"/>
  <c r="AH51" i="56"/>
  <c r="AG51" i="56"/>
  <c r="AF51" i="56"/>
  <c r="AE51" i="56"/>
  <c r="AD51" i="56"/>
  <c r="AC51" i="56"/>
  <c r="AB51" i="56"/>
  <c r="AA51" i="56"/>
  <c r="AH50" i="56"/>
  <c r="AG50" i="56"/>
  <c r="AF50" i="56"/>
  <c r="AE50" i="56"/>
  <c r="AD50" i="56"/>
  <c r="AC50" i="56"/>
  <c r="AB50" i="56"/>
  <c r="AA50" i="56"/>
  <c r="AH49" i="56"/>
  <c r="AG49" i="56"/>
  <c r="AF49" i="56"/>
  <c r="AE49" i="56"/>
  <c r="AD49" i="56"/>
  <c r="AC49" i="56"/>
  <c r="AB49" i="56"/>
  <c r="AA49" i="56"/>
  <c r="AH48" i="56"/>
  <c r="AG48" i="56"/>
  <c r="AF48" i="56"/>
  <c r="AE48" i="56"/>
  <c r="AD48" i="56"/>
  <c r="AC48" i="56"/>
  <c r="AB48" i="56"/>
  <c r="AA48" i="56"/>
  <c r="AH47" i="56"/>
  <c r="AG47" i="56"/>
  <c r="AF47" i="56"/>
  <c r="AE47" i="56"/>
  <c r="AD47" i="56"/>
  <c r="AC47" i="56"/>
  <c r="AB47" i="56"/>
  <c r="AA47" i="56"/>
  <c r="AH46" i="56"/>
  <c r="AG46" i="56"/>
  <c r="AF46" i="56"/>
  <c r="AE46" i="56"/>
  <c r="AD46" i="56"/>
  <c r="AC46" i="56"/>
  <c r="AB46" i="56"/>
  <c r="AA46" i="56"/>
  <c r="AH45" i="56"/>
  <c r="AG45" i="56"/>
  <c r="AF45" i="56"/>
  <c r="AE45" i="56"/>
  <c r="AD45" i="56"/>
  <c r="AC45" i="56"/>
  <c r="AB45" i="56"/>
  <c r="AA45" i="56"/>
  <c r="AH44" i="56"/>
  <c r="AG44" i="56"/>
  <c r="AF44" i="56"/>
  <c r="AE44" i="56"/>
  <c r="AD44" i="56"/>
  <c r="AC44" i="56"/>
  <c r="AB44" i="56"/>
  <c r="AA44" i="56"/>
  <c r="AH43" i="56"/>
  <c r="AG43" i="56"/>
  <c r="AF43" i="56"/>
  <c r="AE43" i="56"/>
  <c r="AD43" i="56"/>
  <c r="AC43" i="56"/>
  <c r="AB43" i="56"/>
  <c r="AA43" i="56"/>
  <c r="D92" i="61" s="1"/>
  <c r="AH41" i="56"/>
  <c r="AG41" i="56"/>
  <c r="AF41" i="56"/>
  <c r="AE41" i="56"/>
  <c r="AD41" i="56"/>
  <c r="AC41" i="56"/>
  <c r="AB41" i="56"/>
  <c r="AA41" i="56"/>
  <c r="AH40" i="56"/>
  <c r="AG40" i="56"/>
  <c r="AF40" i="56"/>
  <c r="AE40" i="56"/>
  <c r="AD40" i="56"/>
  <c r="AC40" i="56"/>
  <c r="AB40" i="56"/>
  <c r="AA40" i="56"/>
  <c r="AH39" i="56"/>
  <c r="AG39" i="56"/>
  <c r="AF39" i="56"/>
  <c r="AE39" i="56"/>
  <c r="AD39" i="56"/>
  <c r="AC39" i="56"/>
  <c r="AB39" i="56"/>
  <c r="AA39" i="56"/>
  <c r="AH38" i="56"/>
  <c r="AG38" i="56"/>
  <c r="AF38" i="56"/>
  <c r="AE38" i="56"/>
  <c r="AD38" i="56"/>
  <c r="AC38" i="56"/>
  <c r="AB38" i="56"/>
  <c r="AA38" i="56"/>
  <c r="AH37" i="56"/>
  <c r="AG37" i="56"/>
  <c r="AF37" i="56"/>
  <c r="AE37" i="56"/>
  <c r="AD37" i="56"/>
  <c r="AC37" i="56"/>
  <c r="AB37" i="56"/>
  <c r="AA37" i="56"/>
  <c r="AH36" i="56"/>
  <c r="AG36" i="56"/>
  <c r="AF36" i="56"/>
  <c r="AE36" i="56"/>
  <c r="AD36" i="56"/>
  <c r="AC36" i="56"/>
  <c r="AB36" i="56"/>
  <c r="AA36" i="56"/>
  <c r="AH35" i="56"/>
  <c r="AG35" i="56"/>
  <c r="AF35" i="56"/>
  <c r="AE35" i="56"/>
  <c r="AD35" i="56"/>
  <c r="AC35" i="56"/>
  <c r="AB35" i="56"/>
  <c r="AA35" i="56"/>
  <c r="AH34" i="56"/>
  <c r="AG34" i="56"/>
  <c r="AF34" i="56"/>
  <c r="AE34" i="56"/>
  <c r="AD34" i="56"/>
  <c r="AC34" i="56"/>
  <c r="AB34" i="56"/>
  <c r="AA34" i="56"/>
  <c r="AH33" i="56"/>
  <c r="AG33" i="56"/>
  <c r="AF33" i="56"/>
  <c r="AE33" i="56"/>
  <c r="AD33" i="56"/>
  <c r="AC33" i="56"/>
  <c r="AB33" i="56"/>
  <c r="AA33" i="56"/>
  <c r="AH32" i="56"/>
  <c r="AG32" i="56"/>
  <c r="AF32" i="56"/>
  <c r="AE32" i="56"/>
  <c r="AD32" i="56"/>
  <c r="AC32" i="56"/>
  <c r="AB32" i="56"/>
  <c r="AA32" i="56"/>
  <c r="AH31" i="56"/>
  <c r="AG31" i="56"/>
  <c r="AF31" i="56"/>
  <c r="AE31" i="56"/>
  <c r="AD31" i="56"/>
  <c r="AC31" i="56"/>
  <c r="AB31" i="56"/>
  <c r="AA31" i="56"/>
  <c r="AH30" i="56"/>
  <c r="AG30" i="56"/>
  <c r="AF30" i="56"/>
  <c r="AE30" i="56"/>
  <c r="AD30" i="56"/>
  <c r="AC30" i="56"/>
  <c r="AB30" i="56"/>
  <c r="AA30" i="56"/>
  <c r="AH29" i="56"/>
  <c r="AG29" i="56"/>
  <c r="AF29" i="56"/>
  <c r="AE29" i="56"/>
  <c r="AD29" i="56"/>
  <c r="AC29" i="56"/>
  <c r="AB29" i="56"/>
  <c r="AA29" i="56"/>
  <c r="AH28" i="56"/>
  <c r="AG28" i="56"/>
  <c r="AF28" i="56"/>
  <c r="AE28" i="56"/>
  <c r="AD28" i="56"/>
  <c r="AC28" i="56"/>
  <c r="AB28" i="56"/>
  <c r="AA28" i="56"/>
  <c r="AH27" i="56"/>
  <c r="AG27" i="56"/>
  <c r="AF27" i="56"/>
  <c r="AE27" i="56"/>
  <c r="AD27" i="56"/>
  <c r="AC27" i="56"/>
  <c r="AB27" i="56"/>
  <c r="AA27" i="56"/>
  <c r="AH26" i="56"/>
  <c r="AG26" i="56"/>
  <c r="AF26" i="56"/>
  <c r="AE26" i="56"/>
  <c r="AD26" i="56"/>
  <c r="AC26" i="56"/>
  <c r="AB26" i="56"/>
  <c r="AA26" i="56"/>
  <c r="D91" i="61" s="1"/>
  <c r="AH25" i="56"/>
  <c r="AG25" i="56"/>
  <c r="AF25" i="56"/>
  <c r="AE25" i="56"/>
  <c r="AD25" i="56"/>
  <c r="AC25" i="56"/>
  <c r="AB25" i="56"/>
  <c r="AA25" i="56"/>
  <c r="AH23" i="56"/>
  <c r="AG23" i="56"/>
  <c r="AF23" i="56"/>
  <c r="AE23" i="56"/>
  <c r="AD23" i="56"/>
  <c r="AC23" i="56"/>
  <c r="AB23" i="56"/>
  <c r="AA23" i="56"/>
  <c r="D90" i="61" s="1"/>
  <c r="AH22" i="56"/>
  <c r="AG22" i="56"/>
  <c r="AF22" i="56"/>
  <c r="AE22" i="56"/>
  <c r="AD22" i="56"/>
  <c r="AC22" i="56"/>
  <c r="AB22" i="56"/>
  <c r="AA22" i="56"/>
  <c r="AH21" i="56"/>
  <c r="AG21" i="56"/>
  <c r="AF21" i="56"/>
  <c r="AE21" i="56"/>
  <c r="AD21" i="56"/>
  <c r="AC21" i="56"/>
  <c r="AB21" i="56"/>
  <c r="AA21" i="56"/>
  <c r="AH20" i="56"/>
  <c r="AG20" i="56"/>
  <c r="AF20" i="56"/>
  <c r="AE20" i="56"/>
  <c r="AD20" i="56"/>
  <c r="AC20" i="56"/>
  <c r="AB20" i="56"/>
  <c r="AA20" i="56"/>
  <c r="AH19" i="56"/>
  <c r="AG19" i="56"/>
  <c r="AF19" i="56"/>
  <c r="AE19" i="56"/>
  <c r="AD19" i="56"/>
  <c r="AC19" i="56"/>
  <c r="AB19" i="56"/>
  <c r="AA19" i="56"/>
  <c r="AH18" i="56"/>
  <c r="AG18" i="56"/>
  <c r="AF18" i="56"/>
  <c r="AE18" i="56"/>
  <c r="AD18" i="56"/>
  <c r="AC18" i="56"/>
  <c r="AB18" i="56"/>
  <c r="AA18" i="56"/>
  <c r="AH17" i="56"/>
  <c r="AG17" i="56"/>
  <c r="AF17" i="56"/>
  <c r="AE17" i="56"/>
  <c r="AD17" i="56"/>
  <c r="AC17" i="56"/>
  <c r="AB17" i="56"/>
  <c r="AA17" i="56"/>
  <c r="AH16" i="56"/>
  <c r="AG16" i="56"/>
  <c r="AF16" i="56"/>
  <c r="AE16" i="56"/>
  <c r="AD16" i="56"/>
  <c r="AC16" i="56"/>
  <c r="AB16" i="56"/>
  <c r="AA16" i="56"/>
  <c r="AH15" i="56"/>
  <c r="AG15" i="56"/>
  <c r="AF15" i="56"/>
  <c r="AE15" i="56"/>
  <c r="AD15" i="56"/>
  <c r="AC15" i="56"/>
  <c r="AB15" i="56"/>
  <c r="AA15" i="56"/>
  <c r="AH13" i="56"/>
  <c r="AG13" i="56"/>
  <c r="AF13" i="56"/>
  <c r="AE13" i="56"/>
  <c r="AD13" i="56"/>
  <c r="AC13" i="56"/>
  <c r="AB13" i="56"/>
  <c r="AA13" i="56"/>
  <c r="AH12" i="56"/>
  <c r="AG12" i="56"/>
  <c r="AF12" i="56"/>
  <c r="AE12" i="56"/>
  <c r="AD12" i="56"/>
  <c r="AC12" i="56"/>
  <c r="AB12" i="56"/>
  <c r="AA12" i="56"/>
  <c r="AH11" i="56"/>
  <c r="AG11" i="56"/>
  <c r="AF11" i="56"/>
  <c r="AE11" i="56"/>
  <c r="AD11" i="56"/>
  <c r="AC11" i="56"/>
  <c r="AB11" i="56"/>
  <c r="AA11" i="56"/>
  <c r="AH10" i="56"/>
  <c r="AG10" i="56"/>
  <c r="AF10" i="56"/>
  <c r="AE10" i="56"/>
  <c r="AD10" i="56"/>
  <c r="AC10" i="56"/>
  <c r="AB10" i="56"/>
  <c r="AA10" i="56"/>
  <c r="AH9" i="56"/>
  <c r="AG9" i="56"/>
  <c r="AF9" i="56"/>
  <c r="AE9" i="56"/>
  <c r="AD9" i="56"/>
  <c r="AC9" i="56"/>
  <c r="AB9" i="56"/>
  <c r="AA9" i="56"/>
  <c r="AH8" i="56"/>
  <c r="AG8" i="56"/>
  <c r="AF8" i="56"/>
  <c r="AE8" i="56"/>
  <c r="AD8" i="56"/>
  <c r="AC8" i="56"/>
  <c r="AB8" i="56"/>
  <c r="AA8" i="56"/>
  <c r="AH7" i="56"/>
  <c r="AG7" i="56"/>
  <c r="AF7" i="56"/>
  <c r="AE7" i="56"/>
  <c r="AD7" i="56"/>
  <c r="AC7" i="56"/>
  <c r="AB7" i="56"/>
  <c r="AA7" i="56"/>
  <c r="AH6" i="56"/>
  <c r="AG6" i="56"/>
  <c r="AF6" i="56"/>
  <c r="AE6" i="56"/>
  <c r="AD6" i="56"/>
  <c r="AC6" i="56"/>
  <c r="AB6" i="56"/>
  <c r="AA6" i="56"/>
  <c r="AH5" i="56"/>
  <c r="AG5" i="56"/>
  <c r="AF5" i="56"/>
  <c r="AE5" i="56"/>
  <c r="AD5" i="56"/>
  <c r="AC5" i="56"/>
  <c r="AB5" i="56"/>
  <c r="AA5" i="56"/>
  <c r="AH115" i="55"/>
  <c r="AG115" i="55"/>
  <c r="AF115" i="55"/>
  <c r="AE115" i="55"/>
  <c r="AD115" i="55"/>
  <c r="AC115" i="55"/>
  <c r="AB115" i="55"/>
  <c r="AA115" i="55"/>
  <c r="AH114" i="55"/>
  <c r="AG114" i="55"/>
  <c r="AF114" i="55"/>
  <c r="AE114" i="55"/>
  <c r="AD114" i="55"/>
  <c r="AC114" i="55"/>
  <c r="AB114" i="55"/>
  <c r="AA114" i="55"/>
  <c r="AH113" i="55"/>
  <c r="AG113" i="55"/>
  <c r="AF113" i="55"/>
  <c r="AE113" i="55"/>
  <c r="AD113" i="55"/>
  <c r="AC113" i="55"/>
  <c r="AB113" i="55"/>
  <c r="AA113" i="55"/>
  <c r="AH112" i="55"/>
  <c r="AG112" i="55"/>
  <c r="AF112" i="55"/>
  <c r="AE112" i="55"/>
  <c r="AD112" i="55"/>
  <c r="AC112" i="55"/>
  <c r="AB112" i="55"/>
  <c r="AA112" i="55"/>
  <c r="AH111" i="55"/>
  <c r="AG111" i="55"/>
  <c r="AF111" i="55"/>
  <c r="AE111" i="55"/>
  <c r="AD111" i="55"/>
  <c r="AC111" i="55"/>
  <c r="AB111" i="55"/>
  <c r="AA111" i="55"/>
  <c r="AH108" i="55"/>
  <c r="AG108" i="55"/>
  <c r="AF108" i="55"/>
  <c r="AE108" i="55"/>
  <c r="AD108" i="55"/>
  <c r="AC108" i="55"/>
  <c r="AB108" i="55"/>
  <c r="AA108" i="55"/>
  <c r="AH107" i="55"/>
  <c r="AG107" i="55"/>
  <c r="AF107" i="55"/>
  <c r="AE107" i="55"/>
  <c r="AD107" i="55"/>
  <c r="AC107" i="55"/>
  <c r="AB107" i="55"/>
  <c r="AA107" i="55"/>
  <c r="AH106" i="55"/>
  <c r="AG106" i="55"/>
  <c r="AF106" i="55"/>
  <c r="AE106" i="55"/>
  <c r="AD106" i="55"/>
  <c r="AC106" i="55"/>
  <c r="AB106" i="55"/>
  <c r="AA106" i="55"/>
  <c r="AH105" i="55"/>
  <c r="AG105" i="55"/>
  <c r="AF105" i="55"/>
  <c r="AE105" i="55"/>
  <c r="AD105" i="55"/>
  <c r="AC105" i="55"/>
  <c r="AB105" i="55"/>
  <c r="AA105" i="55"/>
  <c r="AH104" i="55"/>
  <c r="AG104" i="55"/>
  <c r="AF104" i="55"/>
  <c r="AE104" i="55"/>
  <c r="AD104" i="55"/>
  <c r="AC104" i="55"/>
  <c r="AB104" i="55"/>
  <c r="AA104" i="55"/>
  <c r="AH103" i="55"/>
  <c r="AG103" i="55"/>
  <c r="AF103" i="55"/>
  <c r="AE103" i="55"/>
  <c r="AD103" i="55"/>
  <c r="AC103" i="55"/>
  <c r="AB103" i="55"/>
  <c r="AA103" i="55"/>
  <c r="AH102" i="55"/>
  <c r="AG102" i="55"/>
  <c r="AF102" i="55"/>
  <c r="AE102" i="55"/>
  <c r="AD102" i="55"/>
  <c r="AC102" i="55"/>
  <c r="AB102" i="55"/>
  <c r="AA102" i="55"/>
  <c r="AH101" i="55"/>
  <c r="AG101" i="55"/>
  <c r="AF101" i="55"/>
  <c r="AE101" i="55"/>
  <c r="AD101" i="55"/>
  <c r="AC101" i="55"/>
  <c r="AB101" i="55"/>
  <c r="AA101" i="55"/>
  <c r="AH98" i="55"/>
  <c r="AG98" i="55"/>
  <c r="AF98" i="55"/>
  <c r="AE98" i="55"/>
  <c r="AD98" i="55"/>
  <c r="AC98" i="55"/>
  <c r="AB98" i="55"/>
  <c r="AA98" i="55"/>
  <c r="AH97" i="55"/>
  <c r="AG97" i="55"/>
  <c r="AF97" i="55"/>
  <c r="AE97" i="55"/>
  <c r="AD97" i="55"/>
  <c r="AC97" i="55"/>
  <c r="AB97" i="55"/>
  <c r="AA97" i="55"/>
  <c r="AH96" i="55"/>
  <c r="AG96" i="55"/>
  <c r="AF96" i="55"/>
  <c r="AE96" i="55"/>
  <c r="AD96" i="55"/>
  <c r="AC96" i="55"/>
  <c r="AB96" i="55"/>
  <c r="AA96" i="55"/>
  <c r="AH95" i="55"/>
  <c r="AG95" i="55"/>
  <c r="AF95" i="55"/>
  <c r="AE95" i="55"/>
  <c r="AD95" i="55"/>
  <c r="AC95" i="55"/>
  <c r="AB95" i="55"/>
  <c r="AA95" i="55"/>
  <c r="AH94" i="55"/>
  <c r="AG94" i="55"/>
  <c r="AF94" i="55"/>
  <c r="AE94" i="55"/>
  <c r="AD94" i="55"/>
  <c r="AC94" i="55"/>
  <c r="AB94" i="55"/>
  <c r="AA94" i="55"/>
  <c r="AH93" i="55"/>
  <c r="AG93" i="55"/>
  <c r="AF93" i="55"/>
  <c r="AE93" i="55"/>
  <c r="AD93" i="55"/>
  <c r="AC93" i="55"/>
  <c r="AB93" i="55"/>
  <c r="AA93" i="55"/>
  <c r="AH91" i="55"/>
  <c r="AG91" i="55"/>
  <c r="AF91" i="55"/>
  <c r="AE91" i="55"/>
  <c r="AD91" i="55"/>
  <c r="AC91" i="55"/>
  <c r="AB91" i="55"/>
  <c r="AA91" i="55"/>
  <c r="AH90" i="55"/>
  <c r="AG90" i="55"/>
  <c r="AF90" i="55"/>
  <c r="AE90" i="55"/>
  <c r="AD90" i="55"/>
  <c r="AC90" i="55"/>
  <c r="AB90" i="55"/>
  <c r="AA90" i="55"/>
  <c r="AH89" i="55"/>
  <c r="AG89" i="55"/>
  <c r="AF89" i="55"/>
  <c r="AE89" i="55"/>
  <c r="AD89" i="55"/>
  <c r="AC89" i="55"/>
  <c r="AB89" i="55"/>
  <c r="AA89" i="55"/>
  <c r="AH88" i="55"/>
  <c r="AG88" i="55"/>
  <c r="AF88" i="55"/>
  <c r="AE88" i="55"/>
  <c r="AD88" i="55"/>
  <c r="AC88" i="55"/>
  <c r="AB88" i="55"/>
  <c r="AA88" i="55"/>
  <c r="AH87" i="55"/>
  <c r="AG87" i="55"/>
  <c r="AF87" i="55"/>
  <c r="AE87" i="55"/>
  <c r="AD87" i="55"/>
  <c r="AC87" i="55"/>
  <c r="AB87" i="55"/>
  <c r="AA87" i="55"/>
  <c r="AH86" i="55"/>
  <c r="AG86" i="55"/>
  <c r="AF86" i="55"/>
  <c r="AE86" i="55"/>
  <c r="AD86" i="55"/>
  <c r="AC86" i="55"/>
  <c r="AB86" i="55"/>
  <c r="AA86" i="55"/>
  <c r="AH85" i="55"/>
  <c r="AG85" i="55"/>
  <c r="AF85" i="55"/>
  <c r="AE85" i="55"/>
  <c r="AD85" i="55"/>
  <c r="AC85" i="55"/>
  <c r="AB85" i="55"/>
  <c r="AA85" i="55"/>
  <c r="AH84" i="55"/>
  <c r="AG84" i="55"/>
  <c r="AF84" i="55"/>
  <c r="AE84" i="55"/>
  <c r="AD84" i="55"/>
  <c r="AC84" i="55"/>
  <c r="AB84" i="55"/>
  <c r="AA84" i="55"/>
  <c r="AH83" i="55"/>
  <c r="AG83" i="55"/>
  <c r="AF83" i="55"/>
  <c r="AE83" i="55"/>
  <c r="AD83" i="55"/>
  <c r="AC83" i="55"/>
  <c r="AB83" i="55"/>
  <c r="AA83" i="55"/>
  <c r="AH82" i="55"/>
  <c r="AG82" i="55"/>
  <c r="AF82" i="55"/>
  <c r="AE82" i="55"/>
  <c r="AD82" i="55"/>
  <c r="AC82" i="55"/>
  <c r="AB82" i="55"/>
  <c r="AA82" i="55"/>
  <c r="AH80" i="55"/>
  <c r="AG80" i="55"/>
  <c r="AF80" i="55"/>
  <c r="AE80" i="55"/>
  <c r="AD80" i="55"/>
  <c r="AC80" i="55"/>
  <c r="AB80" i="55"/>
  <c r="AA80" i="55"/>
  <c r="AH79" i="55"/>
  <c r="AG79" i="55"/>
  <c r="AF79" i="55"/>
  <c r="AE79" i="55"/>
  <c r="AD79" i="55"/>
  <c r="AC79" i="55"/>
  <c r="AB79" i="55"/>
  <c r="AA79" i="55"/>
  <c r="AH78" i="55"/>
  <c r="AG78" i="55"/>
  <c r="AF78" i="55"/>
  <c r="AE78" i="55"/>
  <c r="AD78" i="55"/>
  <c r="AC78" i="55"/>
  <c r="AB78" i="55"/>
  <c r="AA78" i="55"/>
  <c r="AH77" i="55"/>
  <c r="AG77" i="55"/>
  <c r="AF77" i="55"/>
  <c r="AE77" i="55"/>
  <c r="AD77" i="55"/>
  <c r="AC77" i="55"/>
  <c r="AB77" i="55"/>
  <c r="AA77" i="55"/>
  <c r="AH75" i="55"/>
  <c r="AG75" i="55"/>
  <c r="AF75" i="55"/>
  <c r="AE75" i="55"/>
  <c r="AD75" i="55"/>
  <c r="AC75" i="55"/>
  <c r="AB75" i="55"/>
  <c r="AA75" i="55"/>
  <c r="AH74" i="55"/>
  <c r="AG74" i="55"/>
  <c r="AF74" i="55"/>
  <c r="AE74" i="55"/>
  <c r="AD74" i="55"/>
  <c r="AC74" i="55"/>
  <c r="AB74" i="55"/>
  <c r="AA74" i="55"/>
  <c r="AH73" i="55"/>
  <c r="AG73" i="55"/>
  <c r="AF73" i="55"/>
  <c r="AE73" i="55"/>
  <c r="AD73" i="55"/>
  <c r="AC73" i="55"/>
  <c r="AB73" i="55"/>
  <c r="AA73" i="55"/>
  <c r="AH72" i="55"/>
  <c r="AG72" i="55"/>
  <c r="AF72" i="55"/>
  <c r="AE72" i="55"/>
  <c r="AD72" i="55"/>
  <c r="AC72" i="55"/>
  <c r="AB72" i="55"/>
  <c r="AA72" i="55"/>
  <c r="AH71" i="55"/>
  <c r="AG71" i="55"/>
  <c r="AF71" i="55"/>
  <c r="AE71" i="55"/>
  <c r="AD71" i="55"/>
  <c r="AC71" i="55"/>
  <c r="AB71" i="55"/>
  <c r="AA71" i="55"/>
  <c r="AH70" i="55"/>
  <c r="AG70" i="55"/>
  <c r="AF70" i="55"/>
  <c r="AE70" i="55"/>
  <c r="AD70" i="55"/>
  <c r="AC70" i="55"/>
  <c r="AB70" i="55"/>
  <c r="AA70" i="55"/>
  <c r="AH69" i="55"/>
  <c r="AG69" i="55"/>
  <c r="AF69" i="55"/>
  <c r="AE69" i="55"/>
  <c r="AD69" i="55"/>
  <c r="AC69" i="55"/>
  <c r="AB69" i="55"/>
  <c r="AA69" i="55"/>
  <c r="AH68" i="55"/>
  <c r="AG68" i="55"/>
  <c r="AF68" i="55"/>
  <c r="AE68" i="55"/>
  <c r="AD68" i="55"/>
  <c r="AC68" i="55"/>
  <c r="AB68" i="55"/>
  <c r="AA68" i="55"/>
  <c r="AH67" i="55"/>
  <c r="AG67" i="55"/>
  <c r="AF67" i="55"/>
  <c r="AE67" i="55"/>
  <c r="AD67" i="55"/>
  <c r="AC67" i="55"/>
  <c r="AB67" i="55"/>
  <c r="AA67" i="55"/>
  <c r="AH66" i="55"/>
  <c r="AG66" i="55"/>
  <c r="AF66" i="55"/>
  <c r="AE66" i="55"/>
  <c r="AD66" i="55"/>
  <c r="AC66" i="55"/>
  <c r="AB66" i="55"/>
  <c r="AA66" i="55"/>
  <c r="AH65" i="55"/>
  <c r="AG65" i="55"/>
  <c r="AF65" i="55"/>
  <c r="AE65" i="55"/>
  <c r="AD65" i="55"/>
  <c r="AC65" i="55"/>
  <c r="AB65" i="55"/>
  <c r="AA65" i="55"/>
  <c r="AH63" i="55"/>
  <c r="AG63" i="55"/>
  <c r="AF63" i="55"/>
  <c r="AE63" i="55"/>
  <c r="AD63" i="55"/>
  <c r="AC63" i="55"/>
  <c r="AB63" i="55"/>
  <c r="AA63" i="55"/>
  <c r="AH62" i="55"/>
  <c r="AG62" i="55"/>
  <c r="AF62" i="55"/>
  <c r="AE62" i="55"/>
  <c r="AD62" i="55"/>
  <c r="AC62" i="55"/>
  <c r="AB62" i="55"/>
  <c r="AA62" i="55"/>
  <c r="AH61" i="55"/>
  <c r="AG61" i="55"/>
  <c r="AF61" i="55"/>
  <c r="AE61" i="55"/>
  <c r="AD61" i="55"/>
  <c r="AC61" i="55"/>
  <c r="AB61" i="55"/>
  <c r="AA61" i="55"/>
  <c r="AH60" i="55"/>
  <c r="AG60" i="55"/>
  <c r="AF60" i="55"/>
  <c r="AE60" i="55"/>
  <c r="AD60" i="55"/>
  <c r="AC60" i="55"/>
  <c r="AB60" i="55"/>
  <c r="AA60" i="55"/>
  <c r="AH59" i="55"/>
  <c r="AG59" i="55"/>
  <c r="AF59" i="55"/>
  <c r="AE59" i="55"/>
  <c r="AD59" i="55"/>
  <c r="AC59" i="55"/>
  <c r="AB59" i="55"/>
  <c r="AA59" i="55"/>
  <c r="AH58" i="55"/>
  <c r="AG58" i="55"/>
  <c r="AF58" i="55"/>
  <c r="AE58" i="55"/>
  <c r="AD58" i="55"/>
  <c r="AC58" i="55"/>
  <c r="AB58" i="55"/>
  <c r="AA58" i="55"/>
  <c r="AH57" i="55"/>
  <c r="AG57" i="55"/>
  <c r="AF57" i="55"/>
  <c r="AE57" i="55"/>
  <c r="AD57" i="55"/>
  <c r="AC57" i="55"/>
  <c r="AB57" i="55"/>
  <c r="AA57" i="55"/>
  <c r="AH56" i="55"/>
  <c r="AG56" i="55"/>
  <c r="AF56" i="55"/>
  <c r="AE56" i="55"/>
  <c r="AD56" i="55"/>
  <c r="AC56" i="55"/>
  <c r="AB56" i="55"/>
  <c r="AA56" i="55"/>
  <c r="AH54" i="55"/>
  <c r="AG54" i="55"/>
  <c r="AF54" i="55"/>
  <c r="AE54" i="55"/>
  <c r="AD54" i="55"/>
  <c r="AC54" i="55"/>
  <c r="AB54" i="55"/>
  <c r="AA54" i="55"/>
  <c r="AH53" i="55"/>
  <c r="AG53" i="55"/>
  <c r="AF53" i="55"/>
  <c r="AE53" i="55"/>
  <c r="AD53" i="55"/>
  <c r="AC53" i="55"/>
  <c r="AB53" i="55"/>
  <c r="AA53" i="55"/>
  <c r="AH52" i="55"/>
  <c r="AG52" i="55"/>
  <c r="AF52" i="55"/>
  <c r="AE52" i="55"/>
  <c r="AD52" i="55"/>
  <c r="AC52" i="55"/>
  <c r="AB52" i="55"/>
  <c r="AA52" i="55"/>
  <c r="AH51" i="55"/>
  <c r="AG51" i="55"/>
  <c r="AF51" i="55"/>
  <c r="AE51" i="55"/>
  <c r="AD51" i="55"/>
  <c r="AC51" i="55"/>
  <c r="AB51" i="55"/>
  <c r="AA51" i="55"/>
  <c r="AH50" i="55"/>
  <c r="AG50" i="55"/>
  <c r="AF50" i="55"/>
  <c r="AE50" i="55"/>
  <c r="AD50" i="55"/>
  <c r="AC50" i="55"/>
  <c r="AB50" i="55"/>
  <c r="AA50" i="55"/>
  <c r="AH49" i="55"/>
  <c r="AG49" i="55"/>
  <c r="AF49" i="55"/>
  <c r="AE49" i="55"/>
  <c r="AD49" i="55"/>
  <c r="AC49" i="55"/>
  <c r="AB49" i="55"/>
  <c r="AA49" i="55"/>
  <c r="AH48" i="55"/>
  <c r="AG48" i="55"/>
  <c r="AF48" i="55"/>
  <c r="AE48" i="55"/>
  <c r="AD48" i="55"/>
  <c r="AC48" i="55"/>
  <c r="AB48" i="55"/>
  <c r="AA48" i="55"/>
  <c r="AH47" i="55"/>
  <c r="AG47" i="55"/>
  <c r="AF47" i="55"/>
  <c r="AE47" i="55"/>
  <c r="AD47" i="55"/>
  <c r="AC47" i="55"/>
  <c r="AB47" i="55"/>
  <c r="AA47" i="55"/>
  <c r="AH46" i="55"/>
  <c r="AG46" i="55"/>
  <c r="AF46" i="55"/>
  <c r="AE46" i="55"/>
  <c r="AD46" i="55"/>
  <c r="AC46" i="55"/>
  <c r="AB46" i="55"/>
  <c r="AA46" i="55"/>
  <c r="AH45" i="55"/>
  <c r="AG45" i="55"/>
  <c r="AF45" i="55"/>
  <c r="AE45" i="55"/>
  <c r="AD45" i="55"/>
  <c r="AC45" i="55"/>
  <c r="AB45" i="55"/>
  <c r="AA45" i="55"/>
  <c r="AH44" i="55"/>
  <c r="AG44" i="55"/>
  <c r="AF44" i="55"/>
  <c r="AE44" i="55"/>
  <c r="AD44" i="55"/>
  <c r="AC44" i="55"/>
  <c r="AB44" i="55"/>
  <c r="AA44" i="55"/>
  <c r="AH43" i="55"/>
  <c r="AG43" i="55"/>
  <c r="AF43" i="55"/>
  <c r="AE43" i="55"/>
  <c r="AD43" i="55"/>
  <c r="AC43" i="55"/>
  <c r="AB43" i="55"/>
  <c r="AA43" i="55"/>
  <c r="AH42" i="55"/>
  <c r="AG42" i="55"/>
  <c r="AF42" i="55"/>
  <c r="AE42" i="55"/>
  <c r="AD42" i="55"/>
  <c r="AC42" i="55"/>
  <c r="AB42" i="55"/>
  <c r="AA42" i="55"/>
  <c r="AH41" i="55"/>
  <c r="AG41" i="55"/>
  <c r="AF41" i="55"/>
  <c r="AE41" i="55"/>
  <c r="AD41" i="55"/>
  <c r="AC41" i="55"/>
  <c r="AB41" i="55"/>
  <c r="AA41" i="55"/>
  <c r="AH40" i="55"/>
  <c r="AG40" i="55"/>
  <c r="AF40" i="55"/>
  <c r="AE40" i="55"/>
  <c r="AD40" i="55"/>
  <c r="AC40" i="55"/>
  <c r="AB40" i="55"/>
  <c r="AA40" i="55"/>
  <c r="AH39" i="55"/>
  <c r="AG39" i="55"/>
  <c r="AF39" i="55"/>
  <c r="AE39" i="55"/>
  <c r="AD39" i="55"/>
  <c r="AC39" i="55"/>
  <c r="AB39" i="55"/>
  <c r="AA39" i="55"/>
  <c r="AH38" i="55"/>
  <c r="AG38" i="55"/>
  <c r="AF38" i="55"/>
  <c r="AE38" i="55"/>
  <c r="AD38" i="55"/>
  <c r="AC38" i="55"/>
  <c r="AB38" i="55"/>
  <c r="AA38" i="55"/>
  <c r="AH37" i="55"/>
  <c r="AG37" i="55"/>
  <c r="AF37" i="55"/>
  <c r="AE37" i="55"/>
  <c r="AD37" i="55"/>
  <c r="AC37" i="55"/>
  <c r="AB37" i="55"/>
  <c r="AA37" i="55"/>
  <c r="AH36" i="55"/>
  <c r="AG36" i="55"/>
  <c r="AF36" i="55"/>
  <c r="AE36" i="55"/>
  <c r="AD36" i="55"/>
  <c r="AC36" i="55"/>
  <c r="AB36" i="55"/>
  <c r="AA36" i="55"/>
  <c r="AH35" i="55"/>
  <c r="AG35" i="55"/>
  <c r="AF35" i="55"/>
  <c r="AE35" i="55"/>
  <c r="AD35" i="55"/>
  <c r="AC35" i="55"/>
  <c r="AB35" i="55"/>
  <c r="AA35" i="55"/>
  <c r="AH34" i="55"/>
  <c r="AG34" i="55"/>
  <c r="AF34" i="55"/>
  <c r="AE34" i="55"/>
  <c r="AD34" i="55"/>
  <c r="AC34" i="55"/>
  <c r="AB34" i="55"/>
  <c r="AA34" i="55"/>
  <c r="AH33" i="55"/>
  <c r="AG33" i="55"/>
  <c r="AF33" i="55"/>
  <c r="AE33" i="55"/>
  <c r="AD33" i="55"/>
  <c r="AC33" i="55"/>
  <c r="AB33" i="55"/>
  <c r="AA33" i="55"/>
  <c r="AH32" i="55"/>
  <c r="AG32" i="55"/>
  <c r="AF32" i="55"/>
  <c r="AE32" i="55"/>
  <c r="AD32" i="55"/>
  <c r="AC32" i="55"/>
  <c r="AB32" i="55"/>
  <c r="AA32" i="55"/>
  <c r="AH31" i="55"/>
  <c r="AG31" i="55"/>
  <c r="AF31" i="55"/>
  <c r="AE31" i="55"/>
  <c r="AD31" i="55"/>
  <c r="AC31" i="55"/>
  <c r="AB31" i="55"/>
  <c r="AA31" i="55"/>
  <c r="AH30" i="55"/>
  <c r="AG30" i="55"/>
  <c r="AF30" i="55"/>
  <c r="AE30" i="55"/>
  <c r="AD30" i="55"/>
  <c r="AC30" i="55"/>
  <c r="AB30" i="55"/>
  <c r="AA30" i="55"/>
  <c r="AH29" i="55"/>
  <c r="AG29" i="55"/>
  <c r="AF29" i="55"/>
  <c r="AE29" i="55"/>
  <c r="AD29" i="55"/>
  <c r="AC29" i="55"/>
  <c r="AB29" i="55"/>
  <c r="AA29" i="55"/>
  <c r="AH27" i="55"/>
  <c r="AG27" i="55"/>
  <c r="AF27" i="55"/>
  <c r="AE27" i="55"/>
  <c r="D76" i="61" s="1"/>
  <c r="AD27" i="55"/>
  <c r="AC27" i="55"/>
  <c r="AB27" i="55"/>
  <c r="AA27" i="55"/>
  <c r="AH26" i="55"/>
  <c r="AG26" i="55"/>
  <c r="AF26" i="55"/>
  <c r="AE26" i="55"/>
  <c r="AD26" i="55"/>
  <c r="AC26" i="55"/>
  <c r="AB26" i="55"/>
  <c r="AA26" i="55"/>
  <c r="AH24" i="55"/>
  <c r="AG24" i="55"/>
  <c r="AF24" i="55"/>
  <c r="AE24" i="55"/>
  <c r="AD24" i="55"/>
  <c r="AC24" i="55"/>
  <c r="AB24" i="55"/>
  <c r="AA24" i="55"/>
  <c r="AH23" i="55"/>
  <c r="AG23" i="55"/>
  <c r="AF23" i="55"/>
  <c r="AE23" i="55"/>
  <c r="AD23" i="55"/>
  <c r="AC23" i="55"/>
  <c r="AB23" i="55"/>
  <c r="AA23" i="55"/>
  <c r="AH22" i="55"/>
  <c r="AG22" i="55"/>
  <c r="AF22" i="55"/>
  <c r="AE22" i="55"/>
  <c r="AD22" i="55"/>
  <c r="AC22" i="55"/>
  <c r="AB22" i="55"/>
  <c r="AA22" i="55"/>
  <c r="AH21" i="55"/>
  <c r="AG21" i="55"/>
  <c r="AF21" i="55"/>
  <c r="AE21" i="55"/>
  <c r="AD21" i="55"/>
  <c r="AC21" i="55"/>
  <c r="AB21" i="55"/>
  <c r="AA21" i="55"/>
  <c r="AH20" i="55"/>
  <c r="AG20" i="55"/>
  <c r="AF20" i="55"/>
  <c r="AE20" i="55"/>
  <c r="AD20" i="55"/>
  <c r="AC20" i="55"/>
  <c r="AB20" i="55"/>
  <c r="AA20" i="55"/>
  <c r="AH19" i="55"/>
  <c r="AG19" i="55"/>
  <c r="AF19" i="55"/>
  <c r="AE19" i="55"/>
  <c r="AD19" i="55"/>
  <c r="AC19" i="55"/>
  <c r="AB19" i="55"/>
  <c r="AA19" i="55"/>
  <c r="AH18" i="55"/>
  <c r="AG18" i="55"/>
  <c r="AF18" i="55"/>
  <c r="AE18" i="55"/>
  <c r="AD18" i="55"/>
  <c r="AC18" i="55"/>
  <c r="AB18" i="55"/>
  <c r="AA18" i="55"/>
  <c r="AH17" i="55"/>
  <c r="AG17" i="55"/>
  <c r="AF17" i="55"/>
  <c r="AE17" i="55"/>
  <c r="AD17" i="55"/>
  <c r="AC17" i="55"/>
  <c r="AB17" i="55"/>
  <c r="AA17" i="55"/>
  <c r="AH16" i="55"/>
  <c r="AG16" i="55"/>
  <c r="AF16" i="55"/>
  <c r="AE16" i="55"/>
  <c r="AD16" i="55"/>
  <c r="AC16" i="55"/>
  <c r="AB16" i="55"/>
  <c r="AA16" i="55"/>
  <c r="AH15" i="55"/>
  <c r="AG15" i="55"/>
  <c r="AF15" i="55"/>
  <c r="AE15" i="55"/>
  <c r="AD15" i="55"/>
  <c r="AC15" i="55"/>
  <c r="AB15" i="55"/>
  <c r="AA15" i="55"/>
  <c r="AH14" i="55"/>
  <c r="AG14" i="55"/>
  <c r="AF14" i="55"/>
  <c r="AE14" i="55"/>
  <c r="AD14" i="55"/>
  <c r="AC14" i="55"/>
  <c r="AB14" i="55"/>
  <c r="AA14" i="55"/>
  <c r="AH13" i="55"/>
  <c r="AG13" i="55"/>
  <c r="AF13" i="55"/>
  <c r="AE13" i="55"/>
  <c r="AD13" i="55"/>
  <c r="AC13" i="55"/>
  <c r="AB13" i="55"/>
  <c r="AA13" i="55"/>
  <c r="AH12" i="55"/>
  <c r="AG12" i="55"/>
  <c r="AF12" i="55"/>
  <c r="AE12" i="55"/>
  <c r="AD12" i="55"/>
  <c r="AC12" i="55"/>
  <c r="AB12" i="55"/>
  <c r="AA12" i="55"/>
  <c r="AH11" i="55"/>
  <c r="AG11" i="55"/>
  <c r="AF11" i="55"/>
  <c r="AE11" i="55"/>
  <c r="AD11" i="55"/>
  <c r="AC11" i="55"/>
  <c r="AB11" i="55"/>
  <c r="AA11" i="55"/>
  <c r="AH9" i="55"/>
  <c r="AG9" i="55"/>
  <c r="AF9" i="55"/>
  <c r="AE9" i="55"/>
  <c r="AD9" i="55"/>
  <c r="AC9" i="55"/>
  <c r="AB9" i="55"/>
  <c r="AA9" i="55"/>
  <c r="AH8" i="55"/>
  <c r="AG8" i="55"/>
  <c r="AF8" i="55"/>
  <c r="AE8" i="55"/>
  <c r="AD8" i="55"/>
  <c r="AC8" i="55"/>
  <c r="AB8" i="55"/>
  <c r="AA8" i="55"/>
  <c r="AH7" i="55"/>
  <c r="AG7" i="55"/>
  <c r="AF7" i="55"/>
  <c r="AE7" i="55"/>
  <c r="AD7" i="55"/>
  <c r="AC7" i="55"/>
  <c r="AB7" i="55"/>
  <c r="AA7" i="55"/>
  <c r="AH6" i="55"/>
  <c r="AG6" i="55"/>
  <c r="AF6" i="55"/>
  <c r="AE6" i="55"/>
  <c r="AD6" i="55"/>
  <c r="AC6" i="55"/>
  <c r="AB6" i="55"/>
  <c r="AA6" i="55"/>
  <c r="AH5" i="55"/>
  <c r="AG5" i="55"/>
  <c r="AF5" i="55"/>
  <c r="AE5" i="55"/>
  <c r="AD5" i="55"/>
  <c r="G74" i="61" s="1"/>
  <c r="AC5" i="55"/>
  <c r="AB5" i="55"/>
  <c r="AA5" i="55"/>
  <c r="AH194" i="64"/>
  <c r="AG194" i="64"/>
  <c r="AF194" i="64"/>
  <c r="AE194" i="64"/>
  <c r="AD194" i="64"/>
  <c r="AC194" i="64"/>
  <c r="AB194" i="64"/>
  <c r="AA194" i="64"/>
  <c r="AH193" i="64"/>
  <c r="AG193" i="64"/>
  <c r="AF193" i="64"/>
  <c r="AE193" i="64"/>
  <c r="AD193" i="64"/>
  <c r="AC193" i="64"/>
  <c r="AB193" i="64"/>
  <c r="AA193" i="64"/>
  <c r="AH192" i="64"/>
  <c r="AG192" i="64"/>
  <c r="AF192" i="64"/>
  <c r="AE192" i="64"/>
  <c r="AD192" i="64"/>
  <c r="AC192" i="64"/>
  <c r="AB192" i="64"/>
  <c r="AA192" i="64"/>
  <c r="AH191" i="64"/>
  <c r="AG191" i="64"/>
  <c r="AF191" i="64"/>
  <c r="AE191" i="64"/>
  <c r="AD191" i="64"/>
  <c r="AC191" i="64"/>
  <c r="AB191" i="64"/>
  <c r="AA191" i="64"/>
  <c r="AH190" i="64"/>
  <c r="AG190" i="64"/>
  <c r="AF190" i="64"/>
  <c r="AE190" i="64"/>
  <c r="AD190" i="64"/>
  <c r="AC190" i="64"/>
  <c r="AB190" i="64"/>
  <c r="AA190" i="64"/>
  <c r="AH189" i="64"/>
  <c r="AG189" i="64"/>
  <c r="AF189" i="64"/>
  <c r="AE189" i="64"/>
  <c r="AD189" i="64"/>
  <c r="AC189" i="64"/>
  <c r="AB189" i="64"/>
  <c r="AA189" i="64"/>
  <c r="AH188" i="64"/>
  <c r="AG188" i="64"/>
  <c r="AF188" i="64"/>
  <c r="AE188" i="64"/>
  <c r="AD188" i="64"/>
  <c r="AC188" i="64"/>
  <c r="AB188" i="64"/>
  <c r="AA188" i="64"/>
  <c r="AH186" i="64"/>
  <c r="AG186" i="64"/>
  <c r="AF186" i="64"/>
  <c r="AE186" i="64"/>
  <c r="AD186" i="64"/>
  <c r="AC186" i="64"/>
  <c r="AB186" i="64"/>
  <c r="AA186" i="64"/>
  <c r="AH185" i="64"/>
  <c r="AG185" i="64"/>
  <c r="AF185" i="64"/>
  <c r="AE185" i="64"/>
  <c r="AD185" i="64"/>
  <c r="AC185" i="64"/>
  <c r="AB185" i="64"/>
  <c r="AA185" i="64"/>
  <c r="AH184" i="64"/>
  <c r="AG184" i="64"/>
  <c r="AF184" i="64"/>
  <c r="AE184" i="64"/>
  <c r="AD184" i="64"/>
  <c r="AC184" i="64"/>
  <c r="AB184" i="64"/>
  <c r="AA184" i="64"/>
  <c r="AH183" i="64"/>
  <c r="AG183" i="64"/>
  <c r="AF183" i="64"/>
  <c r="AE183" i="64"/>
  <c r="AD183" i="64"/>
  <c r="AC183" i="64"/>
  <c r="AB183" i="64"/>
  <c r="AA183" i="64"/>
  <c r="AH182" i="64"/>
  <c r="AG182" i="64"/>
  <c r="AF182" i="64"/>
  <c r="AE182" i="64"/>
  <c r="AD182" i="64"/>
  <c r="AC182" i="64"/>
  <c r="AB182" i="64"/>
  <c r="AA182" i="64"/>
  <c r="AH181" i="64"/>
  <c r="AG181" i="64"/>
  <c r="AF181" i="64"/>
  <c r="AE181" i="64"/>
  <c r="AD181" i="64"/>
  <c r="AC181" i="64"/>
  <c r="AB181" i="64"/>
  <c r="AA181" i="64"/>
  <c r="AH180" i="64"/>
  <c r="AG180" i="64"/>
  <c r="AF180" i="64"/>
  <c r="AE180" i="64"/>
  <c r="AD180" i="64"/>
  <c r="AC180" i="64"/>
  <c r="AB180" i="64"/>
  <c r="AA180" i="64"/>
  <c r="AH179" i="64"/>
  <c r="AG179" i="64"/>
  <c r="AF179" i="64"/>
  <c r="AE179" i="64"/>
  <c r="AD179" i="64"/>
  <c r="AC179" i="64"/>
  <c r="AB179" i="64"/>
  <c r="AA179" i="64"/>
  <c r="AH178" i="64"/>
  <c r="AG178" i="64"/>
  <c r="AF178" i="64"/>
  <c r="AE178" i="64"/>
  <c r="AD178" i="64"/>
  <c r="AC178" i="64"/>
  <c r="AB178" i="64"/>
  <c r="AA178" i="64"/>
  <c r="AH177" i="64"/>
  <c r="AG177" i="64"/>
  <c r="AF177" i="64"/>
  <c r="AE177" i="64"/>
  <c r="AD177" i="64"/>
  <c r="AC177" i="64"/>
  <c r="AB177" i="64"/>
  <c r="AA177" i="64"/>
  <c r="AH176" i="64"/>
  <c r="AG176" i="64"/>
  <c r="AF176" i="64"/>
  <c r="AE176" i="64"/>
  <c r="AD176" i="64"/>
  <c r="AC176" i="64"/>
  <c r="AB176" i="64"/>
  <c r="AA176" i="64"/>
  <c r="AH175" i="64"/>
  <c r="AG175" i="64"/>
  <c r="AF175" i="64"/>
  <c r="AE175" i="64"/>
  <c r="AD175" i="64"/>
  <c r="AC175" i="64"/>
  <c r="AB175" i="64"/>
  <c r="AA175" i="64"/>
  <c r="AH174" i="64"/>
  <c r="AG174" i="64"/>
  <c r="AF174" i="64"/>
  <c r="AE174" i="64"/>
  <c r="AD174" i="64"/>
  <c r="AC174" i="64"/>
  <c r="AB174" i="64"/>
  <c r="AA174" i="64"/>
  <c r="AH173" i="64"/>
  <c r="AG173" i="64"/>
  <c r="AF173" i="64"/>
  <c r="AE173" i="64"/>
  <c r="AD173" i="64"/>
  <c r="AC173" i="64"/>
  <c r="AB173" i="64"/>
  <c r="AA173" i="64"/>
  <c r="AH172" i="64"/>
  <c r="AG172" i="64"/>
  <c r="AF172" i="64"/>
  <c r="AE172" i="64"/>
  <c r="AD172" i="64"/>
  <c r="AC172" i="64"/>
  <c r="AB172" i="64"/>
  <c r="AA172" i="64"/>
  <c r="AH170" i="64"/>
  <c r="AG170" i="64"/>
  <c r="AF170" i="64"/>
  <c r="AE170" i="64"/>
  <c r="AD170" i="64"/>
  <c r="AC170" i="64"/>
  <c r="AB170" i="64"/>
  <c r="AA170" i="64"/>
  <c r="AH169" i="64"/>
  <c r="AG169" i="64"/>
  <c r="AF169" i="64"/>
  <c r="AE169" i="64"/>
  <c r="AD169" i="64"/>
  <c r="AC169" i="64"/>
  <c r="AB169" i="64"/>
  <c r="AA169" i="64"/>
  <c r="AH168" i="64"/>
  <c r="AG168" i="64"/>
  <c r="AF168" i="64"/>
  <c r="AE168" i="64"/>
  <c r="AD168" i="64"/>
  <c r="AC168" i="64"/>
  <c r="AB168" i="64"/>
  <c r="AA168" i="64"/>
  <c r="AH166" i="64"/>
  <c r="AG166" i="64"/>
  <c r="AF166" i="64"/>
  <c r="AE166" i="64"/>
  <c r="AD166" i="64"/>
  <c r="AC166" i="64"/>
  <c r="AB166" i="64"/>
  <c r="AA166" i="64"/>
  <c r="AH165" i="64"/>
  <c r="AG165" i="64"/>
  <c r="AF165" i="64"/>
  <c r="AE165" i="64"/>
  <c r="AD165" i="64"/>
  <c r="AC165" i="64"/>
  <c r="AB165" i="64"/>
  <c r="AA165" i="64"/>
  <c r="AH164" i="64"/>
  <c r="AG164" i="64"/>
  <c r="AF164" i="64"/>
  <c r="AE164" i="64"/>
  <c r="AD164" i="64"/>
  <c r="AC164" i="64"/>
  <c r="AB164" i="64"/>
  <c r="AA164" i="64"/>
  <c r="AH163" i="64"/>
  <c r="AG163" i="64"/>
  <c r="AF163" i="64"/>
  <c r="AE163" i="64"/>
  <c r="AD163" i="64"/>
  <c r="AC163" i="64"/>
  <c r="AB163" i="64"/>
  <c r="AA163" i="64"/>
  <c r="AH162" i="64"/>
  <c r="AG162" i="64"/>
  <c r="AF162" i="64"/>
  <c r="AE162" i="64"/>
  <c r="AD162" i="64"/>
  <c r="AC162" i="64"/>
  <c r="AB162" i="64"/>
  <c r="AA162" i="64"/>
  <c r="AH161" i="64"/>
  <c r="AG161" i="64"/>
  <c r="AF161" i="64"/>
  <c r="AE161" i="64"/>
  <c r="AD161" i="64"/>
  <c r="AC161" i="64"/>
  <c r="AB161" i="64"/>
  <c r="AA161" i="64"/>
  <c r="AH159" i="64"/>
  <c r="AG159" i="64"/>
  <c r="AF159" i="64"/>
  <c r="AE159" i="64"/>
  <c r="AD159" i="64"/>
  <c r="AC159" i="64"/>
  <c r="AB159" i="64"/>
  <c r="AA159" i="64"/>
  <c r="AH158" i="64"/>
  <c r="AG158" i="64"/>
  <c r="AF158" i="64"/>
  <c r="AE158" i="64"/>
  <c r="AD158" i="64"/>
  <c r="AC158" i="64"/>
  <c r="AB158" i="64"/>
  <c r="AA158" i="64"/>
  <c r="AH157" i="64"/>
  <c r="AG157" i="64"/>
  <c r="AF157" i="64"/>
  <c r="AE157" i="64"/>
  <c r="AD157" i="64"/>
  <c r="AC157" i="64"/>
  <c r="AB157" i="64"/>
  <c r="AA157" i="64"/>
  <c r="AH156" i="64"/>
  <c r="AG156" i="64"/>
  <c r="AF156" i="64"/>
  <c r="AE156" i="64"/>
  <c r="AD156" i="64"/>
  <c r="AC156" i="64"/>
  <c r="AB156" i="64"/>
  <c r="AA156" i="64"/>
  <c r="AH155" i="64"/>
  <c r="AG155" i="64"/>
  <c r="AF155" i="64"/>
  <c r="AE155" i="64"/>
  <c r="AD155" i="64"/>
  <c r="AC155" i="64"/>
  <c r="AB155" i="64"/>
  <c r="AA155" i="64"/>
  <c r="AH154" i="64"/>
  <c r="AG154" i="64"/>
  <c r="AF154" i="64"/>
  <c r="AE154" i="64"/>
  <c r="AD154" i="64"/>
  <c r="AC154" i="64"/>
  <c r="AB154" i="64"/>
  <c r="AA154" i="64"/>
  <c r="AH153" i="64"/>
  <c r="AG153" i="64"/>
  <c r="AF153" i="64"/>
  <c r="AE153" i="64"/>
  <c r="AD153" i="64"/>
  <c r="AC153" i="64"/>
  <c r="AB153" i="64"/>
  <c r="AA153" i="64"/>
  <c r="AH150" i="64"/>
  <c r="AG150" i="64"/>
  <c r="AF150" i="64"/>
  <c r="AE150" i="64"/>
  <c r="AD150" i="64"/>
  <c r="AC150" i="64"/>
  <c r="AB150" i="64"/>
  <c r="AA150" i="64"/>
  <c r="AH149" i="64"/>
  <c r="AG149" i="64"/>
  <c r="AF149" i="64"/>
  <c r="AE149" i="64"/>
  <c r="AD149" i="64"/>
  <c r="AC149" i="64"/>
  <c r="AB149" i="64"/>
  <c r="AA149" i="64"/>
  <c r="AH148" i="64"/>
  <c r="AG148" i="64"/>
  <c r="AF148" i="64"/>
  <c r="AE148" i="64"/>
  <c r="AD148" i="64"/>
  <c r="AC148" i="64"/>
  <c r="AB148" i="64"/>
  <c r="AA148" i="64"/>
  <c r="AH147" i="64"/>
  <c r="AG147" i="64"/>
  <c r="AF147" i="64"/>
  <c r="AE147" i="64"/>
  <c r="AD147" i="64"/>
  <c r="AC147" i="64"/>
  <c r="AB147" i="64"/>
  <c r="AA147" i="64"/>
  <c r="AH146" i="64"/>
  <c r="AG146" i="64"/>
  <c r="AF146" i="64"/>
  <c r="AE146" i="64"/>
  <c r="AD146" i="64"/>
  <c r="AC146" i="64"/>
  <c r="AB146" i="64"/>
  <c r="AA146" i="64"/>
  <c r="AH145" i="64"/>
  <c r="AG145" i="64"/>
  <c r="AF145" i="64"/>
  <c r="AE145" i="64"/>
  <c r="AD145" i="64"/>
  <c r="AC145" i="64"/>
  <c r="AB145" i="64"/>
  <c r="AA145" i="64"/>
  <c r="AH143" i="64"/>
  <c r="AG143" i="64"/>
  <c r="AF143" i="64"/>
  <c r="AE143" i="64"/>
  <c r="AD143" i="64"/>
  <c r="AC143" i="64"/>
  <c r="AB143" i="64"/>
  <c r="AA143" i="64"/>
  <c r="AH142" i="64"/>
  <c r="AG142" i="64"/>
  <c r="AF142" i="64"/>
  <c r="AE142" i="64"/>
  <c r="AD142" i="64"/>
  <c r="AC142" i="64"/>
  <c r="AB142" i="64"/>
  <c r="AA142" i="64"/>
  <c r="AH141" i="64"/>
  <c r="AG141" i="64"/>
  <c r="AF141" i="64"/>
  <c r="AE141" i="64"/>
  <c r="AD141" i="64"/>
  <c r="AC141" i="64"/>
  <c r="AB141" i="64"/>
  <c r="AA141" i="64"/>
  <c r="AH140" i="64"/>
  <c r="AG140" i="64"/>
  <c r="AF140" i="64"/>
  <c r="AE140" i="64"/>
  <c r="AD140" i="64"/>
  <c r="AC140" i="64"/>
  <c r="AB140" i="64"/>
  <c r="AA140" i="64"/>
  <c r="AH139" i="64"/>
  <c r="AG139" i="64"/>
  <c r="AF139" i="64"/>
  <c r="AE139" i="64"/>
  <c r="AD139" i="64"/>
  <c r="AC139" i="64"/>
  <c r="AB139" i="64"/>
  <c r="AA139" i="64"/>
  <c r="AH138" i="64"/>
  <c r="AG138" i="64"/>
  <c r="AF138" i="64"/>
  <c r="AE138" i="64"/>
  <c r="AD138" i="64"/>
  <c r="AC138" i="64"/>
  <c r="AB138" i="64"/>
  <c r="AA138" i="64"/>
  <c r="AH137" i="64"/>
  <c r="AG137" i="64"/>
  <c r="AF137" i="64"/>
  <c r="AE137" i="64"/>
  <c r="AD137" i="64"/>
  <c r="AC137" i="64"/>
  <c r="AB137" i="64"/>
  <c r="AA137" i="64"/>
  <c r="AH136" i="64"/>
  <c r="AG136" i="64"/>
  <c r="AF136" i="64"/>
  <c r="AE136" i="64"/>
  <c r="AD136" i="64"/>
  <c r="AC136" i="64"/>
  <c r="AB136" i="64"/>
  <c r="AA136" i="64"/>
  <c r="AH134" i="64"/>
  <c r="AG134" i="64"/>
  <c r="AF134" i="64"/>
  <c r="AE134" i="64"/>
  <c r="AD134" i="64"/>
  <c r="AC134" i="64"/>
  <c r="AB134" i="64"/>
  <c r="AA134" i="64"/>
  <c r="AH133" i="64"/>
  <c r="AG133" i="64"/>
  <c r="AF133" i="64"/>
  <c r="AE133" i="64"/>
  <c r="AD133" i="64"/>
  <c r="AC133" i="64"/>
  <c r="AB133" i="64"/>
  <c r="AA133" i="64"/>
  <c r="AH132" i="64"/>
  <c r="AG132" i="64"/>
  <c r="AF132" i="64"/>
  <c r="AE132" i="64"/>
  <c r="AD132" i="64"/>
  <c r="AC132" i="64"/>
  <c r="AB132" i="64"/>
  <c r="AA132" i="64"/>
  <c r="AH131" i="64"/>
  <c r="AG131" i="64"/>
  <c r="AF131" i="64"/>
  <c r="AE131" i="64"/>
  <c r="AD131" i="64"/>
  <c r="AC131" i="64"/>
  <c r="AB131" i="64"/>
  <c r="AA131" i="64"/>
  <c r="AH130" i="64"/>
  <c r="AG130" i="64"/>
  <c r="AF130" i="64"/>
  <c r="AE130" i="64"/>
  <c r="AD130" i="64"/>
  <c r="AC130" i="64"/>
  <c r="AB130" i="64"/>
  <c r="AA130" i="64"/>
  <c r="AH129" i="64"/>
  <c r="AG129" i="64"/>
  <c r="AF129" i="64"/>
  <c r="AE129" i="64"/>
  <c r="AD129" i="64"/>
  <c r="AC129" i="64"/>
  <c r="AB129" i="64"/>
  <c r="AA129" i="64"/>
  <c r="AH128" i="64"/>
  <c r="AG128" i="64"/>
  <c r="AF128" i="64"/>
  <c r="AE128" i="64"/>
  <c r="AD128" i="64"/>
  <c r="AC128" i="64"/>
  <c r="AB128" i="64"/>
  <c r="AA128" i="64"/>
  <c r="AH126" i="64"/>
  <c r="AG126" i="64"/>
  <c r="AF126" i="64"/>
  <c r="AE126" i="64"/>
  <c r="AD126" i="64"/>
  <c r="AC126" i="64"/>
  <c r="AB126" i="64"/>
  <c r="AA126" i="64"/>
  <c r="AH125" i="64"/>
  <c r="AG125" i="64"/>
  <c r="AF125" i="64"/>
  <c r="AE125" i="64"/>
  <c r="AD125" i="64"/>
  <c r="AC125" i="64"/>
  <c r="AB125" i="64"/>
  <c r="AA125" i="64"/>
  <c r="AH124" i="64"/>
  <c r="AG124" i="64"/>
  <c r="AF124" i="64"/>
  <c r="AE124" i="64"/>
  <c r="AD124" i="64"/>
  <c r="AC124" i="64"/>
  <c r="AB124" i="64"/>
  <c r="AA124" i="64"/>
  <c r="AH123" i="64"/>
  <c r="AG123" i="64"/>
  <c r="AF123" i="64"/>
  <c r="AE123" i="64"/>
  <c r="AD123" i="64"/>
  <c r="AC123" i="64"/>
  <c r="AB123" i="64"/>
  <c r="AA123" i="64"/>
  <c r="AH122" i="64"/>
  <c r="AG122" i="64"/>
  <c r="AF122" i="64"/>
  <c r="AE122" i="64"/>
  <c r="AD122" i="64"/>
  <c r="AC122" i="64"/>
  <c r="AB122" i="64"/>
  <c r="AA122" i="64"/>
  <c r="AH121" i="64"/>
  <c r="AG121" i="64"/>
  <c r="AF121" i="64"/>
  <c r="AE121" i="64"/>
  <c r="AD121" i="64"/>
  <c r="AC121" i="64"/>
  <c r="AB121" i="64"/>
  <c r="AA121" i="64"/>
  <c r="AH120" i="64"/>
  <c r="AG120" i="64"/>
  <c r="AF120" i="64"/>
  <c r="AE120" i="64"/>
  <c r="AD120" i="64"/>
  <c r="AC120" i="64"/>
  <c r="AB120" i="64"/>
  <c r="AA120" i="64"/>
  <c r="AH119" i="64"/>
  <c r="AG119" i="64"/>
  <c r="AF119" i="64"/>
  <c r="AE119" i="64"/>
  <c r="AD119" i="64"/>
  <c r="AC119" i="64"/>
  <c r="AB119" i="64"/>
  <c r="AA119" i="64"/>
  <c r="AH117" i="64"/>
  <c r="AG117" i="64"/>
  <c r="AF117" i="64"/>
  <c r="AE117" i="64"/>
  <c r="AD117" i="64"/>
  <c r="AC117" i="64"/>
  <c r="AB117" i="64"/>
  <c r="AA117" i="64"/>
  <c r="AH116" i="64"/>
  <c r="AG116" i="64"/>
  <c r="AF116" i="64"/>
  <c r="AE116" i="64"/>
  <c r="AD116" i="64"/>
  <c r="AC116" i="64"/>
  <c r="AB116" i="64"/>
  <c r="AA116" i="64"/>
  <c r="AH115" i="64"/>
  <c r="AG115" i="64"/>
  <c r="AF115" i="64"/>
  <c r="AE115" i="64"/>
  <c r="AD115" i="64"/>
  <c r="AC115" i="64"/>
  <c r="AB115" i="64"/>
  <c r="AA115" i="64"/>
  <c r="AH114" i="64"/>
  <c r="AG114" i="64"/>
  <c r="AF114" i="64"/>
  <c r="AE114" i="64"/>
  <c r="AD114" i="64"/>
  <c r="AC114" i="64"/>
  <c r="AB114" i="64"/>
  <c r="AA114" i="64"/>
  <c r="AH113" i="64"/>
  <c r="AG113" i="64"/>
  <c r="AF113" i="64"/>
  <c r="AE113" i="64"/>
  <c r="AD113" i="64"/>
  <c r="AC113" i="64"/>
  <c r="AB113" i="64"/>
  <c r="AA113" i="64"/>
  <c r="AH112" i="64"/>
  <c r="AG112" i="64"/>
  <c r="AF112" i="64"/>
  <c r="AE112" i="64"/>
  <c r="AD112" i="64"/>
  <c r="AC112" i="64"/>
  <c r="AB112" i="64"/>
  <c r="AA112" i="64"/>
  <c r="AH111" i="64"/>
  <c r="AG111" i="64"/>
  <c r="AF111" i="64"/>
  <c r="AE111" i="64"/>
  <c r="AD111" i="64"/>
  <c r="AC111" i="64"/>
  <c r="AB111" i="64"/>
  <c r="AA111" i="64"/>
  <c r="AH110" i="64"/>
  <c r="AG110" i="64"/>
  <c r="AF110" i="64"/>
  <c r="AE110" i="64"/>
  <c r="AD110" i="64"/>
  <c r="AC110" i="64"/>
  <c r="AB110" i="64"/>
  <c r="AA110" i="64"/>
  <c r="AH109" i="64"/>
  <c r="AG109" i="64"/>
  <c r="AF109" i="64"/>
  <c r="AE109" i="64"/>
  <c r="AD109" i="64"/>
  <c r="AC109" i="64"/>
  <c r="AB109" i="64"/>
  <c r="AA109" i="64"/>
  <c r="AH108" i="64"/>
  <c r="AG108" i="64"/>
  <c r="AF108" i="64"/>
  <c r="AE108" i="64"/>
  <c r="AD108" i="64"/>
  <c r="AC108" i="64"/>
  <c r="AB108" i="64"/>
  <c r="AA108" i="64"/>
  <c r="AH107" i="64"/>
  <c r="AG107" i="64"/>
  <c r="AF107" i="64"/>
  <c r="AE107" i="64"/>
  <c r="AD107" i="64"/>
  <c r="AC107" i="64"/>
  <c r="AB107" i="64"/>
  <c r="AA107" i="64"/>
  <c r="AH106" i="64"/>
  <c r="AG106" i="64"/>
  <c r="AF106" i="64"/>
  <c r="AE106" i="64"/>
  <c r="AD106" i="64"/>
  <c r="AC106" i="64"/>
  <c r="AB106" i="64"/>
  <c r="AA106" i="64"/>
  <c r="AH105" i="64"/>
  <c r="AG105" i="64"/>
  <c r="AF105" i="64"/>
  <c r="AE105" i="64"/>
  <c r="AD105" i="64"/>
  <c r="AC105" i="64"/>
  <c r="AB105" i="64"/>
  <c r="AA105" i="64"/>
  <c r="AH104" i="64"/>
  <c r="AG104" i="64"/>
  <c r="AF104" i="64"/>
  <c r="AE104" i="64"/>
  <c r="AD104" i="64"/>
  <c r="AC104" i="64"/>
  <c r="AB104" i="64"/>
  <c r="AA104" i="64"/>
  <c r="AH103" i="64"/>
  <c r="AG103" i="64"/>
  <c r="AF103" i="64"/>
  <c r="AE103" i="64"/>
  <c r="AD103" i="64"/>
  <c r="AC103" i="64"/>
  <c r="AB103" i="64"/>
  <c r="AA103" i="64"/>
  <c r="AH102" i="64"/>
  <c r="AG102" i="64"/>
  <c r="AF102" i="64"/>
  <c r="AE102" i="64"/>
  <c r="AD102" i="64"/>
  <c r="AC102" i="64"/>
  <c r="AB102" i="64"/>
  <c r="AA102" i="64"/>
  <c r="AH99" i="64"/>
  <c r="AG99" i="64"/>
  <c r="AF99" i="64"/>
  <c r="AE99" i="64"/>
  <c r="AD99" i="64"/>
  <c r="AC99" i="64"/>
  <c r="AB99" i="64"/>
  <c r="AA99" i="64"/>
  <c r="AH98" i="64"/>
  <c r="AG98" i="64"/>
  <c r="AF98" i="64"/>
  <c r="AE98" i="64"/>
  <c r="AD98" i="64"/>
  <c r="AC98" i="64"/>
  <c r="AB98" i="64"/>
  <c r="AA98" i="64"/>
  <c r="AH96" i="64"/>
  <c r="AG96" i="64"/>
  <c r="AF96" i="64"/>
  <c r="AE96" i="64"/>
  <c r="AD96" i="64"/>
  <c r="AC96" i="64"/>
  <c r="AB96" i="64"/>
  <c r="AA96" i="64"/>
  <c r="AH95" i="64"/>
  <c r="AG95" i="64"/>
  <c r="AF95" i="64"/>
  <c r="AE95" i="64"/>
  <c r="AD95" i="64"/>
  <c r="AC95" i="64"/>
  <c r="AB95" i="64"/>
  <c r="AA95" i="64"/>
  <c r="AH93" i="64"/>
  <c r="AG93" i="64"/>
  <c r="AF93" i="64"/>
  <c r="AE93" i="64"/>
  <c r="AD93" i="64"/>
  <c r="AC93" i="64"/>
  <c r="AB93" i="64"/>
  <c r="AA93" i="64"/>
  <c r="AH92" i="64"/>
  <c r="AG92" i="64"/>
  <c r="AF92" i="64"/>
  <c r="AE92" i="64"/>
  <c r="AD92" i="64"/>
  <c r="AC92" i="64"/>
  <c r="AB92" i="64"/>
  <c r="AA92" i="64"/>
  <c r="AH90" i="64"/>
  <c r="AG90" i="64"/>
  <c r="AF90" i="64"/>
  <c r="AE90" i="64"/>
  <c r="AD90" i="64"/>
  <c r="AC90" i="64"/>
  <c r="AB90" i="64"/>
  <c r="AA90" i="64"/>
  <c r="AH89" i="64"/>
  <c r="AG89" i="64"/>
  <c r="AF89" i="64"/>
  <c r="AE89" i="64"/>
  <c r="AD89" i="64"/>
  <c r="AC89" i="64"/>
  <c r="AB89" i="64"/>
  <c r="AA89" i="64"/>
  <c r="AH87" i="64"/>
  <c r="AG87" i="64"/>
  <c r="AF87" i="64"/>
  <c r="AE87" i="64"/>
  <c r="AD87" i="64"/>
  <c r="AC87" i="64"/>
  <c r="AB87" i="64"/>
  <c r="AA87" i="64"/>
  <c r="AH86" i="64"/>
  <c r="AG86" i="64"/>
  <c r="AF86" i="64"/>
  <c r="AE86" i="64"/>
  <c r="AD86" i="64"/>
  <c r="AC86" i="64"/>
  <c r="AB86" i="64"/>
  <c r="AA86" i="64"/>
  <c r="AH84" i="64"/>
  <c r="AG84" i="64"/>
  <c r="AF84" i="64"/>
  <c r="AE84" i="64"/>
  <c r="AD84" i="64"/>
  <c r="AC84" i="64"/>
  <c r="AB84" i="64"/>
  <c r="AA84" i="64"/>
  <c r="AH83" i="64"/>
  <c r="AG83" i="64"/>
  <c r="AF83" i="64"/>
  <c r="AE83" i="64"/>
  <c r="AD83" i="64"/>
  <c r="AC83" i="64"/>
  <c r="AB83" i="64"/>
  <c r="AA83" i="64"/>
  <c r="AH82" i="64"/>
  <c r="AG82" i="64"/>
  <c r="AF82" i="64"/>
  <c r="AE82" i="64"/>
  <c r="AD82" i="64"/>
  <c r="AC82" i="64"/>
  <c r="AB82" i="64"/>
  <c r="AA82" i="64"/>
  <c r="AH81" i="64"/>
  <c r="AG81" i="64"/>
  <c r="AF81" i="64"/>
  <c r="AE81" i="64"/>
  <c r="AD81" i="64"/>
  <c r="AC81" i="64"/>
  <c r="AB81" i="64"/>
  <c r="AA81" i="64"/>
  <c r="AH80" i="64"/>
  <c r="AG80" i="64"/>
  <c r="AF80" i="64"/>
  <c r="AE80" i="64"/>
  <c r="AD80" i="64"/>
  <c r="AC80" i="64"/>
  <c r="AB80" i="64"/>
  <c r="AA80" i="64"/>
  <c r="AH78" i="64"/>
  <c r="AG78" i="64"/>
  <c r="AF78" i="64"/>
  <c r="AE78" i="64"/>
  <c r="AD78" i="64"/>
  <c r="AC78" i="64"/>
  <c r="AB78" i="64"/>
  <c r="AA78" i="64"/>
  <c r="AH77" i="64"/>
  <c r="AG77" i="64"/>
  <c r="AF77" i="64"/>
  <c r="AE77" i="64"/>
  <c r="AD77" i="64"/>
  <c r="AC77" i="64"/>
  <c r="AB77" i="64"/>
  <c r="AA77" i="64"/>
  <c r="AH75" i="64"/>
  <c r="AG75" i="64"/>
  <c r="AF75" i="64"/>
  <c r="AE75" i="64"/>
  <c r="AD75" i="64"/>
  <c r="AC75" i="64"/>
  <c r="AB75" i="64"/>
  <c r="AA75" i="64"/>
  <c r="AH74" i="64"/>
  <c r="AG74" i="64"/>
  <c r="AF74" i="64"/>
  <c r="AE74" i="64"/>
  <c r="AD74" i="64"/>
  <c r="AC74" i="64"/>
  <c r="AB74" i="64"/>
  <c r="AA74" i="64"/>
  <c r="AH73" i="64"/>
  <c r="AG73" i="64"/>
  <c r="AF73" i="64"/>
  <c r="AE73" i="64"/>
  <c r="AD73" i="64"/>
  <c r="AC73" i="64"/>
  <c r="AB73" i="64"/>
  <c r="AA73" i="64"/>
  <c r="AH72" i="64"/>
  <c r="AG72" i="64"/>
  <c r="AF72" i="64"/>
  <c r="AE72" i="64"/>
  <c r="AD72" i="64"/>
  <c r="AC72" i="64"/>
  <c r="AB72" i="64"/>
  <c r="AA72" i="64"/>
  <c r="AH71" i="64"/>
  <c r="AG71" i="64"/>
  <c r="AF71" i="64"/>
  <c r="AE71" i="64"/>
  <c r="AD71" i="64"/>
  <c r="AC71" i="64"/>
  <c r="AB71" i="64"/>
  <c r="AA71" i="64"/>
  <c r="AH70" i="64"/>
  <c r="AG70" i="64"/>
  <c r="AF70" i="64"/>
  <c r="AE70" i="64"/>
  <c r="AD70" i="64"/>
  <c r="AC70" i="64"/>
  <c r="AB70" i="64"/>
  <c r="AA70" i="64"/>
  <c r="AH69" i="64"/>
  <c r="AG69" i="64"/>
  <c r="AF69" i="64"/>
  <c r="AE69" i="64"/>
  <c r="AD69" i="64"/>
  <c r="AC69" i="64"/>
  <c r="AB69" i="64"/>
  <c r="AA69" i="64"/>
  <c r="AH68" i="64"/>
  <c r="AG68" i="64"/>
  <c r="AF68" i="64"/>
  <c r="AE68" i="64"/>
  <c r="AD68" i="64"/>
  <c r="AC68" i="64"/>
  <c r="AB68" i="64"/>
  <c r="AA68" i="64"/>
  <c r="AH67" i="64"/>
  <c r="AG67" i="64"/>
  <c r="AF67" i="64"/>
  <c r="AE67" i="64"/>
  <c r="AD67" i="64"/>
  <c r="AC67" i="64"/>
  <c r="AB67" i="64"/>
  <c r="AA67" i="64"/>
  <c r="AH66" i="64"/>
  <c r="AG66" i="64"/>
  <c r="AF66" i="64"/>
  <c r="AE66" i="64"/>
  <c r="AD66" i="64"/>
  <c r="AC66" i="64"/>
  <c r="AB66" i="64"/>
  <c r="AA66" i="64"/>
  <c r="AH65" i="64"/>
  <c r="AG65" i="64"/>
  <c r="AF65" i="64"/>
  <c r="AE65" i="64"/>
  <c r="AD65" i="64"/>
  <c r="AC65" i="64"/>
  <c r="AB65" i="64"/>
  <c r="AA65" i="64"/>
  <c r="AH63" i="64"/>
  <c r="AG63" i="64"/>
  <c r="AF63" i="64"/>
  <c r="AE63" i="64"/>
  <c r="AD63" i="64"/>
  <c r="AC63" i="64"/>
  <c r="AB63" i="64"/>
  <c r="AA63" i="64"/>
  <c r="AH62" i="64"/>
  <c r="AG62" i="64"/>
  <c r="AF62" i="64"/>
  <c r="AE62" i="64"/>
  <c r="AD62" i="64"/>
  <c r="AC62" i="64"/>
  <c r="AB62" i="64"/>
  <c r="AA62" i="64"/>
  <c r="AH59" i="64"/>
  <c r="AG59" i="64"/>
  <c r="AF59" i="64"/>
  <c r="AE59" i="64"/>
  <c r="AD59" i="64"/>
  <c r="AC59" i="64"/>
  <c r="AB59" i="64"/>
  <c r="AA59" i="64"/>
  <c r="AH58" i="64"/>
  <c r="AG58" i="64"/>
  <c r="AF58" i="64"/>
  <c r="AE58" i="64"/>
  <c r="AD58" i="64"/>
  <c r="AC58" i="64"/>
  <c r="AB58" i="64"/>
  <c r="AA58" i="64"/>
  <c r="AH56" i="64"/>
  <c r="AG56" i="64"/>
  <c r="AF56" i="64"/>
  <c r="AE56" i="64"/>
  <c r="AD56" i="64"/>
  <c r="AC56" i="64"/>
  <c r="AB56" i="64"/>
  <c r="AA56" i="64"/>
  <c r="AH55" i="64"/>
  <c r="AG55" i="64"/>
  <c r="AF55" i="64"/>
  <c r="AE55" i="64"/>
  <c r="AD55" i="64"/>
  <c r="AC55" i="64"/>
  <c r="AB55" i="64"/>
  <c r="AA55" i="64"/>
  <c r="AH53" i="64"/>
  <c r="AG53" i="64"/>
  <c r="AF53" i="64"/>
  <c r="AE53" i="64"/>
  <c r="AD53" i="64"/>
  <c r="AC53" i="64"/>
  <c r="AB53" i="64"/>
  <c r="AA53" i="64"/>
  <c r="AH52" i="64"/>
  <c r="AG52" i="64"/>
  <c r="AF52" i="64"/>
  <c r="AE52" i="64"/>
  <c r="AD52" i="64"/>
  <c r="AC52" i="64"/>
  <c r="AB52" i="64"/>
  <c r="AA52" i="64"/>
  <c r="AH50" i="64"/>
  <c r="AG50" i="64"/>
  <c r="AF50" i="64"/>
  <c r="AE50" i="64"/>
  <c r="AD50" i="64"/>
  <c r="AC50" i="64"/>
  <c r="AB50" i="64"/>
  <c r="AA50" i="64"/>
  <c r="AH49" i="64"/>
  <c r="AG49" i="64"/>
  <c r="AF49" i="64"/>
  <c r="AE49" i="64"/>
  <c r="AD49" i="64"/>
  <c r="AC49" i="64"/>
  <c r="AB49" i="64"/>
  <c r="AA49" i="64"/>
  <c r="AH48" i="64"/>
  <c r="AG48" i="64"/>
  <c r="AF48" i="64"/>
  <c r="AE48" i="64"/>
  <c r="AD48" i="64"/>
  <c r="AC48" i="64"/>
  <c r="AB48" i="64"/>
  <c r="AA48" i="64"/>
  <c r="AH47" i="64"/>
  <c r="AG47" i="64"/>
  <c r="AF47" i="64"/>
  <c r="AE47" i="64"/>
  <c r="AD47" i="64"/>
  <c r="AC47" i="64"/>
  <c r="AB47" i="64"/>
  <c r="AA47" i="64"/>
  <c r="AH46" i="64"/>
  <c r="AG46" i="64"/>
  <c r="AF46" i="64"/>
  <c r="AE46" i="64"/>
  <c r="AD46" i="64"/>
  <c r="AC46" i="64"/>
  <c r="AB46" i="64"/>
  <c r="AA46" i="64"/>
  <c r="AH45" i="64"/>
  <c r="AG45" i="64"/>
  <c r="AF45" i="64"/>
  <c r="AE45" i="64"/>
  <c r="AD45" i="64"/>
  <c r="AC45" i="64"/>
  <c r="AB45" i="64"/>
  <c r="AA45" i="64"/>
  <c r="AH44" i="64"/>
  <c r="AG44" i="64"/>
  <c r="AF44" i="64"/>
  <c r="AE44" i="64"/>
  <c r="AD44" i="64"/>
  <c r="AC44" i="64"/>
  <c r="AB44" i="64"/>
  <c r="AA44" i="64"/>
  <c r="AH42" i="64"/>
  <c r="AG42" i="64"/>
  <c r="AF42" i="64"/>
  <c r="AE42" i="64"/>
  <c r="AD42" i="64"/>
  <c r="AC42" i="64"/>
  <c r="AB42" i="64"/>
  <c r="AA42" i="64"/>
  <c r="AH41" i="64"/>
  <c r="AG41" i="64"/>
  <c r="AF41" i="64"/>
  <c r="AE41" i="64"/>
  <c r="AD41" i="64"/>
  <c r="AC41" i="64"/>
  <c r="AB41" i="64"/>
  <c r="AA41" i="64"/>
  <c r="AH40" i="64"/>
  <c r="AG40" i="64"/>
  <c r="AF40" i="64"/>
  <c r="AE40" i="64"/>
  <c r="AD40" i="64"/>
  <c r="AC40" i="64"/>
  <c r="AB40" i="64"/>
  <c r="AA40" i="64"/>
  <c r="AH39" i="64"/>
  <c r="AG39" i="64"/>
  <c r="AF39" i="64"/>
  <c r="AE39" i="64"/>
  <c r="AD39" i="64"/>
  <c r="AC39" i="64"/>
  <c r="AB39" i="64"/>
  <c r="AA39" i="64"/>
  <c r="AH38" i="64"/>
  <c r="AG38" i="64"/>
  <c r="AF38" i="64"/>
  <c r="AE38" i="64"/>
  <c r="AD38" i="64"/>
  <c r="AC38" i="64"/>
  <c r="AB38" i="64"/>
  <c r="AA38" i="64"/>
  <c r="AH37" i="64"/>
  <c r="AG37" i="64"/>
  <c r="AF37" i="64"/>
  <c r="AE37" i="64"/>
  <c r="AD37" i="64"/>
  <c r="AC37" i="64"/>
  <c r="AB37" i="64"/>
  <c r="AA37" i="64"/>
  <c r="AH36" i="64"/>
  <c r="AG36" i="64"/>
  <c r="AF36" i="64"/>
  <c r="AE36" i="64"/>
  <c r="AD36" i="64"/>
  <c r="AC36" i="64"/>
  <c r="AB36" i="64"/>
  <c r="AA36" i="64"/>
  <c r="AH35" i="64"/>
  <c r="AG35" i="64"/>
  <c r="AF35" i="64"/>
  <c r="AE35" i="64"/>
  <c r="AD35" i="64"/>
  <c r="AC35" i="64"/>
  <c r="AB35" i="64"/>
  <c r="AA35" i="64"/>
  <c r="AH34" i="64"/>
  <c r="AG34" i="64"/>
  <c r="AF34" i="64"/>
  <c r="AE34" i="64"/>
  <c r="AD34" i="64"/>
  <c r="AC34" i="64"/>
  <c r="AB34" i="64"/>
  <c r="AA34" i="64"/>
  <c r="AH32" i="64"/>
  <c r="AG32" i="64"/>
  <c r="AF32" i="64"/>
  <c r="AE32" i="64"/>
  <c r="AD32" i="64"/>
  <c r="AC32" i="64"/>
  <c r="AB32" i="64"/>
  <c r="AA32" i="64"/>
  <c r="AH31" i="64"/>
  <c r="AG31" i="64"/>
  <c r="AF31" i="64"/>
  <c r="AE31" i="64"/>
  <c r="AD31" i="64"/>
  <c r="AC31" i="64"/>
  <c r="AB31" i="64"/>
  <c r="AA31" i="64"/>
  <c r="AH30" i="64"/>
  <c r="AG30" i="64"/>
  <c r="AF30" i="64"/>
  <c r="AE30" i="64"/>
  <c r="AD30" i="64"/>
  <c r="AC30" i="64"/>
  <c r="AB30" i="64"/>
  <c r="AA30" i="64"/>
  <c r="AH29" i="64"/>
  <c r="AG29" i="64"/>
  <c r="AF29" i="64"/>
  <c r="AE29" i="64"/>
  <c r="AD29" i="64"/>
  <c r="AC29" i="64"/>
  <c r="AB29" i="64"/>
  <c r="AA29" i="64"/>
  <c r="AH28" i="64"/>
  <c r="AG28" i="64"/>
  <c r="AF28" i="64"/>
  <c r="AE28" i="64"/>
  <c r="AD28" i="64"/>
  <c r="AC28" i="64"/>
  <c r="AB28" i="64"/>
  <c r="AA28" i="64"/>
  <c r="AH27" i="64"/>
  <c r="AG27" i="64"/>
  <c r="AF27" i="64"/>
  <c r="AE27" i="64"/>
  <c r="AD27" i="64"/>
  <c r="AC27" i="64"/>
  <c r="AB27" i="64"/>
  <c r="AA27" i="64"/>
  <c r="AH26" i="64"/>
  <c r="AG26" i="64"/>
  <c r="AF26" i="64"/>
  <c r="AE26" i="64"/>
  <c r="AD26" i="64"/>
  <c r="AC26" i="64"/>
  <c r="AB26" i="64"/>
  <c r="AA26" i="64"/>
  <c r="AH25" i="64"/>
  <c r="AG25" i="64"/>
  <c r="AF25" i="64"/>
  <c r="AE25" i="64"/>
  <c r="AD25" i="64"/>
  <c r="AC25" i="64"/>
  <c r="AB25" i="64"/>
  <c r="AA25" i="64"/>
  <c r="AH24" i="64"/>
  <c r="AG24" i="64"/>
  <c r="AF24" i="64"/>
  <c r="AE24" i="64"/>
  <c r="AD24" i="64"/>
  <c r="AC24" i="64"/>
  <c r="AB24" i="64"/>
  <c r="AA24" i="64"/>
  <c r="AH23" i="64"/>
  <c r="AG23" i="64"/>
  <c r="AF23" i="64"/>
  <c r="AE23" i="64"/>
  <c r="AD23" i="64"/>
  <c r="AC23" i="64"/>
  <c r="AB23" i="64"/>
  <c r="AA23" i="64"/>
  <c r="AH22" i="64"/>
  <c r="AG22" i="64"/>
  <c r="AF22" i="64"/>
  <c r="AE22" i="64"/>
  <c r="AD22" i="64"/>
  <c r="AC22" i="64"/>
  <c r="AB22" i="64"/>
  <c r="AA22" i="64"/>
  <c r="AH19" i="64"/>
  <c r="AG19" i="64"/>
  <c r="AF19" i="64"/>
  <c r="AE19" i="64"/>
  <c r="AD19" i="64"/>
  <c r="AC19" i="64"/>
  <c r="AB19" i="64"/>
  <c r="AA19" i="64"/>
  <c r="AH18" i="64"/>
  <c r="AG18" i="64"/>
  <c r="AF18" i="64"/>
  <c r="AE18" i="64"/>
  <c r="AD18" i="64"/>
  <c r="AC18" i="64"/>
  <c r="AB18" i="64"/>
  <c r="AA18" i="64"/>
  <c r="AH17" i="64"/>
  <c r="AG17" i="64"/>
  <c r="AF17" i="64"/>
  <c r="AE17" i="64"/>
  <c r="AD17" i="64"/>
  <c r="AC17" i="64"/>
  <c r="AB17" i="64"/>
  <c r="AA17" i="64"/>
  <c r="AH16" i="64"/>
  <c r="AG16" i="64"/>
  <c r="AF16" i="64"/>
  <c r="AE16" i="64"/>
  <c r="AD16" i="64"/>
  <c r="AC16" i="64"/>
  <c r="AB16" i="64"/>
  <c r="AA16" i="64"/>
  <c r="AH15" i="64"/>
  <c r="AG15" i="64"/>
  <c r="AF15" i="64"/>
  <c r="AE15" i="64"/>
  <c r="AD15" i="64"/>
  <c r="AC15" i="64"/>
  <c r="AB15" i="64"/>
  <c r="AA15" i="64"/>
  <c r="AH14" i="64"/>
  <c r="AG14" i="64"/>
  <c r="AF14" i="64"/>
  <c r="AE14" i="64"/>
  <c r="AD14" i="64"/>
  <c r="AC14" i="64"/>
  <c r="AB14" i="64"/>
  <c r="AA14" i="64"/>
  <c r="AH13" i="64"/>
  <c r="AG13" i="64"/>
  <c r="AF13" i="64"/>
  <c r="AE13" i="64"/>
  <c r="AD13" i="64"/>
  <c r="AC13" i="64"/>
  <c r="AB13" i="64"/>
  <c r="AA13" i="64"/>
  <c r="AH12" i="64"/>
  <c r="AG12" i="64"/>
  <c r="AF12" i="64"/>
  <c r="AE12" i="64"/>
  <c r="AD12" i="64"/>
  <c r="AC12" i="64"/>
  <c r="AB12" i="64"/>
  <c r="AA12" i="64"/>
  <c r="AH10" i="64"/>
  <c r="AG10" i="64"/>
  <c r="AF10" i="64"/>
  <c r="AE10" i="64"/>
  <c r="AD10" i="64"/>
  <c r="AC10" i="64"/>
  <c r="AB10" i="64"/>
  <c r="AA10" i="64"/>
  <c r="AH9" i="64"/>
  <c r="AG9" i="64"/>
  <c r="AF9" i="64"/>
  <c r="AE9" i="64"/>
  <c r="AD9" i="64"/>
  <c r="AC9" i="64"/>
  <c r="AB9" i="64"/>
  <c r="AA9" i="64"/>
  <c r="AH7" i="64"/>
  <c r="AG7" i="64"/>
  <c r="AF7" i="64"/>
  <c r="AE7" i="64"/>
  <c r="AD7" i="64"/>
  <c r="AC7" i="64"/>
  <c r="AB7" i="64"/>
  <c r="AA7" i="64"/>
  <c r="AH6" i="64"/>
  <c r="AG6" i="64"/>
  <c r="AF6" i="64"/>
  <c r="AE6" i="64"/>
  <c r="AD6" i="64"/>
  <c r="AC6" i="64"/>
  <c r="AB6" i="64"/>
  <c r="AA6" i="64"/>
  <c r="AH5" i="64"/>
  <c r="AG5" i="64"/>
  <c r="AF5" i="64"/>
  <c r="AE5" i="64"/>
  <c r="AD5" i="64"/>
  <c r="AC5" i="64"/>
  <c r="AB5" i="64"/>
  <c r="AA5" i="64"/>
  <c r="D40" i="61" s="1"/>
  <c r="AH162" i="62"/>
  <c r="AG162" i="62"/>
  <c r="AF162" i="62"/>
  <c r="AE162" i="62"/>
  <c r="AD162" i="62"/>
  <c r="AC162" i="62"/>
  <c r="AB162" i="62"/>
  <c r="AA162" i="62"/>
  <c r="AH161" i="62"/>
  <c r="AG161" i="62"/>
  <c r="AF161" i="62"/>
  <c r="AE161" i="62"/>
  <c r="AD161" i="62"/>
  <c r="AC161" i="62"/>
  <c r="AB161" i="62"/>
  <c r="AA161" i="62"/>
  <c r="AH159" i="62"/>
  <c r="AG159" i="62"/>
  <c r="AF159" i="62"/>
  <c r="AE159" i="62"/>
  <c r="AD159" i="62"/>
  <c r="AC159" i="62"/>
  <c r="AB159" i="62"/>
  <c r="AA159" i="62"/>
  <c r="AH158" i="62"/>
  <c r="AG158" i="62"/>
  <c r="AF158" i="62"/>
  <c r="AE158" i="62"/>
  <c r="AD158" i="62"/>
  <c r="AC158" i="62"/>
  <c r="AB158" i="62"/>
  <c r="AA158" i="62"/>
  <c r="AH156" i="62"/>
  <c r="AG156" i="62"/>
  <c r="AF156" i="62"/>
  <c r="AE156" i="62"/>
  <c r="AD156" i="62"/>
  <c r="AC156" i="62"/>
  <c r="AB156" i="62"/>
  <c r="AA156" i="62"/>
  <c r="AH155" i="62"/>
  <c r="AG155" i="62"/>
  <c r="AF155" i="62"/>
  <c r="AE155" i="62"/>
  <c r="AD155" i="62"/>
  <c r="AC155" i="62"/>
  <c r="AB155" i="62"/>
  <c r="AA155" i="62"/>
  <c r="AH153" i="62"/>
  <c r="AG153" i="62"/>
  <c r="AF153" i="62"/>
  <c r="AE153" i="62"/>
  <c r="AD153" i="62"/>
  <c r="AC153" i="62"/>
  <c r="AB153" i="62"/>
  <c r="AA153" i="62"/>
  <c r="AH152" i="62"/>
  <c r="AG152" i="62"/>
  <c r="AF152" i="62"/>
  <c r="AE152" i="62"/>
  <c r="AD152" i="62"/>
  <c r="AC152" i="62"/>
  <c r="AB152" i="62"/>
  <c r="AA152" i="62"/>
  <c r="AH151" i="62"/>
  <c r="AG151" i="62"/>
  <c r="AF151" i="62"/>
  <c r="AE151" i="62"/>
  <c r="AD151" i="62"/>
  <c r="AC151" i="62"/>
  <c r="AB151" i="62"/>
  <c r="AA151" i="62"/>
  <c r="AH148" i="62"/>
  <c r="AG148" i="62"/>
  <c r="AF148" i="62"/>
  <c r="AE148" i="62"/>
  <c r="AD148" i="62"/>
  <c r="AC148" i="62"/>
  <c r="AB148" i="62"/>
  <c r="AA148" i="62"/>
  <c r="AH147" i="62"/>
  <c r="AG147" i="62"/>
  <c r="AF147" i="62"/>
  <c r="AE147" i="62"/>
  <c r="AD147" i="62"/>
  <c r="AC147" i="62"/>
  <c r="AB147" i="62"/>
  <c r="AA147" i="62"/>
  <c r="AH146" i="62"/>
  <c r="AG146" i="62"/>
  <c r="AF146" i="62"/>
  <c r="AE146" i="62"/>
  <c r="AD146" i="62"/>
  <c r="AC146" i="62"/>
  <c r="AB146" i="62"/>
  <c r="AA146" i="62"/>
  <c r="AH145" i="62"/>
  <c r="AG145" i="62"/>
  <c r="AF145" i="62"/>
  <c r="AE145" i="62"/>
  <c r="AD145" i="62"/>
  <c r="AC145" i="62"/>
  <c r="AB145" i="62"/>
  <c r="AA145" i="62"/>
  <c r="AH144" i="62"/>
  <c r="AG144" i="62"/>
  <c r="AF144" i="62"/>
  <c r="AE144" i="62"/>
  <c r="AD144" i="62"/>
  <c r="AC144" i="62"/>
  <c r="AB144" i="62"/>
  <c r="AA144" i="62"/>
  <c r="AH143" i="62"/>
  <c r="AG143" i="62"/>
  <c r="AF143" i="62"/>
  <c r="AE143" i="62"/>
  <c r="AD143" i="62"/>
  <c r="AC143" i="62"/>
  <c r="AB143" i="62"/>
  <c r="AA143" i="62"/>
  <c r="AH142" i="62"/>
  <c r="AG142" i="62"/>
  <c r="AF142" i="62"/>
  <c r="AE142" i="62"/>
  <c r="AD142" i="62"/>
  <c r="AC142" i="62"/>
  <c r="AB142" i="62"/>
  <c r="AA142" i="62"/>
  <c r="AH141" i="62"/>
  <c r="AG141" i="62"/>
  <c r="AF141" i="62"/>
  <c r="AE141" i="62"/>
  <c r="AD141" i="62"/>
  <c r="AC141" i="62"/>
  <c r="AB141" i="62"/>
  <c r="AA141" i="62"/>
  <c r="AH139" i="62"/>
  <c r="AG139" i="62"/>
  <c r="AF139" i="62"/>
  <c r="AE139" i="62"/>
  <c r="AD139" i="62"/>
  <c r="AC139" i="62"/>
  <c r="AB139" i="62"/>
  <c r="AA139" i="62"/>
  <c r="AH138" i="62"/>
  <c r="AG138" i="62"/>
  <c r="AF138" i="62"/>
  <c r="AE138" i="62"/>
  <c r="AD138" i="62"/>
  <c r="AC138" i="62"/>
  <c r="AB138" i="62"/>
  <c r="AA138" i="62"/>
  <c r="AH137" i="62"/>
  <c r="AG137" i="62"/>
  <c r="AF137" i="62"/>
  <c r="AE137" i="62"/>
  <c r="AD137" i="62"/>
  <c r="AC137" i="62"/>
  <c r="AB137" i="62"/>
  <c r="AA137" i="62"/>
  <c r="AH136" i="62"/>
  <c r="AG136" i="62"/>
  <c r="AF136" i="62"/>
  <c r="AE136" i="62"/>
  <c r="AD136" i="62"/>
  <c r="AC136" i="62"/>
  <c r="AB136" i="62"/>
  <c r="AA136" i="62"/>
  <c r="AH135" i="62"/>
  <c r="AG135" i="62"/>
  <c r="AF135" i="62"/>
  <c r="AE135" i="62"/>
  <c r="AD135" i="62"/>
  <c r="AC135" i="62"/>
  <c r="AB135" i="62"/>
  <c r="AA135" i="62"/>
  <c r="AH134" i="62"/>
  <c r="AG134" i="62"/>
  <c r="AF134" i="62"/>
  <c r="AE134" i="62"/>
  <c r="AD134" i="62"/>
  <c r="AC134" i="62"/>
  <c r="AB134" i="62"/>
  <c r="AA134" i="62"/>
  <c r="AH133" i="62"/>
  <c r="AG133" i="62"/>
  <c r="AF133" i="62"/>
  <c r="AE133" i="62"/>
  <c r="AD133" i="62"/>
  <c r="AC133" i="62"/>
  <c r="AB133" i="62"/>
  <c r="AA133" i="62"/>
  <c r="AH131" i="62"/>
  <c r="AG131" i="62"/>
  <c r="AF131" i="62"/>
  <c r="AE131" i="62"/>
  <c r="AD131" i="62"/>
  <c r="AC131" i="62"/>
  <c r="AB131" i="62"/>
  <c r="AA131" i="62"/>
  <c r="AH130" i="62"/>
  <c r="AG130" i="62"/>
  <c r="AF130" i="62"/>
  <c r="AE130" i="62"/>
  <c r="AD130" i="62"/>
  <c r="AC130" i="62"/>
  <c r="AB130" i="62"/>
  <c r="AA130" i="62"/>
  <c r="AH129" i="62"/>
  <c r="AG129" i="62"/>
  <c r="AF129" i="62"/>
  <c r="AE129" i="62"/>
  <c r="AD129" i="62"/>
  <c r="AC129" i="62"/>
  <c r="AB129" i="62"/>
  <c r="AA129" i="62"/>
  <c r="AH128" i="62"/>
  <c r="AG128" i="62"/>
  <c r="AF128" i="62"/>
  <c r="AE128" i="62"/>
  <c r="AD128" i="62"/>
  <c r="AC128" i="62"/>
  <c r="AB128" i="62"/>
  <c r="AA128" i="62"/>
  <c r="AH127" i="62"/>
  <c r="AG127" i="62"/>
  <c r="AF127" i="62"/>
  <c r="AE127" i="62"/>
  <c r="AD127" i="62"/>
  <c r="AC127" i="62"/>
  <c r="AB127" i="62"/>
  <c r="AA127" i="62"/>
  <c r="AH126" i="62"/>
  <c r="AG126" i="62"/>
  <c r="AF126" i="62"/>
  <c r="AE126" i="62"/>
  <c r="AD126" i="62"/>
  <c r="AC126" i="62"/>
  <c r="AB126" i="62"/>
  <c r="AA126" i="62"/>
  <c r="AH125" i="62"/>
  <c r="AG125" i="62"/>
  <c r="AF125" i="62"/>
  <c r="AE125" i="62"/>
  <c r="AD125" i="62"/>
  <c r="AC125" i="62"/>
  <c r="AB125" i="62"/>
  <c r="AA125" i="62"/>
  <c r="AH124" i="62"/>
  <c r="AG124" i="62"/>
  <c r="AF124" i="62"/>
  <c r="AE124" i="62"/>
  <c r="AD124" i="62"/>
  <c r="AC124" i="62"/>
  <c r="AB124" i="62"/>
  <c r="AA124" i="62"/>
  <c r="AH123" i="62"/>
  <c r="AG123" i="62"/>
  <c r="AF123" i="62"/>
  <c r="AE123" i="62"/>
  <c r="AD123" i="62"/>
  <c r="AC123" i="62"/>
  <c r="AB123" i="62"/>
  <c r="AA123" i="62"/>
  <c r="AH122" i="62"/>
  <c r="AG122" i="62"/>
  <c r="AF122" i="62"/>
  <c r="AE122" i="62"/>
  <c r="AD122" i="62"/>
  <c r="AC122" i="62"/>
  <c r="AB122" i="62"/>
  <c r="AA122" i="62"/>
  <c r="AH121" i="62"/>
  <c r="AG121" i="62"/>
  <c r="AF121" i="62"/>
  <c r="AE121" i="62"/>
  <c r="AD121" i="62"/>
  <c r="AC121" i="62"/>
  <c r="AB121" i="62"/>
  <c r="AA121" i="62"/>
  <c r="AH120" i="62"/>
  <c r="AG120" i="62"/>
  <c r="AF120" i="62"/>
  <c r="AE120" i="62"/>
  <c r="AD120" i="62"/>
  <c r="AC120" i="62"/>
  <c r="AB120" i="62"/>
  <c r="AA120" i="62"/>
  <c r="AH119" i="62"/>
  <c r="AG119" i="62"/>
  <c r="AF119" i="62"/>
  <c r="AE119" i="62"/>
  <c r="AD119" i="62"/>
  <c r="AC119" i="62"/>
  <c r="AB119" i="62"/>
  <c r="AA119" i="62"/>
  <c r="AH118" i="62"/>
  <c r="AG118" i="62"/>
  <c r="AF118" i="62"/>
  <c r="AE118" i="62"/>
  <c r="AD118" i="62"/>
  <c r="AC118" i="62"/>
  <c r="AB118" i="62"/>
  <c r="AA118" i="62"/>
  <c r="AH117" i="62"/>
  <c r="AG117" i="62"/>
  <c r="AF117" i="62"/>
  <c r="AE117" i="62"/>
  <c r="AD117" i="62"/>
  <c r="AC117" i="62"/>
  <c r="AB117" i="62"/>
  <c r="AA117" i="62"/>
  <c r="AH116" i="62"/>
  <c r="AG116" i="62"/>
  <c r="AF116" i="62"/>
  <c r="AE116" i="62"/>
  <c r="AD116" i="62"/>
  <c r="AC116" i="62"/>
  <c r="AB116" i="62"/>
  <c r="AA116" i="62"/>
  <c r="AH115" i="62"/>
  <c r="AG115" i="62"/>
  <c r="AF115" i="62"/>
  <c r="AE115" i="62"/>
  <c r="AD115" i="62"/>
  <c r="AC115" i="62"/>
  <c r="AB115" i="62"/>
  <c r="AA115" i="62"/>
  <c r="AH112" i="62"/>
  <c r="AG112" i="62"/>
  <c r="AF112" i="62"/>
  <c r="AE112" i="62"/>
  <c r="AD112" i="62"/>
  <c r="AC112" i="62"/>
  <c r="AB112" i="62"/>
  <c r="AA112" i="62"/>
  <c r="AH111" i="62"/>
  <c r="AG111" i="62"/>
  <c r="AF111" i="62"/>
  <c r="AE111" i="62"/>
  <c r="AD111" i="62"/>
  <c r="AC111" i="62"/>
  <c r="AB111" i="62"/>
  <c r="AA111" i="62"/>
  <c r="AH110" i="62"/>
  <c r="AG110" i="62"/>
  <c r="AF110" i="62"/>
  <c r="AE110" i="62"/>
  <c r="AD110" i="62"/>
  <c r="AC110" i="62"/>
  <c r="AB110" i="62"/>
  <c r="AA110" i="62"/>
  <c r="AH109" i="62"/>
  <c r="AG109" i="62"/>
  <c r="AF109" i="62"/>
  <c r="AE109" i="62"/>
  <c r="AD109" i="62"/>
  <c r="AC109" i="62"/>
  <c r="AB109" i="62"/>
  <c r="AA109" i="62"/>
  <c r="AH107" i="62"/>
  <c r="AG107" i="62"/>
  <c r="AF107" i="62"/>
  <c r="AE107" i="62"/>
  <c r="AD107" i="62"/>
  <c r="AC107" i="62"/>
  <c r="AB107" i="62"/>
  <c r="AA107" i="62"/>
  <c r="AH106" i="62"/>
  <c r="AG106" i="62"/>
  <c r="AF106" i="62"/>
  <c r="AE106" i="62"/>
  <c r="AD106" i="62"/>
  <c r="AC106" i="62"/>
  <c r="AB106" i="62"/>
  <c r="AA106" i="62"/>
  <c r="AH105" i="62"/>
  <c r="AG105" i="62"/>
  <c r="AF105" i="62"/>
  <c r="AE105" i="62"/>
  <c r="AD105" i="62"/>
  <c r="AC105" i="62"/>
  <c r="AB105" i="62"/>
  <c r="AA105" i="62"/>
  <c r="AH104" i="62"/>
  <c r="AG104" i="62"/>
  <c r="AF104" i="62"/>
  <c r="AE104" i="62"/>
  <c r="AD104" i="62"/>
  <c r="AC104" i="62"/>
  <c r="AB104" i="62"/>
  <c r="AA104" i="62"/>
  <c r="AH103" i="62"/>
  <c r="AG103" i="62"/>
  <c r="AF103" i="62"/>
  <c r="AE103" i="62"/>
  <c r="AD103" i="62"/>
  <c r="AC103" i="62"/>
  <c r="AB103" i="62"/>
  <c r="AA103" i="62"/>
  <c r="AH102" i="62"/>
  <c r="AG102" i="62"/>
  <c r="AF102" i="62"/>
  <c r="AE102" i="62"/>
  <c r="AD102" i="62"/>
  <c r="AC102" i="62"/>
  <c r="AB102" i="62"/>
  <c r="AA102" i="62"/>
  <c r="AH101" i="62"/>
  <c r="AG101" i="62"/>
  <c r="AF101" i="62"/>
  <c r="AE101" i="62"/>
  <c r="AD101" i="62"/>
  <c r="AC101" i="62"/>
  <c r="AB101" i="62"/>
  <c r="AA101" i="62"/>
  <c r="AH98" i="62"/>
  <c r="AG98" i="62"/>
  <c r="AF98" i="62"/>
  <c r="AE98" i="62"/>
  <c r="AD98" i="62"/>
  <c r="AC98" i="62"/>
  <c r="AB98" i="62"/>
  <c r="AA98" i="62"/>
  <c r="AH97" i="62"/>
  <c r="AG97" i="62"/>
  <c r="AF97" i="62"/>
  <c r="AE97" i="62"/>
  <c r="AD97" i="62"/>
  <c r="AC97" i="62"/>
  <c r="AB97" i="62"/>
  <c r="AA97" i="62"/>
  <c r="AH96" i="62"/>
  <c r="AG96" i="62"/>
  <c r="AF96" i="62"/>
  <c r="AE96" i="62"/>
  <c r="AD96" i="62"/>
  <c r="AC96" i="62"/>
  <c r="AB96" i="62"/>
  <c r="AA96" i="62"/>
  <c r="AH95" i="62"/>
  <c r="AG95" i="62"/>
  <c r="AF95" i="62"/>
  <c r="AE95" i="62"/>
  <c r="AD95" i="62"/>
  <c r="AC95" i="62"/>
  <c r="AB95" i="62"/>
  <c r="AA95" i="62"/>
  <c r="AH94" i="62"/>
  <c r="AG94" i="62"/>
  <c r="AF94" i="62"/>
  <c r="AE94" i="62"/>
  <c r="D25" i="61" s="1"/>
  <c r="AD94" i="62"/>
  <c r="AC94" i="62"/>
  <c r="AB94" i="62"/>
  <c r="AA94" i="62"/>
  <c r="AH92" i="62"/>
  <c r="AG92" i="62"/>
  <c r="AF92" i="62"/>
  <c r="AE92" i="62"/>
  <c r="AD92" i="62"/>
  <c r="AC92" i="62"/>
  <c r="AB92" i="62"/>
  <c r="AA92" i="62"/>
  <c r="AH91" i="62"/>
  <c r="AG91" i="62"/>
  <c r="AF91" i="62"/>
  <c r="AE91" i="62"/>
  <c r="AD91" i="62"/>
  <c r="AC91" i="62"/>
  <c r="AB91" i="62"/>
  <c r="AA91" i="62"/>
  <c r="AH90" i="62"/>
  <c r="AG90" i="62"/>
  <c r="AF90" i="62"/>
  <c r="AE90" i="62"/>
  <c r="AD90" i="62"/>
  <c r="AC90" i="62"/>
  <c r="AB90" i="62"/>
  <c r="AA90" i="62"/>
  <c r="AH88" i="62"/>
  <c r="AG88" i="62"/>
  <c r="AF88" i="62"/>
  <c r="AE88" i="62"/>
  <c r="AD88" i="62"/>
  <c r="AC88" i="62"/>
  <c r="AB88" i="62"/>
  <c r="AA88" i="62"/>
  <c r="AH87" i="62"/>
  <c r="AG87" i="62"/>
  <c r="AF87" i="62"/>
  <c r="AE87" i="62"/>
  <c r="AD87" i="62"/>
  <c r="AC87" i="62"/>
  <c r="AB87" i="62"/>
  <c r="AA87" i="62"/>
  <c r="AH86" i="62"/>
  <c r="AG86" i="62"/>
  <c r="AF86" i="62"/>
  <c r="AE86" i="62"/>
  <c r="AD86" i="62"/>
  <c r="AC86" i="62"/>
  <c r="AB86" i="62"/>
  <c r="AA86" i="62"/>
  <c r="AH84" i="62"/>
  <c r="AG84" i="62"/>
  <c r="AF84" i="62"/>
  <c r="AE84" i="62"/>
  <c r="AD84" i="62"/>
  <c r="AC84" i="62"/>
  <c r="AB84" i="62"/>
  <c r="AA84" i="62"/>
  <c r="AH83" i="62"/>
  <c r="AG83" i="62"/>
  <c r="AF83" i="62"/>
  <c r="AE83" i="62"/>
  <c r="AD83" i="62"/>
  <c r="AC83" i="62"/>
  <c r="AB83" i="62"/>
  <c r="AA83" i="62"/>
  <c r="AH82" i="62"/>
  <c r="AG82" i="62"/>
  <c r="AF82" i="62"/>
  <c r="AE82" i="62"/>
  <c r="AD82" i="62"/>
  <c r="AC82" i="62"/>
  <c r="AB82" i="62"/>
  <c r="AA82" i="62"/>
  <c r="AH80" i="62"/>
  <c r="AG80" i="62"/>
  <c r="AF80" i="62"/>
  <c r="AE80" i="62"/>
  <c r="AD80" i="62"/>
  <c r="AC80" i="62"/>
  <c r="AB80" i="62"/>
  <c r="AA80" i="62"/>
  <c r="AH79" i="62"/>
  <c r="AG79" i="62"/>
  <c r="AF79" i="62"/>
  <c r="AE79" i="62"/>
  <c r="AD79" i="62"/>
  <c r="AC79" i="62"/>
  <c r="AB79" i="62"/>
  <c r="AA79" i="62"/>
  <c r="D21" i="61" s="1"/>
  <c r="AH77" i="62"/>
  <c r="AG77" i="62"/>
  <c r="AF77" i="62"/>
  <c r="AE77" i="62"/>
  <c r="AD77" i="62"/>
  <c r="AC77" i="62"/>
  <c r="AB77" i="62"/>
  <c r="AA77" i="62"/>
  <c r="AH76" i="62"/>
  <c r="AG76" i="62"/>
  <c r="AF76" i="62"/>
  <c r="AE76" i="62"/>
  <c r="AD76" i="62"/>
  <c r="AC76" i="62"/>
  <c r="AB76" i="62"/>
  <c r="AA76" i="62"/>
  <c r="AH75" i="62"/>
  <c r="AG75" i="62"/>
  <c r="AF75" i="62"/>
  <c r="AE75" i="62"/>
  <c r="AD75" i="62"/>
  <c r="AC75" i="62"/>
  <c r="AB75" i="62"/>
  <c r="AA75" i="62"/>
  <c r="AH74" i="62"/>
  <c r="AG74" i="62"/>
  <c r="AF74" i="62"/>
  <c r="AE74" i="62"/>
  <c r="AD74" i="62"/>
  <c r="AC74" i="62"/>
  <c r="AB74" i="62"/>
  <c r="AA74" i="62"/>
  <c r="AH73" i="62"/>
  <c r="AG73" i="62"/>
  <c r="AF73" i="62"/>
  <c r="AE73" i="62"/>
  <c r="AD73" i="62"/>
  <c r="AC73" i="62"/>
  <c r="AB73" i="62"/>
  <c r="AA73" i="62"/>
  <c r="AH72" i="62"/>
  <c r="AG72" i="62"/>
  <c r="AF72" i="62"/>
  <c r="AE72" i="62"/>
  <c r="AD72" i="62"/>
  <c r="AC72" i="62"/>
  <c r="AB72" i="62"/>
  <c r="AA72" i="62"/>
  <c r="AH71" i="62"/>
  <c r="AG71" i="62"/>
  <c r="AF71" i="62"/>
  <c r="AE71" i="62"/>
  <c r="AD71" i="62"/>
  <c r="AC71" i="62"/>
  <c r="AB71" i="62"/>
  <c r="AA71" i="62"/>
  <c r="D20" i="61" s="1"/>
  <c r="AH68" i="62"/>
  <c r="AG68" i="62"/>
  <c r="AF68" i="62"/>
  <c r="AE68" i="62"/>
  <c r="AD68" i="62"/>
  <c r="AC68" i="62"/>
  <c r="AB68" i="62"/>
  <c r="AA68" i="62"/>
  <c r="AH67" i="62"/>
  <c r="AG67" i="62"/>
  <c r="AF67" i="62"/>
  <c r="AE67" i="62"/>
  <c r="AD67" i="62"/>
  <c r="AC67" i="62"/>
  <c r="AB67" i="62"/>
  <c r="AA67" i="62"/>
  <c r="AH65" i="62"/>
  <c r="AG65" i="62"/>
  <c r="AF65" i="62"/>
  <c r="AE65" i="62"/>
  <c r="AD65" i="62"/>
  <c r="AC65" i="62"/>
  <c r="AB65" i="62"/>
  <c r="AA65" i="62"/>
  <c r="AH64" i="62"/>
  <c r="AG64" i="62"/>
  <c r="AF64" i="62"/>
  <c r="AE64" i="62"/>
  <c r="AD64" i="62"/>
  <c r="AC64" i="62"/>
  <c r="AB64" i="62"/>
  <c r="AA64" i="62"/>
  <c r="AH63" i="62"/>
  <c r="AG63" i="62"/>
  <c r="AF63" i="62"/>
  <c r="AE63" i="62"/>
  <c r="AD63" i="62"/>
  <c r="AC63" i="62"/>
  <c r="AB63" i="62"/>
  <c r="AA63" i="62"/>
  <c r="AH61" i="62"/>
  <c r="AG61" i="62"/>
  <c r="AF61" i="62"/>
  <c r="AE61" i="62"/>
  <c r="AD61" i="62"/>
  <c r="AC61" i="62"/>
  <c r="AB61" i="62"/>
  <c r="AA61" i="62"/>
  <c r="AH60" i="62"/>
  <c r="AG60" i="62"/>
  <c r="AF60" i="62"/>
  <c r="AE60" i="62"/>
  <c r="AD60" i="62"/>
  <c r="AC60" i="62"/>
  <c r="AB60" i="62"/>
  <c r="AA60" i="62"/>
  <c r="AH58" i="62"/>
  <c r="AG58" i="62"/>
  <c r="AF58" i="62"/>
  <c r="AE58" i="62"/>
  <c r="AD58" i="62"/>
  <c r="AC58" i="62"/>
  <c r="AB58" i="62"/>
  <c r="AA58" i="62"/>
  <c r="AH57" i="62"/>
  <c r="AG57" i="62"/>
  <c r="AF57" i="62"/>
  <c r="AE57" i="62"/>
  <c r="AD57" i="62"/>
  <c r="AC57" i="62"/>
  <c r="AB57" i="62"/>
  <c r="AA57" i="62"/>
  <c r="AH56" i="62"/>
  <c r="AG56" i="62"/>
  <c r="AF56" i="62"/>
  <c r="AE56" i="62"/>
  <c r="AD56" i="62"/>
  <c r="AC56" i="62"/>
  <c r="AB56" i="62"/>
  <c r="AA56" i="62"/>
  <c r="AH54" i="62"/>
  <c r="AG54" i="62"/>
  <c r="AF54" i="62"/>
  <c r="AE54" i="62"/>
  <c r="AD54" i="62"/>
  <c r="AC54" i="62"/>
  <c r="AB54" i="62"/>
  <c r="AA54" i="62"/>
  <c r="AH53" i="62"/>
  <c r="AG53" i="62"/>
  <c r="AF53" i="62"/>
  <c r="AE53" i="62"/>
  <c r="AD53" i="62"/>
  <c r="AC53" i="62"/>
  <c r="AB53" i="62"/>
  <c r="AA53" i="62"/>
  <c r="AH52" i="62"/>
  <c r="AG52" i="62"/>
  <c r="AF52" i="62"/>
  <c r="AE52" i="62"/>
  <c r="AD52" i="62"/>
  <c r="AC52" i="62"/>
  <c r="AB52" i="62"/>
  <c r="AA52" i="62"/>
  <c r="AH50" i="62"/>
  <c r="AG50" i="62"/>
  <c r="AF50" i="62"/>
  <c r="AE50" i="62"/>
  <c r="AD50" i="62"/>
  <c r="AC50" i="62"/>
  <c r="AB50" i="62"/>
  <c r="AA50" i="62"/>
  <c r="AH49" i="62"/>
  <c r="AG49" i="62"/>
  <c r="AF49" i="62"/>
  <c r="AE49" i="62"/>
  <c r="AD49" i="62"/>
  <c r="AC49" i="62"/>
  <c r="AB49" i="62"/>
  <c r="AA49" i="62"/>
  <c r="AH48" i="62"/>
  <c r="AG48" i="62"/>
  <c r="AF48" i="62"/>
  <c r="AE48" i="62"/>
  <c r="AD48" i="62"/>
  <c r="AC48" i="62"/>
  <c r="AB48" i="62"/>
  <c r="AA48" i="62"/>
  <c r="AH46" i="62"/>
  <c r="AG46" i="62"/>
  <c r="AF46" i="62"/>
  <c r="AE46" i="62"/>
  <c r="AD46" i="62"/>
  <c r="AC46" i="62"/>
  <c r="AB46" i="62"/>
  <c r="AA46" i="62"/>
  <c r="AH45" i="62"/>
  <c r="AG45" i="62"/>
  <c r="AF45" i="62"/>
  <c r="AE45" i="62"/>
  <c r="AD45" i="62"/>
  <c r="AC45" i="62"/>
  <c r="AB45" i="62"/>
  <c r="AA45" i="62"/>
  <c r="AH43" i="62"/>
  <c r="AG43" i="62"/>
  <c r="AF43" i="62"/>
  <c r="AE43" i="62"/>
  <c r="AD43" i="62"/>
  <c r="AC43" i="62"/>
  <c r="AB43" i="62"/>
  <c r="AA43" i="62"/>
  <c r="AH42" i="62"/>
  <c r="AG42" i="62"/>
  <c r="AF42" i="62"/>
  <c r="AE42" i="62"/>
  <c r="AD42" i="62"/>
  <c r="AC42" i="62"/>
  <c r="AB42" i="62"/>
  <c r="AA42" i="62"/>
  <c r="AH41" i="62"/>
  <c r="AG41" i="62"/>
  <c r="AF41" i="62"/>
  <c r="AE41" i="62"/>
  <c r="AD41" i="62"/>
  <c r="AC41" i="62"/>
  <c r="AB41" i="62"/>
  <c r="AA41" i="62"/>
  <c r="AH39" i="62"/>
  <c r="AG39" i="62"/>
  <c r="AF39" i="62"/>
  <c r="AE39" i="62"/>
  <c r="AD39" i="62"/>
  <c r="AC39" i="62"/>
  <c r="AB39" i="62"/>
  <c r="AA39" i="62"/>
  <c r="AH38" i="62"/>
  <c r="AG38" i="62"/>
  <c r="AF38" i="62"/>
  <c r="AE38" i="62"/>
  <c r="AD38" i="62"/>
  <c r="AC38" i="62"/>
  <c r="AB38" i="62"/>
  <c r="AA38" i="62"/>
  <c r="AH37" i="62"/>
  <c r="AG37" i="62"/>
  <c r="AF37" i="62"/>
  <c r="AE37" i="62"/>
  <c r="AD37" i="62"/>
  <c r="AC37" i="62"/>
  <c r="AB37" i="62"/>
  <c r="AA37" i="62"/>
  <c r="AH36" i="62"/>
  <c r="AG36" i="62"/>
  <c r="AF36" i="62"/>
  <c r="AE36" i="62"/>
  <c r="AD36" i="62"/>
  <c r="AC36" i="62"/>
  <c r="AB36" i="62"/>
  <c r="AA36" i="62"/>
  <c r="AH35" i="62"/>
  <c r="AG35" i="62"/>
  <c r="AF35" i="62"/>
  <c r="AE35" i="62"/>
  <c r="AD35" i="62"/>
  <c r="AC35" i="62"/>
  <c r="AB35" i="62"/>
  <c r="AA35" i="62"/>
  <c r="AH34" i="62"/>
  <c r="AG34" i="62"/>
  <c r="AF34" i="62"/>
  <c r="AE34" i="62"/>
  <c r="AD34" i="62"/>
  <c r="AC34" i="62"/>
  <c r="AB34" i="62"/>
  <c r="AA34" i="62"/>
  <c r="AH33" i="62"/>
  <c r="AG33" i="62"/>
  <c r="AF33" i="62"/>
  <c r="AE33" i="62"/>
  <c r="AD33" i="62"/>
  <c r="AC33" i="62"/>
  <c r="AB33" i="62"/>
  <c r="AA33" i="62"/>
  <c r="AH32" i="62"/>
  <c r="AG32" i="62"/>
  <c r="AF32" i="62"/>
  <c r="AE32" i="62"/>
  <c r="AD32" i="62"/>
  <c r="AC32" i="62"/>
  <c r="AB32" i="62"/>
  <c r="AA32" i="62"/>
  <c r="AH31" i="62"/>
  <c r="AG31" i="62"/>
  <c r="AF31" i="62"/>
  <c r="AE31" i="62"/>
  <c r="AD31" i="62"/>
  <c r="AC31" i="62"/>
  <c r="AB31" i="62"/>
  <c r="AA31" i="62"/>
  <c r="AH30" i="62"/>
  <c r="AG30" i="62"/>
  <c r="AF30" i="62"/>
  <c r="AE30" i="62"/>
  <c r="AD30" i="62"/>
  <c r="AC30" i="62"/>
  <c r="AB30" i="62"/>
  <c r="AA30" i="62"/>
  <c r="AH29" i="62"/>
  <c r="AG29" i="62"/>
  <c r="AF29" i="62"/>
  <c r="AE29" i="62"/>
  <c r="AD29" i="62"/>
  <c r="AC29" i="62"/>
  <c r="AB29" i="62"/>
  <c r="AA29" i="62"/>
  <c r="AH28" i="62"/>
  <c r="AG28" i="62"/>
  <c r="AF28" i="62"/>
  <c r="AE28" i="62"/>
  <c r="AD28" i="62"/>
  <c r="AC28" i="62"/>
  <c r="AB28" i="62"/>
  <c r="AA28" i="62"/>
  <c r="AH27" i="62"/>
  <c r="AG27" i="62"/>
  <c r="AF27" i="62"/>
  <c r="AE27" i="62"/>
  <c r="AD27" i="62"/>
  <c r="AC27" i="62"/>
  <c r="AB27" i="62"/>
  <c r="AA27" i="62"/>
  <c r="AH26" i="62"/>
  <c r="AG26" i="62"/>
  <c r="AF26" i="62"/>
  <c r="AE26" i="62"/>
  <c r="AD26" i="62"/>
  <c r="AC26" i="62"/>
  <c r="AB26" i="62"/>
  <c r="AA26" i="62"/>
  <c r="AH25" i="62"/>
  <c r="AG25" i="62"/>
  <c r="AF25" i="62"/>
  <c r="AE25" i="62"/>
  <c r="AD25" i="62"/>
  <c r="AC25" i="62"/>
  <c r="AB25" i="62"/>
  <c r="AA25" i="62"/>
  <c r="AH22" i="62"/>
  <c r="AG22" i="62"/>
  <c r="AF22" i="62"/>
  <c r="AE22" i="62"/>
  <c r="AD22" i="62"/>
  <c r="AC22" i="62"/>
  <c r="AB22" i="62"/>
  <c r="AA22" i="62"/>
  <c r="AH21" i="62"/>
  <c r="AG21" i="62"/>
  <c r="AF21" i="62"/>
  <c r="AE21" i="62"/>
  <c r="AD21" i="62"/>
  <c r="AC21" i="62"/>
  <c r="AB21" i="62"/>
  <c r="AA21" i="62"/>
  <c r="AH20" i="62"/>
  <c r="AG20" i="62"/>
  <c r="AF20" i="62"/>
  <c r="AE20" i="62"/>
  <c r="AD20" i="62"/>
  <c r="AC20" i="62"/>
  <c r="AB20" i="62"/>
  <c r="AA20" i="62"/>
  <c r="AH18" i="62"/>
  <c r="AG18" i="62"/>
  <c r="AF18" i="62"/>
  <c r="AE18" i="62"/>
  <c r="AD18" i="62"/>
  <c r="AC18" i="62"/>
  <c r="AB18" i="62"/>
  <c r="AA18" i="62"/>
  <c r="AH17" i="62"/>
  <c r="AG17" i="62"/>
  <c r="AF17" i="62"/>
  <c r="AE17" i="62"/>
  <c r="AD17" i="62"/>
  <c r="AC17" i="62"/>
  <c r="AB17" i="62"/>
  <c r="AA17" i="62"/>
  <c r="AH16" i="62"/>
  <c r="AG16" i="62"/>
  <c r="AF16" i="62"/>
  <c r="AE16" i="62"/>
  <c r="AD16" i="62"/>
  <c r="AC16" i="62"/>
  <c r="AB16" i="62"/>
  <c r="AA16" i="62"/>
  <c r="AH15" i="62"/>
  <c r="AG15" i="62"/>
  <c r="AF15" i="62"/>
  <c r="AE15" i="62"/>
  <c r="AD15" i="62"/>
  <c r="AC15" i="62"/>
  <c r="AB15" i="62"/>
  <c r="AA15" i="62"/>
  <c r="AH14" i="62"/>
  <c r="AG14" i="62"/>
  <c r="AF14" i="62"/>
  <c r="AE14" i="62"/>
  <c r="AD14" i="62"/>
  <c r="AC14" i="62"/>
  <c r="AB14" i="62"/>
  <c r="AA14" i="62"/>
  <c r="AH13" i="62"/>
  <c r="AG13" i="62"/>
  <c r="AF13" i="62"/>
  <c r="AE13" i="62"/>
  <c r="AD13" i="62"/>
  <c r="AC13" i="62"/>
  <c r="AB13" i="62"/>
  <c r="AA13" i="62"/>
  <c r="AH12" i="62"/>
  <c r="AG12" i="62"/>
  <c r="AF12" i="62"/>
  <c r="AE12" i="62"/>
  <c r="AD12" i="62"/>
  <c r="AC12" i="62"/>
  <c r="AB12" i="62"/>
  <c r="AA12" i="62"/>
  <c r="AH11" i="62"/>
  <c r="AG11" i="62"/>
  <c r="AF11" i="62"/>
  <c r="AE11" i="62"/>
  <c r="AD11" i="62"/>
  <c r="AC11" i="62"/>
  <c r="AB11" i="62"/>
  <c r="AA11" i="62"/>
  <c r="AH10" i="62"/>
  <c r="AG10" i="62"/>
  <c r="AF10" i="62"/>
  <c r="AE10" i="62"/>
  <c r="AD10" i="62"/>
  <c r="AC10" i="62"/>
  <c r="AB10" i="62"/>
  <c r="AA10" i="62"/>
  <c r="AH9" i="62"/>
  <c r="AG9" i="62"/>
  <c r="AF9" i="62"/>
  <c r="AE9" i="62"/>
  <c r="AD9" i="62"/>
  <c r="AC9" i="62"/>
  <c r="AB9" i="62"/>
  <c r="AA9" i="62"/>
  <c r="AH8" i="62"/>
  <c r="AG8" i="62"/>
  <c r="AF8" i="62"/>
  <c r="AE8" i="62"/>
  <c r="AD8" i="62"/>
  <c r="AC8" i="62"/>
  <c r="AB8" i="62"/>
  <c r="AA8" i="62"/>
  <c r="AH7" i="62"/>
  <c r="AG7" i="62"/>
  <c r="AF7" i="62"/>
  <c r="AE7" i="62"/>
  <c r="AD7" i="62"/>
  <c r="AC7" i="62"/>
  <c r="AB7" i="62"/>
  <c r="AA7" i="62"/>
  <c r="AH6" i="62"/>
  <c r="AG6" i="62"/>
  <c r="AF6" i="62"/>
  <c r="AE6" i="62"/>
  <c r="AD6" i="62"/>
  <c r="AC6" i="62"/>
  <c r="AB6" i="62"/>
  <c r="AA6" i="62"/>
  <c r="AH5" i="62"/>
  <c r="AG5" i="62"/>
  <c r="AF5" i="62"/>
  <c r="AE5" i="62"/>
  <c r="AD5" i="62"/>
  <c r="G7" i="61" s="1"/>
  <c r="AC5" i="62"/>
  <c r="AB5" i="62"/>
  <c r="AA5" i="62"/>
  <c r="D7" i="61" s="1"/>
  <c r="Z150" i="56"/>
  <c r="Y150" i="56"/>
  <c r="X150" i="56"/>
  <c r="W150" i="56"/>
  <c r="V150" i="56"/>
  <c r="U150" i="56"/>
  <c r="D75" i="61" l="1"/>
  <c r="D191" i="61"/>
  <c r="D30" i="61"/>
  <c r="D32" i="61"/>
  <c r="D165" i="61"/>
  <c r="D163" i="61"/>
  <c r="D81" i="61"/>
  <c r="D79" i="61"/>
  <c r="D80" i="61"/>
  <c r="D16" i="61"/>
  <c r="D11" i="61"/>
  <c r="L202" i="61"/>
  <c r="Z337" i="56"/>
  <c r="Z336" i="56"/>
  <c r="Z335" i="56"/>
  <c r="Z334" i="56"/>
  <c r="Z333" i="56"/>
  <c r="Z332" i="56"/>
  <c r="Z331" i="56"/>
  <c r="Z330" i="56"/>
  <c r="Z329" i="56"/>
  <c r="Z327" i="56"/>
  <c r="Z326" i="56"/>
  <c r="Z325" i="56"/>
  <c r="Z324" i="56"/>
  <c r="Z323" i="56"/>
  <c r="Z322" i="56"/>
  <c r="Z321" i="56"/>
  <c r="Z320" i="56"/>
  <c r="Z319" i="56"/>
  <c r="Z318" i="56"/>
  <c r="Z316" i="56"/>
  <c r="Z315" i="56"/>
  <c r="Z314" i="56"/>
  <c r="Z313" i="56"/>
  <c r="Z312" i="56"/>
  <c r="Z311" i="56"/>
  <c r="Z310" i="56"/>
  <c r="Z309" i="56"/>
  <c r="Z308" i="56"/>
  <c r="Z307" i="56"/>
  <c r="Z306" i="56"/>
  <c r="Z305" i="56"/>
  <c r="Z302" i="56"/>
  <c r="Z301" i="56"/>
  <c r="Z300" i="56"/>
  <c r="Z299" i="56"/>
  <c r="Z298" i="56"/>
  <c r="Z297" i="56"/>
  <c r="Z296" i="56"/>
  <c r="Z295" i="56"/>
  <c r="Z294" i="56"/>
  <c r="Z293" i="56"/>
  <c r="Z291" i="56"/>
  <c r="Z290" i="56"/>
  <c r="Z289" i="56"/>
  <c r="Z288" i="56"/>
  <c r="Z287" i="56"/>
  <c r="Z285" i="56"/>
  <c r="Z284" i="56"/>
  <c r="Z283" i="56"/>
  <c r="Z282" i="56"/>
  <c r="Z281" i="56"/>
  <c r="Z279" i="56"/>
  <c r="Z278" i="56"/>
  <c r="Z277" i="56"/>
  <c r="Z276" i="56"/>
  <c r="Z275" i="56"/>
  <c r="Z274" i="56"/>
  <c r="Z273" i="56"/>
  <c r="Z272" i="56"/>
  <c r="Z271" i="56"/>
  <c r="Z270" i="56"/>
  <c r="Z268" i="56"/>
  <c r="Z267" i="56"/>
  <c r="Z266" i="56"/>
  <c r="Z265" i="56"/>
  <c r="Z264" i="56"/>
  <c r="Z263" i="56"/>
  <c r="Z262" i="56"/>
  <c r="Z261" i="56"/>
  <c r="Z258" i="56"/>
  <c r="Z257" i="56"/>
  <c r="Z256" i="56"/>
  <c r="Z255" i="56"/>
  <c r="Z254" i="56"/>
  <c r="Z253" i="56"/>
  <c r="Z252" i="56"/>
  <c r="Z251" i="56"/>
  <c r="Z250" i="56"/>
  <c r="Z249" i="56"/>
  <c r="Z248" i="56"/>
  <c r="Z247" i="56"/>
  <c r="Z246" i="56"/>
  <c r="Z245" i="56"/>
  <c r="Z244" i="56"/>
  <c r="Z242" i="56"/>
  <c r="Z241" i="56"/>
  <c r="Z240" i="56"/>
  <c r="Z239" i="56"/>
  <c r="Z238" i="56"/>
  <c r="Z237" i="56"/>
  <c r="Z236" i="56"/>
  <c r="Z235" i="56"/>
  <c r="Z234" i="56"/>
  <c r="Z233" i="56"/>
  <c r="Z230" i="56"/>
  <c r="Z229" i="56"/>
  <c r="Z228" i="56"/>
  <c r="Z227" i="56"/>
  <c r="Z226" i="56"/>
  <c r="Z225" i="56"/>
  <c r="Z224" i="56"/>
  <c r="Z223" i="56"/>
  <c r="Z222" i="56"/>
  <c r="Z220" i="56"/>
  <c r="Z219" i="56"/>
  <c r="Z218" i="56"/>
  <c r="Z217" i="56"/>
  <c r="Z216" i="56"/>
  <c r="Z215" i="56"/>
  <c r="Z214" i="56"/>
  <c r="Z212" i="56"/>
  <c r="Z211" i="56"/>
  <c r="Z210" i="56"/>
  <c r="Z209" i="56"/>
  <c r="Z208" i="56"/>
  <c r="Z207" i="56"/>
  <c r="Z206" i="56"/>
  <c r="Z205" i="56"/>
  <c r="Z204" i="56"/>
  <c r="Z203" i="56"/>
  <c r="Z202" i="56"/>
  <c r="Z201" i="56"/>
  <c r="Z200" i="56"/>
  <c r="Z199" i="56"/>
  <c r="Z198" i="56"/>
  <c r="Z196" i="56"/>
  <c r="Z195" i="56"/>
  <c r="Z194" i="56"/>
  <c r="Z193" i="56"/>
  <c r="Z192" i="56"/>
  <c r="Z191" i="56"/>
  <c r="Z190" i="56"/>
  <c r="Z189" i="56"/>
  <c r="Z188" i="56"/>
  <c r="Z187" i="56"/>
  <c r="Z186" i="56"/>
  <c r="Z185" i="56"/>
  <c r="Z184" i="56"/>
  <c r="Z183" i="56"/>
  <c r="Z181" i="56"/>
  <c r="Z180" i="56"/>
  <c r="Z179" i="56"/>
  <c r="Z178" i="56"/>
  <c r="Z177" i="56"/>
  <c r="Z176" i="56"/>
  <c r="Z175" i="56"/>
  <c r="Z174" i="56"/>
  <c r="Z173" i="56"/>
  <c r="Z172" i="56"/>
  <c r="Z170" i="56"/>
  <c r="Z169" i="56"/>
  <c r="Z168" i="56"/>
  <c r="Z167" i="56"/>
  <c r="Z166" i="56"/>
  <c r="Z165" i="56"/>
  <c r="Z164" i="56"/>
  <c r="Z163" i="56"/>
  <c r="Z162" i="56"/>
  <c r="Z161" i="56"/>
  <c r="Z160" i="56"/>
  <c r="Z159" i="56"/>
  <c r="Z158" i="56"/>
  <c r="Z157" i="56"/>
  <c r="Z156" i="56"/>
  <c r="Z155" i="56"/>
  <c r="Z148" i="56"/>
  <c r="Z147" i="56"/>
  <c r="Z146" i="56"/>
  <c r="Z145" i="56"/>
  <c r="Z144" i="56"/>
  <c r="Z143" i="56"/>
  <c r="Z142" i="56"/>
  <c r="Z141" i="56"/>
  <c r="Z140" i="56"/>
  <c r="Z139" i="56"/>
  <c r="Z138" i="56"/>
  <c r="Z137" i="56"/>
  <c r="Z134" i="56"/>
  <c r="Z133" i="56"/>
  <c r="Z132" i="56"/>
  <c r="Z131" i="56"/>
  <c r="Z130" i="56"/>
  <c r="Z129" i="56"/>
  <c r="Z128" i="56"/>
  <c r="Z127" i="56"/>
  <c r="Z125" i="56"/>
  <c r="Z124" i="56"/>
  <c r="Z123" i="56"/>
  <c r="Z121" i="56"/>
  <c r="Z120" i="56"/>
  <c r="Z119" i="56"/>
  <c r="Z118" i="56"/>
  <c r="Z117" i="56"/>
  <c r="Z116" i="56"/>
  <c r="Z115" i="56"/>
  <c r="Z114" i="56"/>
  <c r="Z113" i="56"/>
  <c r="Z112" i="56"/>
  <c r="Z110" i="56"/>
  <c r="Z109" i="56"/>
  <c r="Z108" i="56"/>
  <c r="Z107" i="56"/>
  <c r="Z106" i="56"/>
  <c r="Z105" i="56"/>
  <c r="Z104" i="56"/>
  <c r="Z103" i="56"/>
  <c r="Z102" i="56"/>
  <c r="Z101" i="56"/>
  <c r="Z100" i="56"/>
  <c r="Z99" i="56"/>
  <c r="Z98" i="56"/>
  <c r="Z95" i="56"/>
  <c r="Z94" i="56"/>
  <c r="Z93" i="56"/>
  <c r="Z92" i="56"/>
  <c r="Z91" i="56"/>
  <c r="Z90" i="56"/>
  <c r="Z89" i="56"/>
  <c r="Z88" i="56"/>
  <c r="Z86" i="56"/>
  <c r="Z85" i="56"/>
  <c r="Z84" i="56"/>
  <c r="Z83" i="56"/>
  <c r="Z82" i="56"/>
  <c r="Z80" i="56"/>
  <c r="Z79" i="56"/>
  <c r="Z77" i="56"/>
  <c r="Z76" i="56"/>
  <c r="Z74" i="56"/>
  <c r="Z73" i="56"/>
  <c r="Z72" i="56"/>
  <c r="Z71" i="56"/>
  <c r="Z69" i="56"/>
  <c r="Z68" i="56"/>
  <c r="Z67" i="56"/>
  <c r="Z66" i="56"/>
  <c r="Z65" i="56"/>
  <c r="Z64" i="56"/>
  <c r="Z63" i="56"/>
  <c r="Z62" i="56"/>
  <c r="Z61" i="56"/>
  <c r="Z60" i="56"/>
  <c r="Z59" i="56"/>
  <c r="Z58" i="56"/>
  <c r="Z57" i="56"/>
  <c r="Z56" i="56"/>
  <c r="Z55" i="56"/>
  <c r="Z53" i="56"/>
  <c r="Z52" i="56"/>
  <c r="Z51" i="56"/>
  <c r="Z50" i="56"/>
  <c r="Z49" i="56"/>
  <c r="Z48" i="56"/>
  <c r="Z47" i="56"/>
  <c r="Z46" i="56"/>
  <c r="Z45" i="56"/>
  <c r="Z44" i="56"/>
  <c r="Z43" i="56"/>
  <c r="Z41" i="56"/>
  <c r="Z40" i="56"/>
  <c r="Z39" i="56"/>
  <c r="Z38" i="56"/>
  <c r="Z37" i="56"/>
  <c r="Z36" i="56"/>
  <c r="Z35" i="56"/>
  <c r="Z34" i="56"/>
  <c r="Z33" i="56"/>
  <c r="Z32" i="56"/>
  <c r="Z31" i="56"/>
  <c r="Z30" i="56"/>
  <c r="Z29" i="56"/>
  <c r="Z28" i="56"/>
  <c r="Z27" i="56"/>
  <c r="Z26" i="56"/>
  <c r="Z25" i="56"/>
  <c r="Z23" i="56"/>
  <c r="Z22" i="56"/>
  <c r="Z21" i="56"/>
  <c r="Z20" i="56"/>
  <c r="Z19" i="56"/>
  <c r="Z18" i="56"/>
  <c r="Z17" i="56"/>
  <c r="Z16" i="56"/>
  <c r="Z15" i="56"/>
  <c r="Z13" i="56"/>
  <c r="Z12" i="56"/>
  <c r="Z11" i="56"/>
  <c r="Z10" i="56"/>
  <c r="Z9" i="56"/>
  <c r="Z8" i="56"/>
  <c r="Z7" i="56"/>
  <c r="Z6" i="56"/>
  <c r="Z5" i="56"/>
  <c r="J1" i="56"/>
  <c r="D1" i="56"/>
  <c r="J1" i="65" l="1"/>
  <c r="J1" i="63"/>
  <c r="D1" i="63"/>
  <c r="D1" i="65"/>
  <c r="J1" i="58"/>
  <c r="D1" i="58"/>
  <c r="J1" i="57"/>
  <c r="D1" i="57"/>
  <c r="J1" i="55"/>
  <c r="D1" i="55"/>
  <c r="J1" i="64"/>
  <c r="D1" i="64"/>
  <c r="J1" i="62"/>
  <c r="D1" i="62"/>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101" i="67"/>
  <c r="L102" i="67"/>
  <c r="L103" i="67"/>
  <c r="L104" i="67"/>
  <c r="L105" i="67"/>
  <c r="L106" i="67"/>
  <c r="L107" i="67"/>
  <c r="L108" i="67"/>
  <c r="L109" i="67"/>
  <c r="L110" i="67"/>
  <c r="L111" i="67"/>
  <c r="L112" i="67"/>
  <c r="L113" i="67"/>
  <c r="L114" i="67"/>
  <c r="L115" i="67"/>
  <c r="L116" i="67"/>
  <c r="L117" i="67"/>
  <c r="L118" i="67"/>
  <c r="L119" i="67"/>
  <c r="L120" i="67"/>
  <c r="L121" i="67"/>
  <c r="L122" i="67"/>
  <c r="L123" i="67"/>
  <c r="L124" i="67"/>
  <c r="L125" i="67"/>
  <c r="L126" i="67"/>
  <c r="L127" i="67"/>
  <c r="L128" i="67"/>
  <c r="L129" i="67"/>
  <c r="L130" i="67"/>
  <c r="L131" i="67"/>
  <c r="L132" i="67"/>
  <c r="L133" i="67"/>
  <c r="L134" i="67"/>
  <c r="L135" i="67"/>
  <c r="L136" i="67"/>
  <c r="L137" i="67"/>
  <c r="L138" i="67"/>
  <c r="L139" i="67"/>
  <c r="L140" i="67"/>
  <c r="L141" i="67"/>
  <c r="L142" i="67"/>
  <c r="L143" i="67"/>
  <c r="L144" i="67"/>
  <c r="L145" i="67"/>
  <c r="L146" i="67"/>
  <c r="L147" i="67"/>
  <c r="L148" i="67"/>
  <c r="L149" i="67"/>
  <c r="L150" i="67"/>
  <c r="L151" i="67"/>
  <c r="L152" i="67"/>
  <c r="L153" i="67"/>
  <c r="L154" i="67"/>
  <c r="L155" i="67"/>
  <c r="L156" i="67"/>
  <c r="L157" i="67"/>
  <c r="L158" i="67"/>
  <c r="L159" i="67"/>
  <c r="L160" i="67"/>
  <c r="L161" i="67"/>
  <c r="L162" i="67"/>
  <c r="L163" i="67"/>
  <c r="L164" i="67"/>
  <c r="L165" i="67"/>
  <c r="L166" i="67"/>
  <c r="L167" i="67"/>
  <c r="L168" i="67"/>
  <c r="L169" i="67"/>
  <c r="L170" i="67"/>
  <c r="L171" i="67"/>
  <c r="L172" i="67"/>
  <c r="L173" i="67"/>
  <c r="L174" i="67"/>
  <c r="L175" i="67"/>
  <c r="L176" i="67"/>
  <c r="L177" i="67"/>
  <c r="L178" i="67"/>
  <c r="L179" i="67"/>
  <c r="L180" i="67"/>
  <c r="L181" i="67"/>
  <c r="L182" i="67"/>
  <c r="L183" i="67"/>
  <c r="L184" i="67"/>
  <c r="L185" i="67"/>
  <c r="L186" i="67"/>
  <c r="L187" i="67"/>
  <c r="L188" i="67"/>
  <c r="L189" i="67"/>
  <c r="L190" i="67"/>
  <c r="L191" i="67"/>
  <c r="L192" i="67"/>
  <c r="L193" i="67"/>
  <c r="L194" i="67"/>
  <c r="L195" i="67"/>
  <c r="L196" i="67"/>
  <c r="L197" i="67"/>
  <c r="L198" i="67"/>
  <c r="L199" i="67"/>
  <c r="L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101" i="67"/>
  <c r="K102" i="67"/>
  <c r="K103" i="67"/>
  <c r="K104" i="67"/>
  <c r="K105" i="67"/>
  <c r="K106" i="67"/>
  <c r="K107" i="67"/>
  <c r="K108" i="67"/>
  <c r="K109" i="67"/>
  <c r="K110" i="67"/>
  <c r="K111" i="67"/>
  <c r="K112" i="67"/>
  <c r="K113" i="67"/>
  <c r="K114" i="67"/>
  <c r="K115" i="67"/>
  <c r="K116" i="67"/>
  <c r="K117" i="67"/>
  <c r="K118" i="67"/>
  <c r="K119" i="67"/>
  <c r="K120" i="67"/>
  <c r="K121" i="67"/>
  <c r="K122" i="67"/>
  <c r="K123" i="67"/>
  <c r="K124" i="67"/>
  <c r="K125" i="67"/>
  <c r="K126" i="67"/>
  <c r="K127" i="67"/>
  <c r="K128" i="67"/>
  <c r="K129" i="67"/>
  <c r="K130" i="67"/>
  <c r="K131" i="67"/>
  <c r="K132" i="67"/>
  <c r="K133" i="67"/>
  <c r="K134" i="67"/>
  <c r="K135" i="67"/>
  <c r="K136" i="67"/>
  <c r="K137" i="67"/>
  <c r="K138" i="67"/>
  <c r="K139" i="67"/>
  <c r="K140" i="67"/>
  <c r="K141" i="67"/>
  <c r="K142" i="67"/>
  <c r="K143" i="67"/>
  <c r="K144" i="67"/>
  <c r="K145" i="67"/>
  <c r="K146" i="67"/>
  <c r="K147" i="67"/>
  <c r="K148" i="67"/>
  <c r="K149" i="67"/>
  <c r="K150" i="67"/>
  <c r="K151" i="67"/>
  <c r="K152" i="67"/>
  <c r="K153" i="67"/>
  <c r="K154" i="67"/>
  <c r="K155" i="67"/>
  <c r="K156" i="67"/>
  <c r="K157" i="67"/>
  <c r="K158" i="67"/>
  <c r="K159" i="67"/>
  <c r="K160" i="67"/>
  <c r="K161" i="67"/>
  <c r="K162" i="67"/>
  <c r="K163" i="67"/>
  <c r="K164" i="67"/>
  <c r="K165" i="67"/>
  <c r="K166" i="67"/>
  <c r="K167" i="67"/>
  <c r="K168" i="67"/>
  <c r="K169" i="67"/>
  <c r="K170" i="67"/>
  <c r="K171" i="67"/>
  <c r="K172" i="67"/>
  <c r="K173" i="67"/>
  <c r="K174" i="67"/>
  <c r="K175" i="67"/>
  <c r="K176" i="67"/>
  <c r="K177" i="67"/>
  <c r="K178" i="67"/>
  <c r="K179" i="67"/>
  <c r="K180" i="67"/>
  <c r="K181" i="67"/>
  <c r="K182" i="67"/>
  <c r="K183" i="67"/>
  <c r="K184" i="67"/>
  <c r="K185" i="67"/>
  <c r="K186" i="67"/>
  <c r="K187" i="67"/>
  <c r="K188" i="67"/>
  <c r="K189" i="67"/>
  <c r="K190" i="67"/>
  <c r="K191" i="67"/>
  <c r="K192" i="67"/>
  <c r="K193" i="67"/>
  <c r="K194" i="67"/>
  <c r="K195" i="67"/>
  <c r="K196" i="67"/>
  <c r="K197" i="67"/>
  <c r="K198" i="67"/>
  <c r="K199" i="67"/>
  <c r="K7"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101" i="67"/>
  <c r="J102" i="67"/>
  <c r="J103" i="67"/>
  <c r="J104" i="67"/>
  <c r="J105" i="67"/>
  <c r="J106" i="67"/>
  <c r="J107" i="67"/>
  <c r="J108" i="67"/>
  <c r="J109" i="67"/>
  <c r="J110" i="67"/>
  <c r="J111" i="67"/>
  <c r="J112" i="67"/>
  <c r="J113" i="67"/>
  <c r="J114" i="67"/>
  <c r="J115" i="67"/>
  <c r="J116" i="67"/>
  <c r="J117" i="67"/>
  <c r="J118" i="67"/>
  <c r="J119" i="67"/>
  <c r="J120" i="67"/>
  <c r="J121" i="67"/>
  <c r="J122" i="67"/>
  <c r="J123" i="67"/>
  <c r="J124" i="67"/>
  <c r="J125" i="67"/>
  <c r="J126" i="67"/>
  <c r="J127" i="67"/>
  <c r="J128" i="67"/>
  <c r="J129" i="67"/>
  <c r="J130" i="67"/>
  <c r="J131" i="67"/>
  <c r="J132" i="67"/>
  <c r="J133" i="67"/>
  <c r="J134" i="67"/>
  <c r="J135" i="67"/>
  <c r="J136" i="67"/>
  <c r="J137" i="67"/>
  <c r="J138" i="67"/>
  <c r="J139" i="67"/>
  <c r="J140" i="67"/>
  <c r="J141" i="67"/>
  <c r="J142" i="67"/>
  <c r="J143" i="67"/>
  <c r="J144" i="67"/>
  <c r="J145" i="67"/>
  <c r="J146" i="67"/>
  <c r="J147" i="67"/>
  <c r="J148" i="67"/>
  <c r="J149" i="67"/>
  <c r="J150" i="67"/>
  <c r="J151" i="67"/>
  <c r="J152" i="67"/>
  <c r="J153" i="67"/>
  <c r="J154" i="67"/>
  <c r="J155" i="67"/>
  <c r="J156" i="67"/>
  <c r="J157" i="67"/>
  <c r="J158" i="67"/>
  <c r="J159" i="67"/>
  <c r="J160" i="67"/>
  <c r="J161" i="67"/>
  <c r="J162" i="67"/>
  <c r="J163" i="67"/>
  <c r="J164" i="67"/>
  <c r="J165" i="67"/>
  <c r="J166" i="67"/>
  <c r="J167" i="67"/>
  <c r="J168" i="67"/>
  <c r="J169" i="67"/>
  <c r="J170" i="67"/>
  <c r="J171" i="67"/>
  <c r="J172" i="67"/>
  <c r="J173" i="67"/>
  <c r="J174" i="67"/>
  <c r="J175" i="67"/>
  <c r="J176" i="67"/>
  <c r="J177" i="67"/>
  <c r="J178" i="67"/>
  <c r="J179" i="67"/>
  <c r="J180" i="67"/>
  <c r="J181" i="67"/>
  <c r="J182" i="67"/>
  <c r="J183" i="67"/>
  <c r="J184" i="67"/>
  <c r="J185" i="67"/>
  <c r="J186" i="67"/>
  <c r="J187" i="67"/>
  <c r="J188" i="67"/>
  <c r="J189" i="67"/>
  <c r="J190" i="67"/>
  <c r="J191" i="67"/>
  <c r="J192" i="67"/>
  <c r="J193" i="67"/>
  <c r="J194" i="67"/>
  <c r="J195" i="67"/>
  <c r="J196" i="67"/>
  <c r="J197" i="67"/>
  <c r="J198" i="67"/>
  <c r="J199"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101" i="67"/>
  <c r="I102" i="67"/>
  <c r="I103" i="67"/>
  <c r="I104" i="67"/>
  <c r="I105" i="67"/>
  <c r="I106" i="67"/>
  <c r="I107" i="67"/>
  <c r="I108" i="67"/>
  <c r="I109" i="67"/>
  <c r="I110" i="67"/>
  <c r="I111" i="67"/>
  <c r="I112" i="67"/>
  <c r="I113" i="67"/>
  <c r="I114" i="67"/>
  <c r="I115" i="67"/>
  <c r="I116" i="67"/>
  <c r="I117" i="67"/>
  <c r="I118" i="67"/>
  <c r="I119" i="67"/>
  <c r="I120" i="67"/>
  <c r="I121" i="67"/>
  <c r="I122" i="67"/>
  <c r="I123" i="67"/>
  <c r="I124" i="67"/>
  <c r="I125" i="67"/>
  <c r="I126" i="67"/>
  <c r="I127" i="67"/>
  <c r="I128" i="67"/>
  <c r="I129" i="67"/>
  <c r="I130" i="67"/>
  <c r="I131" i="67"/>
  <c r="I132" i="67"/>
  <c r="I133" i="67"/>
  <c r="I134" i="67"/>
  <c r="I135" i="67"/>
  <c r="I136" i="67"/>
  <c r="I137" i="67"/>
  <c r="I138" i="67"/>
  <c r="I139" i="67"/>
  <c r="I140" i="67"/>
  <c r="I141" i="67"/>
  <c r="I142" i="67"/>
  <c r="I143" i="67"/>
  <c r="I144" i="67"/>
  <c r="I145" i="67"/>
  <c r="I146" i="67"/>
  <c r="I147" i="67"/>
  <c r="I148" i="67"/>
  <c r="I149" i="67"/>
  <c r="I150" i="67"/>
  <c r="I151" i="67"/>
  <c r="I152" i="67"/>
  <c r="I153" i="67"/>
  <c r="I154" i="67"/>
  <c r="I155" i="67"/>
  <c r="I156" i="67"/>
  <c r="I157" i="67"/>
  <c r="I158" i="67"/>
  <c r="I159" i="67"/>
  <c r="I160" i="67"/>
  <c r="I161" i="67"/>
  <c r="I162" i="67"/>
  <c r="I163" i="67"/>
  <c r="I164" i="67"/>
  <c r="I165" i="67"/>
  <c r="I166" i="67"/>
  <c r="I167" i="67"/>
  <c r="I168" i="67"/>
  <c r="I169" i="67"/>
  <c r="I170" i="67"/>
  <c r="I171" i="67"/>
  <c r="I172" i="67"/>
  <c r="I173" i="67"/>
  <c r="I174" i="67"/>
  <c r="I175" i="67"/>
  <c r="I176" i="67"/>
  <c r="I177" i="67"/>
  <c r="I178" i="67"/>
  <c r="I179" i="67"/>
  <c r="I180" i="67"/>
  <c r="I181" i="67"/>
  <c r="I182" i="67"/>
  <c r="I183" i="67"/>
  <c r="I184" i="67"/>
  <c r="I185" i="67"/>
  <c r="I186" i="67"/>
  <c r="I187" i="67"/>
  <c r="I188" i="67"/>
  <c r="I189" i="67"/>
  <c r="I190" i="67"/>
  <c r="I191" i="67"/>
  <c r="I192" i="67"/>
  <c r="I193" i="67"/>
  <c r="I194" i="67"/>
  <c r="I195" i="67"/>
  <c r="I196" i="67"/>
  <c r="I197" i="67"/>
  <c r="I198" i="67"/>
  <c r="I199" i="67"/>
  <c r="I7" i="67"/>
  <c r="G200" i="67"/>
  <c r="F187" i="67"/>
  <c r="F186" i="67"/>
  <c r="K201" i="67" l="1"/>
  <c r="I201" i="67"/>
  <c r="J201" i="67"/>
  <c r="L201" i="67"/>
  <c r="C72" i="66"/>
  <c r="C71" i="66"/>
  <c r="C36" i="66"/>
  <c r="C32" i="66"/>
  <c r="C25" i="66"/>
  <c r="C38" i="66"/>
  <c r="C56" i="66"/>
  <c r="C14" i="66"/>
  <c r="C17" i="66"/>
  <c r="C69" i="66"/>
  <c r="C23" i="66"/>
  <c r="C47" i="66"/>
  <c r="C42" i="66"/>
  <c r="C22" i="66"/>
  <c r="C34" i="66"/>
  <c r="C20" i="66"/>
  <c r="C28" i="66"/>
  <c r="C39" i="66"/>
  <c r="I9" i="19" s="1"/>
  <c r="C61" i="66"/>
  <c r="C66" i="66"/>
  <c r="C5" i="66"/>
  <c r="C8" i="66"/>
  <c r="C13" i="66"/>
  <c r="C11" i="66"/>
  <c r="C15" i="66"/>
  <c r="C16" i="66"/>
  <c r="C4" i="66"/>
  <c r="C10" i="66"/>
  <c r="C33" i="66"/>
  <c r="C59" i="66"/>
  <c r="C49" i="66"/>
  <c r="C45" i="66"/>
  <c r="C55" i="66"/>
  <c r="C26" i="66"/>
  <c r="C53" i="66"/>
  <c r="C9" i="66"/>
  <c r="C37" i="66"/>
  <c r="C67" i="66"/>
  <c r="C46" i="66"/>
  <c r="C48" i="66"/>
  <c r="C21" i="66"/>
  <c r="C64" i="66"/>
  <c r="C63" i="66"/>
  <c r="C29" i="66"/>
  <c r="C44" i="66"/>
  <c r="C43" i="66"/>
  <c r="C54" i="66"/>
  <c r="C52" i="66"/>
  <c r="C51" i="66"/>
  <c r="C60" i="66"/>
  <c r="C58" i="66"/>
  <c r="AK198" i="19"/>
  <c r="AH198" i="19"/>
  <c r="AE198" i="19"/>
  <c r="AB198" i="19"/>
  <c r="Y198" i="19"/>
  <c r="V198" i="19"/>
  <c r="S198" i="19"/>
  <c r="P198" i="19"/>
  <c r="M198" i="19"/>
  <c r="AJ198" i="19"/>
  <c r="AG198" i="19"/>
  <c r="AD198" i="19"/>
  <c r="AA198" i="19"/>
  <c r="X198" i="19"/>
  <c r="U198" i="19"/>
  <c r="AI198" i="19"/>
  <c r="AF198" i="19"/>
  <c r="AC198" i="19"/>
  <c r="Z198" i="19"/>
  <c r="W198" i="19"/>
  <c r="T198" i="19"/>
  <c r="Q198" i="19"/>
  <c r="N198" i="19"/>
  <c r="K198" i="19"/>
  <c r="I198" i="19"/>
  <c r="AK193" i="19"/>
  <c r="AH193" i="19"/>
  <c r="AE193" i="19"/>
  <c r="AB193" i="19"/>
  <c r="Y193" i="19"/>
  <c r="V193" i="19"/>
  <c r="S193" i="19"/>
  <c r="P193" i="19"/>
  <c r="M193" i="19"/>
  <c r="AJ193" i="19"/>
  <c r="AG193" i="19"/>
  <c r="AD193" i="19"/>
  <c r="AA193" i="19"/>
  <c r="X193" i="19"/>
  <c r="U193" i="19"/>
  <c r="AI193" i="19"/>
  <c r="AF193" i="19"/>
  <c r="AC193" i="19"/>
  <c r="Z193" i="19"/>
  <c r="W193" i="19"/>
  <c r="T193" i="19"/>
  <c r="Q193" i="19"/>
  <c r="N193" i="19"/>
  <c r="K193" i="19"/>
  <c r="I193" i="19"/>
  <c r="AK190" i="19"/>
  <c r="AH190" i="19"/>
  <c r="AE190" i="19"/>
  <c r="AB190" i="19"/>
  <c r="Y190" i="19"/>
  <c r="V190" i="19"/>
  <c r="S190" i="19"/>
  <c r="P190" i="19"/>
  <c r="M190" i="19"/>
  <c r="AJ190" i="19"/>
  <c r="AG190" i="19"/>
  <c r="AD190" i="19"/>
  <c r="AA190" i="19"/>
  <c r="X190" i="19"/>
  <c r="U190" i="19"/>
  <c r="R190" i="19"/>
  <c r="AI190" i="19"/>
  <c r="AF190" i="19"/>
  <c r="AC190" i="19"/>
  <c r="Z190" i="19"/>
  <c r="W190" i="19"/>
  <c r="T190" i="19"/>
  <c r="Q190" i="19"/>
  <c r="N190" i="19"/>
  <c r="K190" i="19"/>
  <c r="I190" i="19"/>
  <c r="AK189" i="19"/>
  <c r="AH189" i="19"/>
  <c r="AE189" i="19"/>
  <c r="AB189" i="19"/>
  <c r="Y189" i="19"/>
  <c r="V189" i="19"/>
  <c r="S189" i="19"/>
  <c r="P189" i="19"/>
  <c r="M189" i="19"/>
  <c r="AJ189" i="19"/>
  <c r="AG189" i="19"/>
  <c r="AD189" i="19"/>
  <c r="AA189" i="19"/>
  <c r="X189" i="19"/>
  <c r="U189" i="19"/>
  <c r="R189" i="19"/>
  <c r="AI189" i="19"/>
  <c r="AF189" i="19"/>
  <c r="AC189" i="19"/>
  <c r="Z189" i="19"/>
  <c r="W189" i="19"/>
  <c r="T189" i="19"/>
  <c r="Q189" i="19"/>
  <c r="N189" i="19"/>
  <c r="K189" i="19"/>
  <c r="I189" i="19"/>
  <c r="AK188" i="19"/>
  <c r="AH188" i="19"/>
  <c r="AE188" i="19"/>
  <c r="AB188" i="19"/>
  <c r="Y188" i="19"/>
  <c r="V188" i="19"/>
  <c r="S188" i="19"/>
  <c r="P188" i="19"/>
  <c r="M188" i="19"/>
  <c r="AJ188" i="19"/>
  <c r="AG188" i="19"/>
  <c r="AD188" i="19"/>
  <c r="AA188" i="19"/>
  <c r="X188" i="19"/>
  <c r="AI188" i="19"/>
  <c r="AF188" i="19"/>
  <c r="AC188" i="19"/>
  <c r="Z188" i="19"/>
  <c r="W188" i="19"/>
  <c r="T188" i="19"/>
  <c r="Q188" i="19"/>
  <c r="N188" i="19"/>
  <c r="K188" i="19"/>
  <c r="I188" i="19"/>
  <c r="AK183" i="19"/>
  <c r="AH183" i="19"/>
  <c r="AE183" i="19"/>
  <c r="AB183" i="19"/>
  <c r="Y183" i="19"/>
  <c r="V183" i="19"/>
  <c r="S183" i="19"/>
  <c r="P183" i="19"/>
  <c r="M183" i="19"/>
  <c r="AJ183" i="19"/>
  <c r="AG183" i="19"/>
  <c r="AD183" i="19"/>
  <c r="AA183" i="19"/>
  <c r="X183" i="19"/>
  <c r="U183" i="19"/>
  <c r="AI183" i="19"/>
  <c r="AF183" i="19"/>
  <c r="AC183" i="19"/>
  <c r="Z183" i="19"/>
  <c r="W183" i="19"/>
  <c r="T183" i="19"/>
  <c r="Q183" i="19"/>
  <c r="N183" i="19"/>
  <c r="K183" i="19"/>
  <c r="I183" i="19"/>
  <c r="AK178" i="19"/>
  <c r="AH178" i="19"/>
  <c r="AE178" i="19"/>
  <c r="AB178" i="19"/>
  <c r="Y178" i="19"/>
  <c r="V178" i="19"/>
  <c r="S178" i="19"/>
  <c r="P178" i="19"/>
  <c r="M178" i="19"/>
  <c r="AJ178" i="19"/>
  <c r="AG178" i="19"/>
  <c r="AD178" i="19"/>
  <c r="AA178" i="19"/>
  <c r="X178" i="19"/>
  <c r="U178" i="19"/>
  <c r="R178" i="19"/>
  <c r="O178" i="19"/>
  <c r="AI178" i="19"/>
  <c r="AF178" i="19"/>
  <c r="AC178" i="19"/>
  <c r="Z178" i="19"/>
  <c r="W178" i="19"/>
  <c r="T178" i="19"/>
  <c r="Q178" i="19"/>
  <c r="N178" i="19"/>
  <c r="K178" i="19"/>
  <c r="I178" i="19"/>
  <c r="AK174" i="19"/>
  <c r="AH174" i="19"/>
  <c r="AE174" i="19"/>
  <c r="AB174" i="19"/>
  <c r="Y174" i="19"/>
  <c r="V174" i="19"/>
  <c r="S174" i="19"/>
  <c r="P174" i="19"/>
  <c r="M174" i="19"/>
  <c r="AJ174" i="19"/>
  <c r="AG174" i="19"/>
  <c r="AD174" i="19"/>
  <c r="AA174" i="19"/>
  <c r="X174" i="19"/>
  <c r="U174" i="19"/>
  <c r="R174" i="19"/>
  <c r="AI174" i="19"/>
  <c r="AF174" i="19"/>
  <c r="AC174" i="19"/>
  <c r="Z174" i="19"/>
  <c r="W174" i="19"/>
  <c r="T174" i="19"/>
  <c r="Q174" i="19"/>
  <c r="N174" i="19"/>
  <c r="K174" i="19"/>
  <c r="I174" i="19"/>
  <c r="AK173" i="19"/>
  <c r="AH173" i="19"/>
  <c r="AE173" i="19"/>
  <c r="AB173" i="19"/>
  <c r="Y173" i="19"/>
  <c r="V173" i="19"/>
  <c r="S173" i="19"/>
  <c r="P173" i="19"/>
  <c r="M173" i="19"/>
  <c r="AJ173" i="19"/>
  <c r="AG173" i="19"/>
  <c r="AD173" i="19"/>
  <c r="AA173" i="19"/>
  <c r="X173" i="19"/>
  <c r="U173" i="19"/>
  <c r="R173" i="19"/>
  <c r="O173" i="19"/>
  <c r="AI173" i="19"/>
  <c r="AF173" i="19"/>
  <c r="AC173" i="19"/>
  <c r="Z173" i="19"/>
  <c r="W173" i="19"/>
  <c r="T173" i="19"/>
  <c r="Q173" i="19"/>
  <c r="N173" i="19"/>
  <c r="K173" i="19"/>
  <c r="I173" i="19"/>
  <c r="AK171" i="19"/>
  <c r="AH171" i="19"/>
  <c r="AE171" i="19"/>
  <c r="AB171" i="19"/>
  <c r="Y171" i="19"/>
  <c r="V171" i="19"/>
  <c r="S171" i="19"/>
  <c r="P171" i="19"/>
  <c r="M171" i="19"/>
  <c r="AJ171" i="19"/>
  <c r="AG171" i="19"/>
  <c r="AD171" i="19"/>
  <c r="AA171" i="19"/>
  <c r="X171" i="19"/>
  <c r="U171" i="19"/>
  <c r="R171" i="19"/>
  <c r="O171" i="19"/>
  <c r="AI171" i="19"/>
  <c r="AF171" i="19"/>
  <c r="AC171" i="19"/>
  <c r="Z171" i="19"/>
  <c r="W171" i="19"/>
  <c r="T171" i="19"/>
  <c r="Q171" i="19"/>
  <c r="N171" i="19"/>
  <c r="K171" i="19"/>
  <c r="I171" i="19"/>
  <c r="AK170" i="19"/>
  <c r="AH170" i="19"/>
  <c r="AE170" i="19"/>
  <c r="AB170" i="19"/>
  <c r="Y170" i="19"/>
  <c r="V170" i="19"/>
  <c r="S170" i="19"/>
  <c r="P170" i="19"/>
  <c r="M170" i="19"/>
  <c r="AJ170" i="19"/>
  <c r="AG170" i="19"/>
  <c r="AD170" i="19"/>
  <c r="AA170" i="19"/>
  <c r="X170" i="19"/>
  <c r="U170" i="19"/>
  <c r="R170" i="19"/>
  <c r="O170" i="19"/>
  <c r="AI170" i="19"/>
  <c r="AF170" i="19"/>
  <c r="AC170" i="19"/>
  <c r="Z170" i="19"/>
  <c r="W170" i="19"/>
  <c r="T170" i="19"/>
  <c r="Q170" i="19"/>
  <c r="N170" i="19"/>
  <c r="K170" i="19"/>
  <c r="I170" i="19"/>
  <c r="AK169" i="19"/>
  <c r="AH169" i="19"/>
  <c r="AE169" i="19"/>
  <c r="AB169" i="19"/>
  <c r="Y169" i="19"/>
  <c r="V169" i="19"/>
  <c r="S169" i="19"/>
  <c r="P169" i="19"/>
  <c r="M169" i="19"/>
  <c r="AJ169" i="19"/>
  <c r="AG169" i="19"/>
  <c r="AD169" i="19"/>
  <c r="AA169" i="19"/>
  <c r="X169" i="19"/>
  <c r="U169" i="19"/>
  <c r="R169" i="19"/>
  <c r="AI169" i="19"/>
  <c r="AF169" i="19"/>
  <c r="AC169" i="19"/>
  <c r="Z169" i="19"/>
  <c r="W169" i="19"/>
  <c r="T169" i="19"/>
  <c r="Q169" i="19"/>
  <c r="N169" i="19"/>
  <c r="K169" i="19"/>
  <c r="I169" i="19"/>
  <c r="AK168" i="19"/>
  <c r="AH168" i="19"/>
  <c r="AE168" i="19"/>
  <c r="AB168" i="19"/>
  <c r="Y168" i="19"/>
  <c r="V168" i="19"/>
  <c r="S168" i="19"/>
  <c r="P168" i="19"/>
  <c r="M168" i="19"/>
  <c r="AJ168" i="19"/>
  <c r="AG168" i="19"/>
  <c r="AD168" i="19"/>
  <c r="AA168" i="19"/>
  <c r="X168" i="19"/>
  <c r="U168" i="19"/>
  <c r="R168" i="19"/>
  <c r="O168" i="19"/>
  <c r="AI168" i="19"/>
  <c r="AF168" i="19"/>
  <c r="AC168" i="19"/>
  <c r="Z168" i="19"/>
  <c r="W168" i="19"/>
  <c r="T168" i="19"/>
  <c r="Q168" i="19"/>
  <c r="N168" i="19"/>
  <c r="K168" i="19"/>
  <c r="I168" i="19"/>
  <c r="AK167" i="19"/>
  <c r="AH167" i="19"/>
  <c r="AE167" i="19"/>
  <c r="AB167" i="19"/>
  <c r="Y167" i="19"/>
  <c r="V167" i="19"/>
  <c r="S167" i="19"/>
  <c r="P167" i="19"/>
  <c r="M167" i="19"/>
  <c r="AJ167" i="19"/>
  <c r="AG167" i="19"/>
  <c r="AD167" i="19"/>
  <c r="AA167" i="19"/>
  <c r="X167" i="19"/>
  <c r="U167" i="19"/>
  <c r="R167" i="19"/>
  <c r="O167" i="19"/>
  <c r="AI167" i="19"/>
  <c r="AF167" i="19"/>
  <c r="AC167" i="19"/>
  <c r="Z167" i="19"/>
  <c r="W167" i="19"/>
  <c r="T167" i="19"/>
  <c r="Q167" i="19"/>
  <c r="N167" i="19"/>
  <c r="K167" i="19"/>
  <c r="I167" i="19"/>
  <c r="AK166" i="19"/>
  <c r="AH166" i="19"/>
  <c r="AE166" i="19"/>
  <c r="AB166" i="19"/>
  <c r="Y166" i="19"/>
  <c r="V166" i="19"/>
  <c r="S166" i="19"/>
  <c r="P166" i="19"/>
  <c r="M166" i="19"/>
  <c r="AJ166" i="19"/>
  <c r="AG166" i="19"/>
  <c r="AD166" i="19"/>
  <c r="AA166" i="19"/>
  <c r="X166" i="19"/>
  <c r="AI166" i="19"/>
  <c r="AF166" i="19"/>
  <c r="AC166" i="19"/>
  <c r="Z166" i="19"/>
  <c r="W166" i="19"/>
  <c r="T166" i="19"/>
  <c r="Q166" i="19"/>
  <c r="N166" i="19"/>
  <c r="K166" i="19"/>
  <c r="I166" i="19"/>
  <c r="AK165" i="19"/>
  <c r="AH165" i="19"/>
  <c r="AE165" i="19"/>
  <c r="AB165" i="19"/>
  <c r="Y165" i="19"/>
  <c r="V165" i="19"/>
  <c r="S165" i="19"/>
  <c r="P165" i="19"/>
  <c r="M165" i="19"/>
  <c r="AJ165" i="19"/>
  <c r="AG165" i="19"/>
  <c r="AD165" i="19"/>
  <c r="AA165" i="19"/>
  <c r="X165" i="19"/>
  <c r="U165" i="19"/>
  <c r="R165" i="19"/>
  <c r="AI165" i="19"/>
  <c r="AF165" i="19"/>
  <c r="AC165" i="19"/>
  <c r="Z165" i="19"/>
  <c r="W165" i="19"/>
  <c r="T165" i="19"/>
  <c r="Q165" i="19"/>
  <c r="N165" i="19"/>
  <c r="K165" i="19"/>
  <c r="I165" i="19"/>
  <c r="AK163" i="19"/>
  <c r="AH163" i="19"/>
  <c r="AE163" i="19"/>
  <c r="AB163" i="19"/>
  <c r="Y163" i="19"/>
  <c r="V163" i="19"/>
  <c r="S163" i="19"/>
  <c r="P163" i="19"/>
  <c r="M163" i="19"/>
  <c r="AJ163" i="19"/>
  <c r="AG163" i="19"/>
  <c r="AD163" i="19"/>
  <c r="AA163" i="19"/>
  <c r="X163" i="19"/>
  <c r="U163" i="19"/>
  <c r="R163" i="19"/>
  <c r="O163" i="19"/>
  <c r="AI163" i="19"/>
  <c r="AF163" i="19"/>
  <c r="AC163" i="19"/>
  <c r="Z163" i="19"/>
  <c r="W163" i="19"/>
  <c r="T163" i="19"/>
  <c r="Q163" i="19"/>
  <c r="N163" i="19"/>
  <c r="K163" i="19"/>
  <c r="I163" i="19"/>
  <c r="AK162" i="19"/>
  <c r="AH162" i="19"/>
  <c r="AE162" i="19"/>
  <c r="AB162" i="19"/>
  <c r="Y162" i="19"/>
  <c r="V162" i="19"/>
  <c r="S162" i="19"/>
  <c r="P162" i="19"/>
  <c r="M162" i="19"/>
  <c r="AJ162" i="19"/>
  <c r="AG162" i="19"/>
  <c r="AD162" i="19"/>
  <c r="AA162" i="19"/>
  <c r="X162" i="19"/>
  <c r="U162" i="19"/>
  <c r="R162" i="19"/>
  <c r="AI162" i="19"/>
  <c r="AF162" i="19"/>
  <c r="AC162" i="19"/>
  <c r="Z162" i="19"/>
  <c r="W162" i="19"/>
  <c r="T162" i="19"/>
  <c r="Q162" i="19"/>
  <c r="N162" i="19"/>
  <c r="K162" i="19"/>
  <c r="I162" i="19"/>
  <c r="AK161" i="19"/>
  <c r="AH161" i="19"/>
  <c r="AE161" i="19"/>
  <c r="AB161" i="19"/>
  <c r="Y161" i="19"/>
  <c r="V161" i="19"/>
  <c r="S161" i="19"/>
  <c r="P161" i="19"/>
  <c r="M161" i="19"/>
  <c r="AJ161" i="19"/>
  <c r="AG161" i="19"/>
  <c r="AD161" i="19"/>
  <c r="AA161" i="19"/>
  <c r="X161" i="19"/>
  <c r="U161" i="19"/>
  <c r="R161" i="19"/>
  <c r="O161" i="19"/>
  <c r="AI161" i="19"/>
  <c r="AF161" i="19"/>
  <c r="AC161" i="19"/>
  <c r="Z161" i="19"/>
  <c r="W161" i="19"/>
  <c r="T161" i="19"/>
  <c r="Q161" i="19"/>
  <c r="N161" i="19"/>
  <c r="K161" i="19"/>
  <c r="I161" i="19"/>
  <c r="AK160" i="19"/>
  <c r="AH160" i="19"/>
  <c r="AE160" i="19"/>
  <c r="AB160" i="19"/>
  <c r="Y160" i="19"/>
  <c r="V160" i="19"/>
  <c r="S160" i="19"/>
  <c r="P160" i="19"/>
  <c r="M160" i="19"/>
  <c r="AJ160" i="19"/>
  <c r="AG160" i="19"/>
  <c r="AD160" i="19"/>
  <c r="AA160" i="19"/>
  <c r="X160" i="19"/>
  <c r="U160" i="19"/>
  <c r="AI160" i="19"/>
  <c r="AF160" i="19"/>
  <c r="AC160" i="19"/>
  <c r="Z160" i="19"/>
  <c r="W160" i="19"/>
  <c r="T160" i="19"/>
  <c r="Q160" i="19"/>
  <c r="N160" i="19"/>
  <c r="K160" i="19"/>
  <c r="I160" i="19"/>
  <c r="AK159" i="19"/>
  <c r="AH159" i="19"/>
  <c r="AE159" i="19"/>
  <c r="AB159" i="19"/>
  <c r="Y159" i="19"/>
  <c r="V159" i="19"/>
  <c r="S159" i="19"/>
  <c r="P159" i="19"/>
  <c r="M159" i="19"/>
  <c r="AJ159" i="19"/>
  <c r="AG159" i="19"/>
  <c r="AD159" i="19"/>
  <c r="AA159" i="19"/>
  <c r="X159" i="19"/>
  <c r="U159" i="19"/>
  <c r="R159" i="19"/>
  <c r="O159" i="19"/>
  <c r="AI159" i="19"/>
  <c r="AF159" i="19"/>
  <c r="AC159" i="19"/>
  <c r="Z159" i="19"/>
  <c r="W159" i="19"/>
  <c r="T159" i="19"/>
  <c r="Q159" i="19"/>
  <c r="N159" i="19"/>
  <c r="K159" i="19"/>
  <c r="I159" i="19"/>
  <c r="AK158" i="19"/>
  <c r="AH158" i="19"/>
  <c r="AE158" i="19"/>
  <c r="AB158" i="19"/>
  <c r="Y158" i="19"/>
  <c r="V158" i="19"/>
  <c r="S158" i="19"/>
  <c r="P158" i="19"/>
  <c r="M158" i="19"/>
  <c r="AJ158" i="19"/>
  <c r="AG158" i="19"/>
  <c r="AD158" i="19"/>
  <c r="AA158" i="19"/>
  <c r="X158" i="19"/>
  <c r="U158" i="19"/>
  <c r="R158" i="19"/>
  <c r="AI158" i="19"/>
  <c r="AF158" i="19"/>
  <c r="AC158" i="19"/>
  <c r="Z158" i="19"/>
  <c r="W158" i="19"/>
  <c r="T158" i="19"/>
  <c r="Q158" i="19"/>
  <c r="N158" i="19"/>
  <c r="K158" i="19"/>
  <c r="AK157" i="19"/>
  <c r="AH157" i="19"/>
  <c r="AE157" i="19"/>
  <c r="AB157" i="19"/>
  <c r="Y157" i="19"/>
  <c r="V157" i="19"/>
  <c r="S157" i="19"/>
  <c r="P157" i="19"/>
  <c r="M157" i="19"/>
  <c r="AJ157" i="19"/>
  <c r="AG157" i="19"/>
  <c r="AD157" i="19"/>
  <c r="AA157" i="19"/>
  <c r="X157" i="19"/>
  <c r="U157" i="19"/>
  <c r="R157" i="19"/>
  <c r="AI157" i="19"/>
  <c r="AF157" i="19"/>
  <c r="AC157" i="19"/>
  <c r="Z157" i="19"/>
  <c r="W157" i="19"/>
  <c r="T157" i="19"/>
  <c r="Q157" i="19"/>
  <c r="N157" i="19"/>
  <c r="K157" i="19"/>
  <c r="I157" i="19"/>
  <c r="AK156" i="19"/>
  <c r="AH156" i="19"/>
  <c r="AE156" i="19"/>
  <c r="AB156" i="19"/>
  <c r="Y156" i="19"/>
  <c r="V156" i="19"/>
  <c r="S156" i="19"/>
  <c r="P156" i="19"/>
  <c r="M156" i="19"/>
  <c r="AJ156" i="19"/>
  <c r="AG156" i="19"/>
  <c r="AD156" i="19"/>
  <c r="AA156" i="19"/>
  <c r="X156" i="19"/>
  <c r="AI156" i="19"/>
  <c r="AF156" i="19"/>
  <c r="AC156" i="19"/>
  <c r="Z156" i="19"/>
  <c r="W156" i="19"/>
  <c r="T156" i="19"/>
  <c r="Q156" i="19"/>
  <c r="N156" i="19"/>
  <c r="K156" i="19"/>
  <c r="I156" i="19"/>
  <c r="AK155" i="19"/>
  <c r="AH155" i="19"/>
  <c r="AE155" i="19"/>
  <c r="AB155" i="19"/>
  <c r="Y155" i="19"/>
  <c r="V155" i="19"/>
  <c r="S155" i="19"/>
  <c r="P155" i="19"/>
  <c r="M155" i="19"/>
  <c r="AJ155" i="19"/>
  <c r="AG155" i="19"/>
  <c r="AD155" i="19"/>
  <c r="AA155" i="19"/>
  <c r="X155" i="19"/>
  <c r="AI155" i="19"/>
  <c r="AF155" i="19"/>
  <c r="AC155" i="19"/>
  <c r="Z155" i="19"/>
  <c r="W155" i="19"/>
  <c r="T155" i="19"/>
  <c r="Q155" i="19"/>
  <c r="N155" i="19"/>
  <c r="K155" i="19"/>
  <c r="I155" i="19"/>
  <c r="AK154" i="19"/>
  <c r="AH154" i="19"/>
  <c r="AE154" i="19"/>
  <c r="AB154" i="19"/>
  <c r="Y154" i="19"/>
  <c r="V154" i="19"/>
  <c r="S154" i="19"/>
  <c r="P154" i="19"/>
  <c r="M154" i="19"/>
  <c r="AJ154" i="19"/>
  <c r="AG154" i="19"/>
  <c r="AD154" i="19"/>
  <c r="AA154" i="19"/>
  <c r="X154" i="19"/>
  <c r="U154" i="19"/>
  <c r="R154" i="19"/>
  <c r="AI154" i="19"/>
  <c r="AF154" i="19"/>
  <c r="AC154" i="19"/>
  <c r="Z154" i="19"/>
  <c r="W154" i="19"/>
  <c r="T154" i="19"/>
  <c r="Q154" i="19"/>
  <c r="N154" i="19"/>
  <c r="K154" i="19"/>
  <c r="I154" i="19"/>
  <c r="AK152" i="19"/>
  <c r="AH152" i="19"/>
  <c r="AE152" i="19"/>
  <c r="AB152" i="19"/>
  <c r="Y152" i="19"/>
  <c r="V152" i="19"/>
  <c r="S152" i="19"/>
  <c r="P152" i="19"/>
  <c r="M152" i="19"/>
  <c r="AJ152" i="19"/>
  <c r="AG152" i="19"/>
  <c r="AD152" i="19"/>
  <c r="AA152" i="19"/>
  <c r="X152" i="19"/>
  <c r="U152" i="19"/>
  <c r="R152" i="19"/>
  <c r="O152" i="19"/>
  <c r="AI152" i="19"/>
  <c r="AF152" i="19"/>
  <c r="AC152" i="19"/>
  <c r="Z152" i="19"/>
  <c r="W152" i="19"/>
  <c r="T152" i="19"/>
  <c r="Q152" i="19"/>
  <c r="N152" i="19"/>
  <c r="K152" i="19"/>
  <c r="I152" i="19"/>
  <c r="AK151" i="19"/>
  <c r="AH151" i="19"/>
  <c r="AE151" i="19"/>
  <c r="AB151" i="19"/>
  <c r="Y151" i="19"/>
  <c r="V151" i="19"/>
  <c r="S151" i="19"/>
  <c r="P151" i="19"/>
  <c r="M151" i="19"/>
  <c r="AJ151" i="19"/>
  <c r="AG151" i="19"/>
  <c r="AD151" i="19"/>
  <c r="AA151" i="19"/>
  <c r="X151" i="19"/>
  <c r="U151" i="19"/>
  <c r="AI151" i="19"/>
  <c r="AF151" i="19"/>
  <c r="AC151" i="19"/>
  <c r="Z151" i="19"/>
  <c r="W151" i="19"/>
  <c r="T151" i="19"/>
  <c r="Q151" i="19"/>
  <c r="N151" i="19"/>
  <c r="K151" i="19"/>
  <c r="I151" i="19"/>
  <c r="AK150" i="19"/>
  <c r="AH150" i="19"/>
  <c r="AE150" i="19"/>
  <c r="AB150" i="19"/>
  <c r="Y150" i="19"/>
  <c r="V150" i="19"/>
  <c r="S150" i="19"/>
  <c r="P150" i="19"/>
  <c r="M150" i="19"/>
  <c r="AJ150" i="19"/>
  <c r="AG150" i="19"/>
  <c r="AD150" i="19"/>
  <c r="AA150" i="19"/>
  <c r="X150" i="19"/>
  <c r="U150" i="19"/>
  <c r="R150" i="19"/>
  <c r="AI150" i="19"/>
  <c r="AF150" i="19"/>
  <c r="AC150" i="19"/>
  <c r="Z150" i="19"/>
  <c r="W150" i="19"/>
  <c r="T150" i="19"/>
  <c r="Q150" i="19"/>
  <c r="N150" i="19"/>
  <c r="K150" i="19"/>
  <c r="I150" i="19"/>
  <c r="AK149" i="19"/>
  <c r="AH149" i="19"/>
  <c r="AE149" i="19"/>
  <c r="AB149" i="19"/>
  <c r="Y149" i="19"/>
  <c r="V149" i="19"/>
  <c r="S149" i="19"/>
  <c r="P149" i="19"/>
  <c r="M149" i="19"/>
  <c r="AJ149" i="19"/>
  <c r="AG149" i="19"/>
  <c r="AD149" i="19"/>
  <c r="AA149" i="19"/>
  <c r="X149" i="19"/>
  <c r="U149" i="19"/>
  <c r="R149" i="19"/>
  <c r="AI149" i="19"/>
  <c r="AF149" i="19"/>
  <c r="AC149" i="19"/>
  <c r="Z149" i="19"/>
  <c r="W149" i="19"/>
  <c r="T149" i="19"/>
  <c r="Q149" i="19"/>
  <c r="N149" i="19"/>
  <c r="K149" i="19"/>
  <c r="I149" i="19"/>
  <c r="AK148" i="19"/>
  <c r="AH148" i="19"/>
  <c r="AE148" i="19"/>
  <c r="AB148" i="19"/>
  <c r="Y148" i="19"/>
  <c r="V148" i="19"/>
  <c r="S148" i="19"/>
  <c r="P148" i="19"/>
  <c r="M148" i="19"/>
  <c r="AJ148" i="19"/>
  <c r="AG148" i="19"/>
  <c r="AD148" i="19"/>
  <c r="AA148" i="19"/>
  <c r="X148" i="19"/>
  <c r="U148" i="19"/>
  <c r="AI148" i="19"/>
  <c r="AF148" i="19"/>
  <c r="AC148" i="19"/>
  <c r="Z148" i="19"/>
  <c r="W148" i="19"/>
  <c r="T148" i="19"/>
  <c r="Q148" i="19"/>
  <c r="N148" i="19"/>
  <c r="K148" i="19"/>
  <c r="I148" i="19"/>
  <c r="AK147" i="19"/>
  <c r="AH147" i="19"/>
  <c r="AE147" i="19"/>
  <c r="AB147" i="19"/>
  <c r="Y147" i="19"/>
  <c r="V147" i="19"/>
  <c r="S147" i="19"/>
  <c r="P147" i="19"/>
  <c r="M147" i="19"/>
  <c r="AJ147" i="19"/>
  <c r="AG147" i="19"/>
  <c r="AD147" i="19"/>
  <c r="AA147" i="19"/>
  <c r="X147" i="19"/>
  <c r="AI147" i="19"/>
  <c r="AF147" i="19"/>
  <c r="AC147" i="19"/>
  <c r="Z147" i="19"/>
  <c r="W147" i="19"/>
  <c r="T147" i="19"/>
  <c r="Q147" i="19"/>
  <c r="N147" i="19"/>
  <c r="K147" i="19"/>
  <c r="I147" i="19"/>
  <c r="AK146" i="19"/>
  <c r="AH146" i="19"/>
  <c r="AE146" i="19"/>
  <c r="AB146" i="19"/>
  <c r="Y146" i="19"/>
  <c r="V146" i="19"/>
  <c r="S146" i="19"/>
  <c r="P146" i="19"/>
  <c r="M146" i="19"/>
  <c r="AJ146" i="19"/>
  <c r="AG146" i="19"/>
  <c r="AD146" i="19"/>
  <c r="AA146" i="19"/>
  <c r="X146" i="19"/>
  <c r="U146" i="19"/>
  <c r="R146" i="19"/>
  <c r="AI146" i="19"/>
  <c r="AF146" i="19"/>
  <c r="AC146" i="19"/>
  <c r="Z146" i="19"/>
  <c r="W146" i="19"/>
  <c r="T146" i="19"/>
  <c r="Q146" i="19"/>
  <c r="N146" i="19"/>
  <c r="K146" i="19"/>
  <c r="I146" i="19"/>
  <c r="AK145" i="19"/>
  <c r="AH145" i="19"/>
  <c r="AE145" i="19"/>
  <c r="AB145" i="19"/>
  <c r="Y145" i="19"/>
  <c r="V145" i="19"/>
  <c r="S145" i="19"/>
  <c r="P145" i="19"/>
  <c r="M145" i="19"/>
  <c r="AJ145" i="19"/>
  <c r="AG145" i="19"/>
  <c r="AD145" i="19"/>
  <c r="AA145" i="19"/>
  <c r="X145" i="19"/>
  <c r="U145" i="19"/>
  <c r="R145" i="19"/>
  <c r="AI145" i="19"/>
  <c r="AF145" i="19"/>
  <c r="AC145" i="19"/>
  <c r="Z145" i="19"/>
  <c r="W145" i="19"/>
  <c r="T145" i="19"/>
  <c r="Q145" i="19"/>
  <c r="N145" i="19"/>
  <c r="K145" i="19"/>
  <c r="I145" i="19"/>
  <c r="AK144" i="19"/>
  <c r="AH144" i="19"/>
  <c r="AE144" i="19"/>
  <c r="AB144" i="19"/>
  <c r="Y144" i="19"/>
  <c r="V144" i="19"/>
  <c r="S144" i="19"/>
  <c r="P144" i="19"/>
  <c r="M144" i="19"/>
  <c r="AJ144" i="19"/>
  <c r="AG144" i="19"/>
  <c r="AD144" i="19"/>
  <c r="AA144" i="19"/>
  <c r="X144" i="19"/>
  <c r="U144" i="19"/>
  <c r="R144" i="19"/>
  <c r="O144" i="19"/>
  <c r="AI144" i="19"/>
  <c r="AF144" i="19"/>
  <c r="AC144" i="19"/>
  <c r="Z144" i="19"/>
  <c r="W144" i="19"/>
  <c r="T144" i="19"/>
  <c r="Q144" i="19"/>
  <c r="N144" i="19"/>
  <c r="K144" i="19"/>
  <c r="I144" i="19"/>
  <c r="AK143" i="19"/>
  <c r="AH143" i="19"/>
  <c r="AE143" i="19"/>
  <c r="AB143" i="19"/>
  <c r="Y143" i="19"/>
  <c r="V143" i="19"/>
  <c r="S143" i="19"/>
  <c r="P143" i="19"/>
  <c r="M143" i="19"/>
  <c r="AJ143" i="19"/>
  <c r="AG143" i="19"/>
  <c r="AD143" i="19"/>
  <c r="AA143" i="19"/>
  <c r="X143" i="19"/>
  <c r="U143" i="19"/>
  <c r="R143" i="19"/>
  <c r="O143" i="19"/>
  <c r="AI143" i="19"/>
  <c r="AF143" i="19"/>
  <c r="AC143" i="19"/>
  <c r="Z143" i="19"/>
  <c r="W143" i="19"/>
  <c r="T143" i="19"/>
  <c r="Q143" i="19"/>
  <c r="N143" i="19"/>
  <c r="K143" i="19"/>
  <c r="I143" i="19"/>
  <c r="AK142" i="19"/>
  <c r="AH142" i="19"/>
  <c r="AE142" i="19"/>
  <c r="AB142" i="19"/>
  <c r="Y142" i="19"/>
  <c r="V142" i="19"/>
  <c r="S142" i="19"/>
  <c r="P142" i="19"/>
  <c r="M142" i="19"/>
  <c r="AJ142" i="19"/>
  <c r="AG142" i="19"/>
  <c r="AD142" i="19"/>
  <c r="AA142" i="19"/>
  <c r="X142" i="19"/>
  <c r="U142" i="19"/>
  <c r="R142" i="19"/>
  <c r="AI142" i="19"/>
  <c r="AF142" i="19"/>
  <c r="AC142" i="19"/>
  <c r="Z142" i="19"/>
  <c r="W142" i="19"/>
  <c r="T142" i="19"/>
  <c r="Q142" i="19"/>
  <c r="N142" i="19"/>
  <c r="K142" i="19"/>
  <c r="I142" i="19"/>
  <c r="AK141" i="19"/>
  <c r="AH141" i="19"/>
  <c r="AE141" i="19"/>
  <c r="AB141" i="19"/>
  <c r="Y141" i="19"/>
  <c r="V141" i="19"/>
  <c r="S141" i="19"/>
  <c r="P141" i="19"/>
  <c r="M141" i="19"/>
  <c r="AJ141" i="19"/>
  <c r="AG141" i="19"/>
  <c r="AD141" i="19"/>
  <c r="AA141" i="19"/>
  <c r="X141" i="19"/>
  <c r="U141" i="19"/>
  <c r="R141" i="19"/>
  <c r="O141" i="19"/>
  <c r="AI141" i="19"/>
  <c r="AF141" i="19"/>
  <c r="AC141" i="19"/>
  <c r="Z141" i="19"/>
  <c r="W141" i="19"/>
  <c r="T141" i="19"/>
  <c r="Q141" i="19"/>
  <c r="N141" i="19"/>
  <c r="K141" i="19"/>
  <c r="I141" i="19"/>
  <c r="AK140" i="19"/>
  <c r="AH140" i="19"/>
  <c r="AE140" i="19"/>
  <c r="AB140" i="19"/>
  <c r="Y140" i="19"/>
  <c r="V140" i="19"/>
  <c r="S140" i="19"/>
  <c r="P140" i="19"/>
  <c r="M140" i="19"/>
  <c r="AJ140" i="19"/>
  <c r="AG140" i="19"/>
  <c r="AD140" i="19"/>
  <c r="AA140" i="19"/>
  <c r="X140" i="19"/>
  <c r="U140" i="19"/>
  <c r="AI140" i="19"/>
  <c r="AF140" i="19"/>
  <c r="AC140" i="19"/>
  <c r="Z140" i="19"/>
  <c r="W140" i="19"/>
  <c r="T140" i="19"/>
  <c r="Q140" i="19"/>
  <c r="N140" i="19"/>
  <c r="K140" i="19"/>
  <c r="I140" i="19"/>
  <c r="AK139" i="19"/>
  <c r="AH139" i="19"/>
  <c r="AE139" i="19"/>
  <c r="AB139" i="19"/>
  <c r="Y139" i="19"/>
  <c r="V139" i="19"/>
  <c r="S139" i="19"/>
  <c r="P139" i="19"/>
  <c r="M139" i="19"/>
  <c r="AJ139" i="19"/>
  <c r="AG139" i="19"/>
  <c r="AD139" i="19"/>
  <c r="AA139" i="19"/>
  <c r="X139" i="19"/>
  <c r="U139" i="19"/>
  <c r="AI139" i="19"/>
  <c r="AF139" i="19"/>
  <c r="AC139" i="19"/>
  <c r="Z139" i="19"/>
  <c r="W139" i="19"/>
  <c r="T139" i="19"/>
  <c r="Q139" i="19"/>
  <c r="N139" i="19"/>
  <c r="K139" i="19"/>
  <c r="I139" i="19"/>
  <c r="AK138" i="19"/>
  <c r="AH138" i="19"/>
  <c r="AE138" i="19"/>
  <c r="AB138" i="19"/>
  <c r="Y138" i="19"/>
  <c r="V138" i="19"/>
  <c r="S138" i="19"/>
  <c r="P138" i="19"/>
  <c r="M138" i="19"/>
  <c r="AJ138" i="19"/>
  <c r="AG138" i="19"/>
  <c r="AD138" i="19"/>
  <c r="AA138" i="19"/>
  <c r="X138" i="19"/>
  <c r="U138" i="19"/>
  <c r="R138" i="19"/>
  <c r="O138" i="19"/>
  <c r="AI138" i="19"/>
  <c r="AF138" i="19"/>
  <c r="AC138" i="19"/>
  <c r="Z138" i="19"/>
  <c r="W138" i="19"/>
  <c r="T138" i="19"/>
  <c r="Q138" i="19"/>
  <c r="N138" i="19"/>
  <c r="K138" i="19"/>
  <c r="I138" i="19"/>
  <c r="AK137" i="19"/>
  <c r="AH137" i="19"/>
  <c r="AE137" i="19"/>
  <c r="AB137" i="19"/>
  <c r="Y137" i="19"/>
  <c r="V137" i="19"/>
  <c r="S137" i="19"/>
  <c r="P137" i="19"/>
  <c r="M137" i="19"/>
  <c r="AJ137" i="19"/>
  <c r="AG137" i="19"/>
  <c r="AD137" i="19"/>
  <c r="AA137" i="19"/>
  <c r="X137" i="19"/>
  <c r="U137" i="19"/>
  <c r="R137" i="19"/>
  <c r="AI137" i="19"/>
  <c r="AF137" i="19"/>
  <c r="AC137" i="19"/>
  <c r="Z137" i="19"/>
  <c r="W137" i="19"/>
  <c r="T137" i="19"/>
  <c r="Q137" i="19"/>
  <c r="N137" i="19"/>
  <c r="K137" i="19"/>
  <c r="I137" i="19"/>
  <c r="AK136" i="19"/>
  <c r="AH136" i="19"/>
  <c r="AE136" i="19"/>
  <c r="AB136" i="19"/>
  <c r="Y136" i="19"/>
  <c r="V136" i="19"/>
  <c r="S136" i="19"/>
  <c r="P136" i="19"/>
  <c r="M136" i="19"/>
  <c r="AJ136" i="19"/>
  <c r="AG136" i="19"/>
  <c r="AD136" i="19"/>
  <c r="AA136" i="19"/>
  <c r="X136" i="19"/>
  <c r="AI136" i="19"/>
  <c r="AF136" i="19"/>
  <c r="AC136" i="19"/>
  <c r="Z136" i="19"/>
  <c r="W136" i="19"/>
  <c r="T136" i="19"/>
  <c r="Q136" i="19"/>
  <c r="N136" i="19"/>
  <c r="K136" i="19"/>
  <c r="I136" i="19"/>
  <c r="AK134" i="19"/>
  <c r="AH134" i="19"/>
  <c r="AE134" i="19"/>
  <c r="AB134" i="19"/>
  <c r="Y134" i="19"/>
  <c r="V134" i="19"/>
  <c r="S134" i="19"/>
  <c r="P134" i="19"/>
  <c r="M134" i="19"/>
  <c r="AJ134" i="19"/>
  <c r="AG134" i="19"/>
  <c r="AD134" i="19"/>
  <c r="AA134" i="19"/>
  <c r="X134" i="19"/>
  <c r="U134" i="19"/>
  <c r="R134" i="19"/>
  <c r="O134" i="19"/>
  <c r="AI134" i="19"/>
  <c r="AF134" i="19"/>
  <c r="AC134" i="19"/>
  <c r="Z134" i="19"/>
  <c r="W134" i="19"/>
  <c r="T134" i="19"/>
  <c r="Q134" i="19"/>
  <c r="N134" i="19"/>
  <c r="K134" i="19"/>
  <c r="I134" i="19"/>
  <c r="AK133" i="19"/>
  <c r="AH133" i="19"/>
  <c r="AE133" i="19"/>
  <c r="AB133" i="19"/>
  <c r="Y133" i="19"/>
  <c r="V133" i="19"/>
  <c r="S133" i="19"/>
  <c r="P133" i="19"/>
  <c r="M133" i="19"/>
  <c r="AJ133" i="19"/>
  <c r="AG133" i="19"/>
  <c r="AD133" i="19"/>
  <c r="AA133" i="19"/>
  <c r="X133" i="19"/>
  <c r="U133" i="19"/>
  <c r="R133" i="19"/>
  <c r="O133" i="19"/>
  <c r="AI133" i="19"/>
  <c r="AF133" i="19"/>
  <c r="AC133" i="19"/>
  <c r="Z133" i="19"/>
  <c r="W133" i="19"/>
  <c r="T133" i="19"/>
  <c r="Q133" i="19"/>
  <c r="N133" i="19"/>
  <c r="K133" i="19"/>
  <c r="I133" i="19"/>
  <c r="AK132" i="19"/>
  <c r="AH132" i="19"/>
  <c r="AE132" i="19"/>
  <c r="AB132" i="19"/>
  <c r="Y132" i="19"/>
  <c r="V132" i="19"/>
  <c r="S132" i="19"/>
  <c r="P132" i="19"/>
  <c r="M132" i="19"/>
  <c r="AJ132" i="19"/>
  <c r="AG132" i="19"/>
  <c r="AD132" i="19"/>
  <c r="AA132" i="19"/>
  <c r="X132" i="19"/>
  <c r="U132" i="19"/>
  <c r="R132" i="19"/>
  <c r="AI132" i="19"/>
  <c r="AF132" i="19"/>
  <c r="AC132" i="19"/>
  <c r="Z132" i="19"/>
  <c r="W132" i="19"/>
  <c r="T132" i="19"/>
  <c r="Q132" i="19"/>
  <c r="N132" i="19"/>
  <c r="K132" i="19"/>
  <c r="I132" i="19"/>
  <c r="AK131" i="19"/>
  <c r="AH131" i="19"/>
  <c r="AE131" i="19"/>
  <c r="AB131" i="19"/>
  <c r="Y131" i="19"/>
  <c r="V131" i="19"/>
  <c r="S131" i="19"/>
  <c r="P131" i="19"/>
  <c r="M131" i="19"/>
  <c r="AJ131" i="19"/>
  <c r="AG131" i="19"/>
  <c r="AD131" i="19"/>
  <c r="AA131" i="19"/>
  <c r="X131" i="19"/>
  <c r="U131" i="19"/>
  <c r="R131" i="19"/>
  <c r="O131" i="19"/>
  <c r="AI131" i="19"/>
  <c r="AF131" i="19"/>
  <c r="AC131" i="19"/>
  <c r="Z131" i="19"/>
  <c r="W131" i="19"/>
  <c r="T131" i="19"/>
  <c r="Q131" i="19"/>
  <c r="N131" i="19"/>
  <c r="K131" i="19"/>
  <c r="I131" i="19"/>
  <c r="AK128" i="19"/>
  <c r="AH128" i="19"/>
  <c r="AE128" i="19"/>
  <c r="AB128" i="19"/>
  <c r="Y128" i="19"/>
  <c r="V128" i="19"/>
  <c r="S128" i="19"/>
  <c r="P128" i="19"/>
  <c r="M128" i="19"/>
  <c r="AJ128" i="19"/>
  <c r="AG128" i="19"/>
  <c r="AD128" i="19"/>
  <c r="AA128" i="19"/>
  <c r="X128" i="19"/>
  <c r="U128" i="19"/>
  <c r="R128" i="19"/>
  <c r="AI128" i="19"/>
  <c r="AF128" i="19"/>
  <c r="AC128" i="19"/>
  <c r="Z128" i="19"/>
  <c r="W128" i="19"/>
  <c r="T128" i="19"/>
  <c r="Q128" i="19"/>
  <c r="N128" i="19"/>
  <c r="K128" i="19"/>
  <c r="I128" i="19"/>
  <c r="AK127" i="19"/>
  <c r="AH127" i="19"/>
  <c r="AE127" i="19"/>
  <c r="AB127" i="19"/>
  <c r="Y127" i="19"/>
  <c r="V127" i="19"/>
  <c r="S127" i="19"/>
  <c r="P127" i="19"/>
  <c r="M127" i="19"/>
  <c r="AJ127" i="19"/>
  <c r="AG127" i="19"/>
  <c r="AD127" i="19"/>
  <c r="AA127" i="19"/>
  <c r="X127" i="19"/>
  <c r="U127" i="19"/>
  <c r="R127" i="19"/>
  <c r="O127" i="19"/>
  <c r="AI127" i="19"/>
  <c r="AF127" i="19"/>
  <c r="AC127" i="19"/>
  <c r="Z127" i="19"/>
  <c r="W127" i="19"/>
  <c r="T127" i="19"/>
  <c r="Q127" i="19"/>
  <c r="N127" i="19"/>
  <c r="K127" i="19"/>
  <c r="I127" i="19"/>
  <c r="AK126" i="19"/>
  <c r="AH126" i="19"/>
  <c r="AE126" i="19"/>
  <c r="AB126" i="19"/>
  <c r="Y126" i="19"/>
  <c r="V126" i="19"/>
  <c r="S126" i="19"/>
  <c r="P126" i="19"/>
  <c r="M126" i="19"/>
  <c r="AJ126" i="19"/>
  <c r="AG126" i="19"/>
  <c r="AD126" i="19"/>
  <c r="AA126" i="19"/>
  <c r="X126" i="19"/>
  <c r="U126" i="19"/>
  <c r="R126" i="19"/>
  <c r="O126" i="19"/>
  <c r="AI126" i="19"/>
  <c r="AF126" i="19"/>
  <c r="AC126" i="19"/>
  <c r="Z126" i="19"/>
  <c r="W126" i="19"/>
  <c r="T126" i="19"/>
  <c r="Q126" i="19"/>
  <c r="N126" i="19"/>
  <c r="K126" i="19"/>
  <c r="I126" i="19"/>
  <c r="AK123" i="19"/>
  <c r="AH123" i="19"/>
  <c r="AE123" i="19"/>
  <c r="AB123" i="19"/>
  <c r="Y123" i="19"/>
  <c r="V123" i="19"/>
  <c r="S123" i="19"/>
  <c r="P123" i="19"/>
  <c r="M123" i="19"/>
  <c r="AJ123" i="19"/>
  <c r="AG123" i="19"/>
  <c r="AD123" i="19"/>
  <c r="AA123" i="19"/>
  <c r="X123" i="19"/>
  <c r="U123" i="19"/>
  <c r="R123" i="19"/>
  <c r="AI123" i="19"/>
  <c r="AF123" i="19"/>
  <c r="AC123" i="19"/>
  <c r="Z123" i="19"/>
  <c r="W123" i="19"/>
  <c r="T123" i="19"/>
  <c r="Q123" i="19"/>
  <c r="N123" i="19"/>
  <c r="K123" i="19"/>
  <c r="I123" i="19"/>
  <c r="AK122" i="19"/>
  <c r="AH122" i="19"/>
  <c r="AE122" i="19"/>
  <c r="AB122" i="19"/>
  <c r="Y122" i="19"/>
  <c r="V122" i="19"/>
  <c r="S122" i="19"/>
  <c r="P122" i="19"/>
  <c r="M122" i="19"/>
  <c r="AJ122" i="19"/>
  <c r="AG122" i="19"/>
  <c r="AD122" i="19"/>
  <c r="AA122" i="19"/>
  <c r="X122" i="19"/>
  <c r="AI122" i="19"/>
  <c r="AF122" i="19"/>
  <c r="AC122" i="19"/>
  <c r="Z122" i="19"/>
  <c r="W122" i="19"/>
  <c r="T122" i="19"/>
  <c r="Q122" i="19"/>
  <c r="N122" i="19"/>
  <c r="K122" i="19"/>
  <c r="I122" i="19"/>
  <c r="AK121" i="19"/>
  <c r="AH121" i="19"/>
  <c r="AE121" i="19"/>
  <c r="AB121" i="19"/>
  <c r="Y121" i="19"/>
  <c r="V121" i="19"/>
  <c r="S121" i="19"/>
  <c r="P121" i="19"/>
  <c r="M121" i="19"/>
  <c r="AJ121" i="19"/>
  <c r="AG121" i="19"/>
  <c r="AD121" i="19"/>
  <c r="AA121" i="19"/>
  <c r="X121" i="19"/>
  <c r="U121" i="19"/>
  <c r="R121" i="19"/>
  <c r="O121" i="19"/>
  <c r="AI121" i="19"/>
  <c r="AF121" i="19"/>
  <c r="AC121" i="19"/>
  <c r="Z121" i="19"/>
  <c r="W121" i="19"/>
  <c r="T121" i="19"/>
  <c r="Q121" i="19"/>
  <c r="N121" i="19"/>
  <c r="K121" i="19"/>
  <c r="I121" i="19"/>
  <c r="AK118" i="19"/>
  <c r="AH118" i="19"/>
  <c r="AE118" i="19"/>
  <c r="AB118" i="19"/>
  <c r="Y118" i="19"/>
  <c r="V118" i="19"/>
  <c r="S118" i="19"/>
  <c r="P118" i="19"/>
  <c r="M118" i="19"/>
  <c r="AJ118" i="19"/>
  <c r="AG118" i="19"/>
  <c r="AD118" i="19"/>
  <c r="AA118" i="19"/>
  <c r="X118" i="19"/>
  <c r="U118" i="19"/>
  <c r="R118" i="19"/>
  <c r="O118" i="19"/>
  <c r="AI118" i="19"/>
  <c r="AF118" i="19"/>
  <c r="AC118" i="19"/>
  <c r="Z118" i="19"/>
  <c r="W118" i="19"/>
  <c r="T118" i="19"/>
  <c r="Q118" i="19"/>
  <c r="N118" i="19"/>
  <c r="K118" i="19"/>
  <c r="I118" i="19"/>
  <c r="AK117" i="19"/>
  <c r="AH117" i="19"/>
  <c r="AE117" i="19"/>
  <c r="AB117" i="19"/>
  <c r="Y117" i="19"/>
  <c r="V117" i="19"/>
  <c r="S117" i="19"/>
  <c r="P117" i="19"/>
  <c r="M117" i="19"/>
  <c r="AJ117" i="19"/>
  <c r="AG117" i="19"/>
  <c r="AD117" i="19"/>
  <c r="AA117" i="19"/>
  <c r="X117" i="19"/>
  <c r="U117" i="19"/>
  <c r="R117" i="19"/>
  <c r="AI117" i="19"/>
  <c r="AF117" i="19"/>
  <c r="AC117" i="19"/>
  <c r="Z117" i="19"/>
  <c r="W117" i="19"/>
  <c r="T117" i="19"/>
  <c r="Q117" i="19"/>
  <c r="N117" i="19"/>
  <c r="K117" i="19"/>
  <c r="I117" i="19"/>
  <c r="AK116" i="19"/>
  <c r="AH116" i="19"/>
  <c r="AE116" i="19"/>
  <c r="AB116" i="19"/>
  <c r="Y116" i="19"/>
  <c r="V116" i="19"/>
  <c r="S116" i="19"/>
  <c r="P116" i="19"/>
  <c r="M116" i="19"/>
  <c r="AJ116" i="19"/>
  <c r="AG116" i="19"/>
  <c r="AD116" i="19"/>
  <c r="AA116" i="19"/>
  <c r="X116" i="19"/>
  <c r="AI116" i="19"/>
  <c r="AF116" i="19"/>
  <c r="AC116" i="19"/>
  <c r="Z116" i="19"/>
  <c r="W116" i="19"/>
  <c r="T116" i="19"/>
  <c r="Q116" i="19"/>
  <c r="N116" i="19"/>
  <c r="K116" i="19"/>
  <c r="I116" i="19"/>
  <c r="AK112" i="19"/>
  <c r="AH112" i="19"/>
  <c r="AE112" i="19"/>
  <c r="AB112" i="19"/>
  <c r="Y112" i="19"/>
  <c r="V112" i="19"/>
  <c r="S112" i="19"/>
  <c r="P112" i="19"/>
  <c r="M112" i="19"/>
  <c r="AJ112" i="19"/>
  <c r="AG112" i="19"/>
  <c r="AD112" i="19"/>
  <c r="AA112" i="19"/>
  <c r="X112" i="19"/>
  <c r="U112" i="19"/>
  <c r="R112" i="19"/>
  <c r="O112" i="19"/>
  <c r="AI112" i="19"/>
  <c r="AF112" i="19"/>
  <c r="AC112" i="19"/>
  <c r="Z112" i="19"/>
  <c r="W112" i="19"/>
  <c r="T112" i="19"/>
  <c r="Q112" i="19"/>
  <c r="N112" i="19"/>
  <c r="K112" i="19"/>
  <c r="I112" i="19"/>
  <c r="AK111" i="19"/>
  <c r="AH111" i="19"/>
  <c r="AE111" i="19"/>
  <c r="AB111" i="19"/>
  <c r="Y111" i="19"/>
  <c r="V111" i="19"/>
  <c r="S111" i="19"/>
  <c r="P111" i="19"/>
  <c r="M111" i="19"/>
  <c r="AJ111" i="19"/>
  <c r="AG111" i="19"/>
  <c r="AD111" i="19"/>
  <c r="AA111" i="19"/>
  <c r="X111" i="19"/>
  <c r="AI111" i="19"/>
  <c r="AF111" i="19"/>
  <c r="AC111" i="19"/>
  <c r="Z111" i="19"/>
  <c r="W111" i="19"/>
  <c r="T111" i="19"/>
  <c r="Q111" i="19"/>
  <c r="N111" i="19"/>
  <c r="K111" i="19"/>
  <c r="I111" i="19"/>
  <c r="AK108" i="19"/>
  <c r="AH108" i="19"/>
  <c r="AE108" i="19"/>
  <c r="AB108" i="19"/>
  <c r="Y108" i="19"/>
  <c r="V108" i="19"/>
  <c r="S108" i="19"/>
  <c r="P108" i="19"/>
  <c r="M108" i="19"/>
  <c r="AJ108" i="19"/>
  <c r="AG108" i="19"/>
  <c r="AD108" i="19"/>
  <c r="AA108" i="19"/>
  <c r="X108" i="19"/>
  <c r="U108" i="19"/>
  <c r="R108" i="19"/>
  <c r="AI108" i="19"/>
  <c r="AF108" i="19"/>
  <c r="AC108" i="19"/>
  <c r="Z108" i="19"/>
  <c r="W108" i="19"/>
  <c r="T108" i="19"/>
  <c r="Q108" i="19"/>
  <c r="N108" i="19"/>
  <c r="K108" i="19"/>
  <c r="I108" i="19"/>
  <c r="AK107" i="19"/>
  <c r="AH107" i="19"/>
  <c r="AE107" i="19"/>
  <c r="AB107" i="19"/>
  <c r="Y107" i="19"/>
  <c r="V107" i="19"/>
  <c r="S107" i="19"/>
  <c r="P107" i="19"/>
  <c r="M107" i="19"/>
  <c r="AJ107" i="19"/>
  <c r="AG107" i="19"/>
  <c r="AD107" i="19"/>
  <c r="AA107" i="19"/>
  <c r="X107" i="19"/>
  <c r="AI107" i="19"/>
  <c r="AF107" i="19"/>
  <c r="AC107" i="19"/>
  <c r="Z107" i="19"/>
  <c r="W107" i="19"/>
  <c r="T107" i="19"/>
  <c r="Q107" i="19"/>
  <c r="N107" i="19"/>
  <c r="K107" i="19"/>
  <c r="I107" i="19"/>
  <c r="AK106" i="19"/>
  <c r="AH106" i="19"/>
  <c r="AE106" i="19"/>
  <c r="AB106" i="19"/>
  <c r="Y106" i="19"/>
  <c r="V106" i="19"/>
  <c r="S106" i="19"/>
  <c r="P106" i="19"/>
  <c r="M106" i="19"/>
  <c r="AJ106" i="19"/>
  <c r="AG106" i="19"/>
  <c r="AD106" i="19"/>
  <c r="AA106" i="19"/>
  <c r="X106" i="19"/>
  <c r="U106" i="19"/>
  <c r="R106" i="19"/>
  <c r="O106" i="19"/>
  <c r="AI106" i="19"/>
  <c r="AF106" i="19"/>
  <c r="AC106" i="19"/>
  <c r="Z106" i="19"/>
  <c r="W106" i="19"/>
  <c r="T106" i="19"/>
  <c r="Q106" i="19"/>
  <c r="N106" i="19"/>
  <c r="K106" i="19"/>
  <c r="I106" i="19"/>
  <c r="AK102" i="19"/>
  <c r="AH102" i="19"/>
  <c r="AE102" i="19"/>
  <c r="AB102" i="19"/>
  <c r="Y102" i="19"/>
  <c r="V102" i="19"/>
  <c r="S102" i="19"/>
  <c r="P102" i="19"/>
  <c r="M102" i="19"/>
  <c r="AJ102" i="19"/>
  <c r="AG102" i="19"/>
  <c r="AD102" i="19"/>
  <c r="AA102" i="19"/>
  <c r="X102" i="19"/>
  <c r="U102" i="19"/>
  <c r="R102" i="19"/>
  <c r="AI102" i="19"/>
  <c r="AF102" i="19"/>
  <c r="AC102" i="19"/>
  <c r="Z102" i="19"/>
  <c r="W102" i="19"/>
  <c r="T102" i="19"/>
  <c r="Q102" i="19"/>
  <c r="N102" i="19"/>
  <c r="K102" i="19"/>
  <c r="I102" i="19"/>
  <c r="AK101" i="19"/>
  <c r="AH101" i="19"/>
  <c r="AE101" i="19"/>
  <c r="AB101" i="19"/>
  <c r="Y101" i="19"/>
  <c r="V101" i="19"/>
  <c r="S101" i="19"/>
  <c r="P101" i="19"/>
  <c r="M101" i="19"/>
  <c r="AJ101" i="19"/>
  <c r="AG101" i="19"/>
  <c r="AD101" i="19"/>
  <c r="AA101" i="19"/>
  <c r="X101" i="19"/>
  <c r="AI101" i="19"/>
  <c r="AF101" i="19"/>
  <c r="AC101" i="19"/>
  <c r="Z101" i="19"/>
  <c r="W101" i="19"/>
  <c r="T101" i="19"/>
  <c r="Q101" i="19"/>
  <c r="N101" i="19"/>
  <c r="K101" i="19"/>
  <c r="I101" i="19"/>
  <c r="AK97" i="19"/>
  <c r="AH97" i="19"/>
  <c r="AE97" i="19"/>
  <c r="AB97" i="19"/>
  <c r="Y97" i="19"/>
  <c r="V97" i="19"/>
  <c r="S97" i="19"/>
  <c r="P97" i="19"/>
  <c r="M97" i="19"/>
  <c r="AJ97" i="19"/>
  <c r="AG97" i="19"/>
  <c r="AD97" i="19"/>
  <c r="AA97" i="19"/>
  <c r="X97" i="19"/>
  <c r="U97" i="19"/>
  <c r="R97" i="19"/>
  <c r="AI97" i="19"/>
  <c r="AF97" i="19"/>
  <c r="AC97" i="19"/>
  <c r="Z97" i="19"/>
  <c r="W97" i="19"/>
  <c r="T97" i="19"/>
  <c r="Q97" i="19"/>
  <c r="N97" i="19"/>
  <c r="K97" i="19"/>
  <c r="I97" i="19"/>
  <c r="AK96" i="19"/>
  <c r="AH96" i="19"/>
  <c r="AE96" i="19"/>
  <c r="AB96" i="19"/>
  <c r="Y96" i="19"/>
  <c r="V96" i="19"/>
  <c r="S96" i="19"/>
  <c r="P96" i="19"/>
  <c r="M96" i="19"/>
  <c r="AJ96" i="19"/>
  <c r="AG96" i="19"/>
  <c r="AD96" i="19"/>
  <c r="AA96" i="19"/>
  <c r="X96" i="19"/>
  <c r="U96" i="19"/>
  <c r="R96" i="19"/>
  <c r="O96" i="19"/>
  <c r="AI96" i="19"/>
  <c r="AF96" i="19"/>
  <c r="AC96" i="19"/>
  <c r="Z96" i="19"/>
  <c r="W96" i="19"/>
  <c r="T96" i="19"/>
  <c r="Q96" i="19"/>
  <c r="N96" i="19"/>
  <c r="K96" i="19"/>
  <c r="I96" i="19"/>
  <c r="AK92" i="19"/>
  <c r="AH92" i="19"/>
  <c r="AE92" i="19"/>
  <c r="AB92" i="19"/>
  <c r="Y92" i="19"/>
  <c r="V92" i="19"/>
  <c r="S92" i="19"/>
  <c r="P92" i="19"/>
  <c r="M92" i="19"/>
  <c r="AJ92" i="19"/>
  <c r="AG92" i="19"/>
  <c r="AD92" i="19"/>
  <c r="AA92" i="19"/>
  <c r="X92" i="19"/>
  <c r="U92" i="19"/>
  <c r="R92" i="19"/>
  <c r="AI92" i="19"/>
  <c r="AF92" i="19"/>
  <c r="AC92" i="19"/>
  <c r="Z92" i="19"/>
  <c r="W92" i="19"/>
  <c r="T92" i="19"/>
  <c r="Q92" i="19"/>
  <c r="N92" i="19"/>
  <c r="K92" i="19"/>
  <c r="I92" i="19"/>
  <c r="AK91" i="19"/>
  <c r="AH91" i="19"/>
  <c r="AE91" i="19"/>
  <c r="AB91" i="19"/>
  <c r="Y91" i="19"/>
  <c r="V91" i="19"/>
  <c r="S91" i="19"/>
  <c r="P91" i="19"/>
  <c r="M91" i="19"/>
  <c r="AJ91" i="19"/>
  <c r="AG91" i="19"/>
  <c r="AD91" i="19"/>
  <c r="AA91" i="19"/>
  <c r="X91" i="19"/>
  <c r="U91" i="19"/>
  <c r="R91" i="19"/>
  <c r="AI91" i="19"/>
  <c r="AF91" i="19"/>
  <c r="AC91" i="19"/>
  <c r="Z91" i="19"/>
  <c r="W91" i="19"/>
  <c r="T91" i="19"/>
  <c r="Q91" i="19"/>
  <c r="N91" i="19"/>
  <c r="K91" i="19"/>
  <c r="I91" i="19"/>
  <c r="AK89" i="19"/>
  <c r="AH89" i="19"/>
  <c r="AE89" i="19"/>
  <c r="AB89" i="19"/>
  <c r="Y89" i="19"/>
  <c r="V89" i="19"/>
  <c r="S89" i="19"/>
  <c r="P89" i="19"/>
  <c r="M89" i="19"/>
  <c r="AJ89" i="19"/>
  <c r="AG89" i="19"/>
  <c r="AD89" i="19"/>
  <c r="AA89" i="19"/>
  <c r="X89" i="19"/>
  <c r="U89" i="19"/>
  <c r="R89" i="19"/>
  <c r="O89" i="19"/>
  <c r="AI89" i="19"/>
  <c r="AF89" i="19"/>
  <c r="AC89" i="19"/>
  <c r="Z89" i="19"/>
  <c r="W89" i="19"/>
  <c r="T89" i="19"/>
  <c r="Q89" i="19"/>
  <c r="N89" i="19"/>
  <c r="K89" i="19"/>
  <c r="I89" i="19"/>
  <c r="AK88" i="19"/>
  <c r="AH88" i="19"/>
  <c r="AE88" i="19"/>
  <c r="AB88" i="19"/>
  <c r="Y88" i="19"/>
  <c r="V88" i="19"/>
  <c r="S88" i="19"/>
  <c r="P88" i="19"/>
  <c r="M88" i="19"/>
  <c r="AJ88" i="19"/>
  <c r="AG88" i="19"/>
  <c r="AD88" i="19"/>
  <c r="AA88" i="19"/>
  <c r="X88" i="19"/>
  <c r="U88" i="19"/>
  <c r="R88" i="19"/>
  <c r="AI88" i="19"/>
  <c r="AF88" i="19"/>
  <c r="AC88" i="19"/>
  <c r="Z88" i="19"/>
  <c r="W88" i="19"/>
  <c r="T88" i="19"/>
  <c r="Q88" i="19"/>
  <c r="N88" i="19"/>
  <c r="K88" i="19"/>
  <c r="I88" i="19"/>
  <c r="AK87" i="19"/>
  <c r="AH87" i="19"/>
  <c r="AE87" i="19"/>
  <c r="AB87" i="19"/>
  <c r="Y87" i="19"/>
  <c r="V87" i="19"/>
  <c r="S87" i="19"/>
  <c r="P87" i="19"/>
  <c r="M87" i="19"/>
  <c r="AJ87" i="19"/>
  <c r="AG87" i="19"/>
  <c r="AD87" i="19"/>
  <c r="AA87" i="19"/>
  <c r="X87" i="19"/>
  <c r="U87" i="19"/>
  <c r="R87" i="19"/>
  <c r="O87" i="19"/>
  <c r="AI87" i="19"/>
  <c r="AF87" i="19"/>
  <c r="AC87" i="19"/>
  <c r="Z87" i="19"/>
  <c r="W87" i="19"/>
  <c r="T87" i="19"/>
  <c r="Q87" i="19"/>
  <c r="N87" i="19"/>
  <c r="K87" i="19"/>
  <c r="I87" i="19"/>
  <c r="AK86" i="19"/>
  <c r="AH86" i="19"/>
  <c r="AE86" i="19"/>
  <c r="AB86" i="19"/>
  <c r="Y86" i="19"/>
  <c r="V86" i="19"/>
  <c r="S86" i="19"/>
  <c r="P86" i="19"/>
  <c r="M86" i="19"/>
  <c r="AJ86" i="19"/>
  <c r="AG86" i="19"/>
  <c r="AD86" i="19"/>
  <c r="AA86" i="19"/>
  <c r="X86" i="19"/>
  <c r="U86" i="19"/>
  <c r="R86" i="19"/>
  <c r="AI86" i="19"/>
  <c r="AF86" i="19"/>
  <c r="AC86" i="19"/>
  <c r="Z86" i="19"/>
  <c r="W86" i="19"/>
  <c r="T86" i="19"/>
  <c r="Q86" i="19"/>
  <c r="N86" i="19"/>
  <c r="K86" i="19"/>
  <c r="I86" i="19"/>
  <c r="AK84" i="19"/>
  <c r="AH84" i="19"/>
  <c r="AE84" i="19"/>
  <c r="AB84" i="19"/>
  <c r="Y84" i="19"/>
  <c r="V84" i="19"/>
  <c r="S84" i="19"/>
  <c r="P84" i="19"/>
  <c r="M84" i="19"/>
  <c r="AJ84" i="19"/>
  <c r="AG84" i="19"/>
  <c r="AD84" i="19"/>
  <c r="AA84" i="19"/>
  <c r="X84" i="19"/>
  <c r="U84" i="19"/>
  <c r="R84" i="19"/>
  <c r="O84" i="19"/>
  <c r="AI84" i="19"/>
  <c r="AF84" i="19"/>
  <c r="AC84" i="19"/>
  <c r="Z84" i="19"/>
  <c r="W84" i="19"/>
  <c r="T84" i="19"/>
  <c r="Q84" i="19"/>
  <c r="N84" i="19"/>
  <c r="K84" i="19"/>
  <c r="I84" i="19"/>
  <c r="AK83" i="19"/>
  <c r="AH83" i="19"/>
  <c r="AE83" i="19"/>
  <c r="AB83" i="19"/>
  <c r="Y83" i="19"/>
  <c r="V83" i="19"/>
  <c r="S83" i="19"/>
  <c r="P83" i="19"/>
  <c r="M83" i="19"/>
  <c r="AJ83" i="19"/>
  <c r="AG83" i="19"/>
  <c r="AD83" i="19"/>
  <c r="AA83" i="19"/>
  <c r="X83" i="19"/>
  <c r="U83" i="19"/>
  <c r="AI83" i="19"/>
  <c r="AF83" i="19"/>
  <c r="AC83" i="19"/>
  <c r="Z83" i="19"/>
  <c r="W83" i="19"/>
  <c r="T83" i="19"/>
  <c r="Q83" i="19"/>
  <c r="N83" i="19"/>
  <c r="K83" i="19"/>
  <c r="I83" i="19"/>
  <c r="AK82" i="19"/>
  <c r="AH82" i="19"/>
  <c r="AE82" i="19"/>
  <c r="AB82" i="19"/>
  <c r="Y82" i="19"/>
  <c r="V82" i="19"/>
  <c r="S82" i="19"/>
  <c r="P82" i="19"/>
  <c r="M82" i="19"/>
  <c r="AJ82" i="19"/>
  <c r="AG82" i="19"/>
  <c r="AD82" i="19"/>
  <c r="AA82" i="19"/>
  <c r="X82" i="19"/>
  <c r="U82" i="19"/>
  <c r="R82" i="19"/>
  <c r="O82" i="19"/>
  <c r="AI82" i="19"/>
  <c r="AF82" i="19"/>
  <c r="AC82" i="19"/>
  <c r="Z82" i="19"/>
  <c r="W82" i="19"/>
  <c r="T82" i="19"/>
  <c r="Q82" i="19"/>
  <c r="N82" i="19"/>
  <c r="K82" i="19"/>
  <c r="I82" i="19"/>
  <c r="AK81" i="19"/>
  <c r="AH81" i="19"/>
  <c r="AE81" i="19"/>
  <c r="AB81" i="19"/>
  <c r="Y81" i="19"/>
  <c r="V81" i="19"/>
  <c r="S81" i="19"/>
  <c r="P81" i="19"/>
  <c r="M81" i="19"/>
  <c r="AJ81" i="19"/>
  <c r="AG81" i="19"/>
  <c r="AD81" i="19"/>
  <c r="AA81" i="19"/>
  <c r="X81" i="19"/>
  <c r="U81" i="19"/>
  <c r="AI81" i="19"/>
  <c r="AF81" i="19"/>
  <c r="AC81" i="19"/>
  <c r="Z81" i="19"/>
  <c r="W81" i="19"/>
  <c r="T81" i="19"/>
  <c r="Q81" i="19"/>
  <c r="N81" i="19"/>
  <c r="K81" i="19"/>
  <c r="I81" i="19"/>
  <c r="AK78" i="19"/>
  <c r="AH78" i="19"/>
  <c r="AE78" i="19"/>
  <c r="AB78" i="19"/>
  <c r="Y78" i="19"/>
  <c r="V78" i="19"/>
  <c r="S78" i="19"/>
  <c r="P78" i="19"/>
  <c r="M78" i="19"/>
  <c r="AJ78" i="19"/>
  <c r="AG78" i="19"/>
  <c r="AD78" i="19"/>
  <c r="AA78" i="19"/>
  <c r="X78" i="19"/>
  <c r="U78" i="19"/>
  <c r="R78" i="19"/>
  <c r="O78" i="19"/>
  <c r="AI78" i="19"/>
  <c r="AF78" i="19"/>
  <c r="AC78" i="19"/>
  <c r="Z78" i="19"/>
  <c r="W78" i="19"/>
  <c r="T78" i="19"/>
  <c r="Q78" i="19"/>
  <c r="N78" i="19"/>
  <c r="K78" i="19"/>
  <c r="I78" i="19"/>
  <c r="AK77" i="19"/>
  <c r="AH77" i="19"/>
  <c r="AE77" i="19"/>
  <c r="AB77" i="19"/>
  <c r="Y77" i="19"/>
  <c r="V77" i="19"/>
  <c r="S77" i="19"/>
  <c r="P77" i="19"/>
  <c r="M77" i="19"/>
  <c r="AJ77" i="19"/>
  <c r="AG77" i="19"/>
  <c r="AD77" i="19"/>
  <c r="AA77" i="19"/>
  <c r="X77" i="19"/>
  <c r="U77" i="19"/>
  <c r="AI77" i="19"/>
  <c r="AF77" i="19"/>
  <c r="AC77" i="19"/>
  <c r="Z77" i="19"/>
  <c r="W77" i="19"/>
  <c r="T77" i="19"/>
  <c r="Q77" i="19"/>
  <c r="N77" i="19"/>
  <c r="K77" i="19"/>
  <c r="I77" i="19"/>
  <c r="AK76" i="19"/>
  <c r="AH76" i="19"/>
  <c r="AE76" i="19"/>
  <c r="AB76" i="19"/>
  <c r="Y76" i="19"/>
  <c r="V76" i="19"/>
  <c r="S76" i="19"/>
  <c r="P76" i="19"/>
  <c r="M76" i="19"/>
  <c r="AJ76" i="19"/>
  <c r="AG76" i="19"/>
  <c r="AD76" i="19"/>
  <c r="AA76" i="19"/>
  <c r="X76" i="19"/>
  <c r="U76" i="19"/>
  <c r="AI76" i="19"/>
  <c r="AF76" i="19"/>
  <c r="AC76" i="19"/>
  <c r="Z76" i="19"/>
  <c r="W76" i="19"/>
  <c r="T76" i="19"/>
  <c r="Q76" i="19"/>
  <c r="N76" i="19"/>
  <c r="K76" i="19"/>
  <c r="I76" i="19"/>
  <c r="AK74" i="19"/>
  <c r="AH74" i="19"/>
  <c r="AE74" i="19"/>
  <c r="AB74" i="19"/>
  <c r="Y74" i="19"/>
  <c r="V74" i="19"/>
  <c r="S74" i="19"/>
  <c r="P74" i="19"/>
  <c r="M74" i="19"/>
  <c r="AJ74" i="19"/>
  <c r="AG74" i="19"/>
  <c r="AD74" i="19"/>
  <c r="AA74" i="19"/>
  <c r="X74" i="19"/>
  <c r="U74" i="19"/>
  <c r="R74" i="19"/>
  <c r="O74" i="19"/>
  <c r="AI74" i="19"/>
  <c r="AF74" i="19"/>
  <c r="AC74" i="19"/>
  <c r="Z74" i="19"/>
  <c r="W74" i="19"/>
  <c r="T74" i="19"/>
  <c r="Q74" i="19"/>
  <c r="N74" i="19"/>
  <c r="K74" i="19"/>
  <c r="I74" i="19"/>
  <c r="AK73" i="19"/>
  <c r="AH73" i="19"/>
  <c r="AE73" i="19"/>
  <c r="AB73" i="19"/>
  <c r="Y73" i="19"/>
  <c r="V73" i="19"/>
  <c r="S73" i="19"/>
  <c r="P73" i="19"/>
  <c r="M73" i="19"/>
  <c r="AJ73" i="19"/>
  <c r="AG73" i="19"/>
  <c r="AD73" i="19"/>
  <c r="AA73" i="19"/>
  <c r="X73" i="19"/>
  <c r="U73" i="19"/>
  <c r="AI73" i="19"/>
  <c r="AF73" i="19"/>
  <c r="AC73" i="19"/>
  <c r="Z73" i="19"/>
  <c r="W73" i="19"/>
  <c r="T73" i="19"/>
  <c r="Q73" i="19"/>
  <c r="N73" i="19"/>
  <c r="K73" i="19"/>
  <c r="I73" i="19"/>
  <c r="AK72" i="19"/>
  <c r="AH72" i="19"/>
  <c r="AE72" i="19"/>
  <c r="AB72" i="19"/>
  <c r="Y72" i="19"/>
  <c r="V72" i="19"/>
  <c r="S72" i="19"/>
  <c r="P72" i="19"/>
  <c r="M72" i="19"/>
  <c r="AJ72" i="19"/>
  <c r="AG72" i="19"/>
  <c r="AD72" i="19"/>
  <c r="AA72" i="19"/>
  <c r="X72" i="19"/>
  <c r="U72" i="19"/>
  <c r="R72" i="19"/>
  <c r="O72" i="19"/>
  <c r="AI72" i="19"/>
  <c r="AF72" i="19"/>
  <c r="AC72" i="19"/>
  <c r="Z72" i="19"/>
  <c r="W72" i="19"/>
  <c r="T72" i="19"/>
  <c r="Q72" i="19"/>
  <c r="N72" i="19"/>
  <c r="K72" i="19"/>
  <c r="I72" i="19"/>
  <c r="AK71" i="19"/>
  <c r="AH71" i="19"/>
  <c r="AE71" i="19"/>
  <c r="AB71" i="19"/>
  <c r="Y71" i="19"/>
  <c r="V71" i="19"/>
  <c r="S71" i="19"/>
  <c r="P71" i="19"/>
  <c r="M71" i="19"/>
  <c r="AJ71" i="19"/>
  <c r="AG71" i="19"/>
  <c r="AD71" i="19"/>
  <c r="AA71" i="19"/>
  <c r="X71" i="19"/>
  <c r="U71" i="19"/>
  <c r="AI71" i="19"/>
  <c r="AF71" i="19"/>
  <c r="AC71" i="19"/>
  <c r="Z71" i="19"/>
  <c r="W71" i="19"/>
  <c r="T71" i="19"/>
  <c r="Q71" i="19"/>
  <c r="N71" i="19"/>
  <c r="K71" i="19"/>
  <c r="I71" i="19"/>
  <c r="AK69" i="19"/>
  <c r="AH69" i="19"/>
  <c r="AE69" i="19"/>
  <c r="AB69" i="19"/>
  <c r="Y69" i="19"/>
  <c r="V69" i="19"/>
  <c r="S69" i="19"/>
  <c r="P69" i="19"/>
  <c r="M69" i="19"/>
  <c r="AJ69" i="19"/>
  <c r="AG69" i="19"/>
  <c r="AD69" i="19"/>
  <c r="AA69" i="19"/>
  <c r="X69" i="19"/>
  <c r="U69" i="19"/>
  <c r="R69" i="19"/>
  <c r="O69" i="19"/>
  <c r="AI69" i="19"/>
  <c r="AF69" i="19"/>
  <c r="AC69" i="19"/>
  <c r="Z69" i="19"/>
  <c r="W69" i="19"/>
  <c r="T69" i="19"/>
  <c r="Q69" i="19"/>
  <c r="N69" i="19"/>
  <c r="K69" i="19"/>
  <c r="I69" i="19"/>
  <c r="AK68" i="19"/>
  <c r="AH68" i="19"/>
  <c r="AE68" i="19"/>
  <c r="AB68" i="19"/>
  <c r="Y68" i="19"/>
  <c r="V68" i="19"/>
  <c r="S68" i="19"/>
  <c r="P68" i="19"/>
  <c r="M68" i="19"/>
  <c r="AJ68" i="19"/>
  <c r="AG68" i="19"/>
  <c r="AD68" i="19"/>
  <c r="AA68" i="19"/>
  <c r="X68" i="19"/>
  <c r="U68" i="19"/>
  <c r="R68" i="19"/>
  <c r="AI68" i="19"/>
  <c r="AF68" i="19"/>
  <c r="AC68" i="19"/>
  <c r="Z68" i="19"/>
  <c r="W68" i="19"/>
  <c r="T68" i="19"/>
  <c r="Q68" i="19"/>
  <c r="N68" i="19"/>
  <c r="K68" i="19"/>
  <c r="I68" i="19"/>
  <c r="AK67" i="19"/>
  <c r="AH67" i="19"/>
  <c r="AE67" i="19"/>
  <c r="AB67" i="19"/>
  <c r="Y67" i="19"/>
  <c r="V67" i="19"/>
  <c r="S67" i="19"/>
  <c r="P67" i="19"/>
  <c r="M67" i="19"/>
  <c r="AJ67" i="19"/>
  <c r="AG67" i="19"/>
  <c r="AD67" i="19"/>
  <c r="AA67" i="19"/>
  <c r="X67" i="19"/>
  <c r="U67" i="19"/>
  <c r="R67" i="19"/>
  <c r="O67" i="19"/>
  <c r="AI67" i="19"/>
  <c r="AF67" i="19"/>
  <c r="AC67" i="19"/>
  <c r="Z67" i="19"/>
  <c r="W67" i="19"/>
  <c r="T67" i="19"/>
  <c r="Q67" i="19"/>
  <c r="N67" i="19"/>
  <c r="K67" i="19"/>
  <c r="I67" i="19"/>
  <c r="AK66" i="19"/>
  <c r="AH66" i="19"/>
  <c r="AE66" i="19"/>
  <c r="AB66" i="19"/>
  <c r="Y66" i="19"/>
  <c r="V66" i="19"/>
  <c r="S66" i="19"/>
  <c r="P66" i="19"/>
  <c r="M66" i="19"/>
  <c r="AJ66" i="19"/>
  <c r="AG66" i="19"/>
  <c r="AD66" i="19"/>
  <c r="AA66" i="19"/>
  <c r="X66" i="19"/>
  <c r="U66" i="19"/>
  <c r="AI66" i="19"/>
  <c r="AF66" i="19"/>
  <c r="AC66" i="19"/>
  <c r="Z66" i="19"/>
  <c r="W66" i="19"/>
  <c r="T66" i="19"/>
  <c r="Q66" i="19"/>
  <c r="N66" i="19"/>
  <c r="K66" i="19"/>
  <c r="I66" i="19"/>
  <c r="AK65" i="19"/>
  <c r="AH65" i="19"/>
  <c r="AE65" i="19"/>
  <c r="AB65" i="19"/>
  <c r="Y65" i="19"/>
  <c r="V65" i="19"/>
  <c r="S65" i="19"/>
  <c r="P65" i="19"/>
  <c r="M65" i="19"/>
  <c r="AJ65" i="19"/>
  <c r="AG65" i="19"/>
  <c r="AD65" i="19"/>
  <c r="AA65" i="19"/>
  <c r="X65" i="19"/>
  <c r="U65" i="19"/>
  <c r="R65" i="19"/>
  <c r="O65" i="19"/>
  <c r="AI65" i="19"/>
  <c r="AF65" i="19"/>
  <c r="AC65" i="19"/>
  <c r="Z65" i="19"/>
  <c r="W65" i="19"/>
  <c r="T65" i="19"/>
  <c r="Q65" i="19"/>
  <c r="N65" i="19"/>
  <c r="K65" i="19"/>
  <c r="I65" i="19"/>
  <c r="AK64" i="19"/>
  <c r="AH64" i="19"/>
  <c r="AE64" i="19"/>
  <c r="AB64" i="19"/>
  <c r="Y64" i="19"/>
  <c r="V64" i="19"/>
  <c r="S64" i="19"/>
  <c r="P64" i="19"/>
  <c r="M64" i="19"/>
  <c r="AJ64" i="19"/>
  <c r="AG64" i="19"/>
  <c r="AD64" i="19"/>
  <c r="AA64" i="19"/>
  <c r="X64" i="19"/>
  <c r="U64" i="19"/>
  <c r="R64" i="19"/>
  <c r="O64" i="19"/>
  <c r="AI64" i="19"/>
  <c r="AF64" i="19"/>
  <c r="AC64" i="19"/>
  <c r="Z64" i="19"/>
  <c r="W64" i="19"/>
  <c r="T64" i="19"/>
  <c r="Q64" i="19"/>
  <c r="N64" i="19"/>
  <c r="K64" i="19"/>
  <c r="I64" i="19"/>
  <c r="AK63" i="19"/>
  <c r="AH63" i="19"/>
  <c r="AE63" i="19"/>
  <c r="AB63" i="19"/>
  <c r="Y63" i="19"/>
  <c r="V63" i="19"/>
  <c r="S63" i="19"/>
  <c r="P63" i="19"/>
  <c r="M63" i="19"/>
  <c r="AJ63" i="19"/>
  <c r="AG63" i="19"/>
  <c r="AD63" i="19"/>
  <c r="AA63" i="19"/>
  <c r="X63" i="19"/>
  <c r="U63" i="19"/>
  <c r="R63" i="19"/>
  <c r="AI63" i="19"/>
  <c r="AF63" i="19"/>
  <c r="AC63" i="19"/>
  <c r="Z63" i="19"/>
  <c r="W63" i="19"/>
  <c r="T63" i="19"/>
  <c r="Q63" i="19"/>
  <c r="N63" i="19"/>
  <c r="K63" i="19"/>
  <c r="I63" i="19"/>
  <c r="AK62" i="19"/>
  <c r="AH62" i="19"/>
  <c r="AE62" i="19"/>
  <c r="AB62" i="19"/>
  <c r="Y62" i="19"/>
  <c r="V62" i="19"/>
  <c r="S62" i="19"/>
  <c r="P62" i="19"/>
  <c r="M62" i="19"/>
  <c r="AJ62" i="19"/>
  <c r="AG62" i="19"/>
  <c r="AD62" i="19"/>
  <c r="AA62" i="19"/>
  <c r="X62" i="19"/>
  <c r="U62" i="19"/>
  <c r="R62" i="19"/>
  <c r="AI62" i="19"/>
  <c r="AF62" i="19"/>
  <c r="AC62" i="19"/>
  <c r="Z62" i="19"/>
  <c r="W62" i="19"/>
  <c r="T62" i="19"/>
  <c r="Q62" i="19"/>
  <c r="N62" i="19"/>
  <c r="K62" i="19"/>
  <c r="AK61" i="19"/>
  <c r="AH61" i="19"/>
  <c r="AE61" i="19"/>
  <c r="AB61" i="19"/>
  <c r="Y61" i="19"/>
  <c r="V61" i="19"/>
  <c r="S61" i="19"/>
  <c r="P61" i="19"/>
  <c r="M61" i="19"/>
  <c r="AJ61" i="19"/>
  <c r="AG61" i="19"/>
  <c r="AD61" i="19"/>
  <c r="AA61" i="19"/>
  <c r="X61" i="19"/>
  <c r="U61" i="19"/>
  <c r="R61" i="19"/>
  <c r="O61" i="19"/>
  <c r="AI61" i="19"/>
  <c r="AF61" i="19"/>
  <c r="AC61" i="19"/>
  <c r="Z61" i="19"/>
  <c r="W61" i="19"/>
  <c r="T61" i="19"/>
  <c r="Q61" i="19"/>
  <c r="N61" i="19"/>
  <c r="K61" i="19"/>
  <c r="I61" i="19"/>
  <c r="AK60" i="19"/>
  <c r="AH60" i="19"/>
  <c r="AE60" i="19"/>
  <c r="AB60" i="19"/>
  <c r="Y60" i="19"/>
  <c r="V60" i="19"/>
  <c r="S60" i="19"/>
  <c r="P60" i="19"/>
  <c r="M60" i="19"/>
  <c r="AJ60" i="19"/>
  <c r="AG60" i="19"/>
  <c r="AD60" i="19"/>
  <c r="AA60" i="19"/>
  <c r="X60" i="19"/>
  <c r="U60" i="19"/>
  <c r="R60" i="19"/>
  <c r="O60" i="19"/>
  <c r="AI60" i="19"/>
  <c r="AF60" i="19"/>
  <c r="AC60" i="19"/>
  <c r="Z60" i="19"/>
  <c r="W60" i="19"/>
  <c r="T60" i="19"/>
  <c r="Q60" i="19"/>
  <c r="N60" i="19"/>
  <c r="K60" i="19"/>
  <c r="I60" i="19"/>
  <c r="AK59" i="19"/>
  <c r="AH59" i="19"/>
  <c r="AE59" i="19"/>
  <c r="AB59" i="19"/>
  <c r="Y59" i="19"/>
  <c r="V59" i="19"/>
  <c r="S59" i="19"/>
  <c r="P59" i="19"/>
  <c r="M59" i="19"/>
  <c r="AJ59" i="19"/>
  <c r="AG59" i="19"/>
  <c r="AD59" i="19"/>
  <c r="AA59" i="19"/>
  <c r="X59" i="19"/>
  <c r="AI59" i="19"/>
  <c r="AF59" i="19"/>
  <c r="AC59" i="19"/>
  <c r="Z59" i="19"/>
  <c r="W59" i="19"/>
  <c r="T59" i="19"/>
  <c r="Q59" i="19"/>
  <c r="N59" i="19"/>
  <c r="K59" i="19"/>
  <c r="I59" i="19"/>
  <c r="AK57" i="19"/>
  <c r="AH57" i="19"/>
  <c r="AE57" i="19"/>
  <c r="AB57" i="19"/>
  <c r="Y57" i="19"/>
  <c r="V57" i="19"/>
  <c r="S57" i="19"/>
  <c r="P57" i="19"/>
  <c r="M57" i="19"/>
  <c r="AJ57" i="19"/>
  <c r="AG57" i="19"/>
  <c r="AD57" i="19"/>
  <c r="AA57" i="19"/>
  <c r="X57" i="19"/>
  <c r="U57" i="19"/>
  <c r="R57" i="19"/>
  <c r="O57" i="19"/>
  <c r="AI57" i="19"/>
  <c r="AF57" i="19"/>
  <c r="AC57" i="19"/>
  <c r="Z57" i="19"/>
  <c r="W57" i="19"/>
  <c r="T57" i="19"/>
  <c r="Q57" i="19"/>
  <c r="N57" i="19"/>
  <c r="K57" i="19"/>
  <c r="I57" i="19"/>
  <c r="AK56" i="19"/>
  <c r="AH56" i="19"/>
  <c r="AE56" i="19"/>
  <c r="AB56" i="19"/>
  <c r="Y56" i="19"/>
  <c r="V56" i="19"/>
  <c r="S56" i="19"/>
  <c r="P56" i="19"/>
  <c r="M56" i="19"/>
  <c r="AJ56" i="19"/>
  <c r="AG56" i="19"/>
  <c r="AD56" i="19"/>
  <c r="AA56" i="19"/>
  <c r="X56" i="19"/>
  <c r="U56" i="19"/>
  <c r="R56" i="19"/>
  <c r="AI56" i="19"/>
  <c r="AF56" i="19"/>
  <c r="AC56" i="19"/>
  <c r="Z56" i="19"/>
  <c r="W56" i="19"/>
  <c r="T56" i="19"/>
  <c r="Q56" i="19"/>
  <c r="N56" i="19"/>
  <c r="K56" i="19"/>
  <c r="I56" i="19"/>
  <c r="AK55" i="19"/>
  <c r="AH55" i="19"/>
  <c r="AE55" i="19"/>
  <c r="AB55" i="19"/>
  <c r="Y55" i="19"/>
  <c r="V55" i="19"/>
  <c r="S55" i="19"/>
  <c r="P55" i="19"/>
  <c r="M55" i="19"/>
  <c r="AJ55" i="19"/>
  <c r="AG55" i="19"/>
  <c r="AD55" i="19"/>
  <c r="AA55" i="19"/>
  <c r="X55" i="19"/>
  <c r="U55" i="19"/>
  <c r="R55" i="19"/>
  <c r="O55" i="19"/>
  <c r="AI55" i="19"/>
  <c r="AF55" i="19"/>
  <c r="AC55" i="19"/>
  <c r="Z55" i="19"/>
  <c r="W55" i="19"/>
  <c r="T55" i="19"/>
  <c r="Q55" i="19"/>
  <c r="N55" i="19"/>
  <c r="K55" i="19"/>
  <c r="I55" i="19"/>
  <c r="AK54" i="19"/>
  <c r="AH54" i="19"/>
  <c r="AE54" i="19"/>
  <c r="AB54" i="19"/>
  <c r="Y54" i="19"/>
  <c r="V54" i="19"/>
  <c r="S54" i="19"/>
  <c r="P54" i="19"/>
  <c r="M54" i="19"/>
  <c r="AJ54" i="19"/>
  <c r="AG54" i="19"/>
  <c r="AD54" i="19"/>
  <c r="AA54" i="19"/>
  <c r="X54" i="19"/>
  <c r="U54" i="19"/>
  <c r="R54" i="19"/>
  <c r="O54" i="19"/>
  <c r="AI54" i="19"/>
  <c r="AF54" i="19"/>
  <c r="AC54" i="19"/>
  <c r="Z54" i="19"/>
  <c r="W54" i="19"/>
  <c r="T54" i="19"/>
  <c r="Q54" i="19"/>
  <c r="N54" i="19"/>
  <c r="K54" i="19"/>
  <c r="I54" i="19"/>
  <c r="AK53" i="19"/>
  <c r="AH53" i="19"/>
  <c r="AE53" i="19"/>
  <c r="AB53" i="19"/>
  <c r="Y53" i="19"/>
  <c r="V53" i="19"/>
  <c r="S53" i="19"/>
  <c r="P53" i="19"/>
  <c r="M53" i="19"/>
  <c r="AJ53" i="19"/>
  <c r="AG53" i="19"/>
  <c r="AD53" i="19"/>
  <c r="AA53" i="19"/>
  <c r="X53" i="19"/>
  <c r="U53" i="19"/>
  <c r="R53" i="19"/>
  <c r="O53" i="19"/>
  <c r="AI53" i="19"/>
  <c r="AF53" i="19"/>
  <c r="AC53" i="19"/>
  <c r="Z53" i="19"/>
  <c r="W53" i="19"/>
  <c r="T53" i="19"/>
  <c r="Q53" i="19"/>
  <c r="N53" i="19"/>
  <c r="K53" i="19"/>
  <c r="I53" i="19"/>
  <c r="AK52" i="19"/>
  <c r="AH52" i="19"/>
  <c r="AE52" i="19"/>
  <c r="AB52" i="19"/>
  <c r="Y52" i="19"/>
  <c r="V52" i="19"/>
  <c r="S52" i="19"/>
  <c r="P52" i="19"/>
  <c r="M52" i="19"/>
  <c r="AJ52" i="19"/>
  <c r="AG52" i="19"/>
  <c r="AD52" i="19"/>
  <c r="AA52" i="19"/>
  <c r="X52" i="19"/>
  <c r="U52" i="19"/>
  <c r="R52" i="19"/>
  <c r="O52" i="19"/>
  <c r="AI52" i="19"/>
  <c r="AF52" i="19"/>
  <c r="AC52" i="19"/>
  <c r="Z52" i="19"/>
  <c r="W52" i="19"/>
  <c r="T52" i="19"/>
  <c r="Q52" i="19"/>
  <c r="N52" i="19"/>
  <c r="K52" i="19"/>
  <c r="I52" i="19"/>
  <c r="AK51" i="19"/>
  <c r="AH51" i="19"/>
  <c r="AE51" i="19"/>
  <c r="AB51" i="19"/>
  <c r="Y51" i="19"/>
  <c r="V51" i="19"/>
  <c r="S51" i="19"/>
  <c r="P51" i="19"/>
  <c r="M51" i="19"/>
  <c r="AJ51" i="19"/>
  <c r="AG51" i="19"/>
  <c r="AD51" i="19"/>
  <c r="AA51" i="19"/>
  <c r="X51" i="19"/>
  <c r="U51" i="19"/>
  <c r="R51" i="19"/>
  <c r="O51" i="19"/>
  <c r="AI51" i="19"/>
  <c r="AF51" i="19"/>
  <c r="AC51" i="19"/>
  <c r="Z51" i="19"/>
  <c r="W51" i="19"/>
  <c r="T51" i="19"/>
  <c r="Q51" i="19"/>
  <c r="N51" i="19"/>
  <c r="K51" i="19"/>
  <c r="I51" i="19"/>
  <c r="AK50" i="19"/>
  <c r="AH50" i="19"/>
  <c r="AE50" i="19"/>
  <c r="AB50" i="19"/>
  <c r="Y50" i="19"/>
  <c r="V50" i="19"/>
  <c r="S50" i="19"/>
  <c r="P50" i="19"/>
  <c r="M50" i="19"/>
  <c r="AJ50" i="19"/>
  <c r="AG50" i="19"/>
  <c r="AD50" i="19"/>
  <c r="AA50" i="19"/>
  <c r="X50" i="19"/>
  <c r="AI50" i="19"/>
  <c r="AF50" i="19"/>
  <c r="AC50" i="19"/>
  <c r="Z50" i="19"/>
  <c r="W50" i="19"/>
  <c r="T50" i="19"/>
  <c r="Q50" i="19"/>
  <c r="N50" i="19"/>
  <c r="K50" i="19"/>
  <c r="I50" i="19"/>
  <c r="AK49" i="19"/>
  <c r="AH49" i="19"/>
  <c r="AE49" i="19"/>
  <c r="AB49" i="19"/>
  <c r="Y49" i="19"/>
  <c r="V49" i="19"/>
  <c r="S49" i="19"/>
  <c r="P49" i="19"/>
  <c r="M49" i="19"/>
  <c r="AJ49" i="19"/>
  <c r="AG49" i="19"/>
  <c r="AD49" i="19"/>
  <c r="AA49" i="19"/>
  <c r="X49" i="19"/>
  <c r="AI49" i="19"/>
  <c r="AF49" i="19"/>
  <c r="AC49" i="19"/>
  <c r="Z49" i="19"/>
  <c r="W49" i="19"/>
  <c r="T49" i="19"/>
  <c r="Q49" i="19"/>
  <c r="N49" i="19"/>
  <c r="K49" i="19"/>
  <c r="I49" i="19"/>
  <c r="AK47" i="19"/>
  <c r="AH47" i="19"/>
  <c r="AE47" i="19"/>
  <c r="AB47" i="19"/>
  <c r="Y47" i="19"/>
  <c r="V47" i="19"/>
  <c r="S47" i="19"/>
  <c r="P47" i="19"/>
  <c r="M47" i="19"/>
  <c r="AJ47" i="19"/>
  <c r="AG47" i="19"/>
  <c r="AD47" i="19"/>
  <c r="AA47" i="19"/>
  <c r="X47" i="19"/>
  <c r="U47" i="19"/>
  <c r="R47" i="19"/>
  <c r="O47" i="19"/>
  <c r="AI47" i="19"/>
  <c r="AF47" i="19"/>
  <c r="AC47" i="19"/>
  <c r="Z47" i="19"/>
  <c r="W47" i="19"/>
  <c r="T47" i="19"/>
  <c r="Q47" i="19"/>
  <c r="N47" i="19"/>
  <c r="K47" i="19"/>
  <c r="I47" i="19"/>
  <c r="AK46" i="19"/>
  <c r="AH46" i="19"/>
  <c r="AE46" i="19"/>
  <c r="AB46" i="19"/>
  <c r="Y46" i="19"/>
  <c r="V46" i="19"/>
  <c r="S46" i="19"/>
  <c r="P46" i="19"/>
  <c r="M46" i="19"/>
  <c r="AJ46" i="19"/>
  <c r="AG46" i="19"/>
  <c r="AD46" i="19"/>
  <c r="AA46" i="19"/>
  <c r="X46" i="19"/>
  <c r="U46" i="19"/>
  <c r="R46" i="19"/>
  <c r="AI46" i="19"/>
  <c r="AF46" i="19"/>
  <c r="AC46" i="19"/>
  <c r="Z46" i="19"/>
  <c r="W46" i="19"/>
  <c r="T46" i="19"/>
  <c r="Q46" i="19"/>
  <c r="N46" i="19"/>
  <c r="K46" i="19"/>
  <c r="I46" i="19"/>
  <c r="AK45" i="19"/>
  <c r="AH45" i="19"/>
  <c r="AE45" i="19"/>
  <c r="AB45" i="19"/>
  <c r="Y45" i="19"/>
  <c r="V45" i="19"/>
  <c r="S45" i="19"/>
  <c r="P45" i="19"/>
  <c r="M45" i="19"/>
  <c r="AJ45" i="19"/>
  <c r="AG45" i="19"/>
  <c r="AD45" i="19"/>
  <c r="AA45" i="19"/>
  <c r="X45" i="19"/>
  <c r="AI45" i="19"/>
  <c r="AF45" i="19"/>
  <c r="AC45" i="19"/>
  <c r="Z45" i="19"/>
  <c r="W45" i="19"/>
  <c r="T45" i="19"/>
  <c r="Q45" i="19"/>
  <c r="N45" i="19"/>
  <c r="K45" i="19"/>
  <c r="I45" i="19"/>
  <c r="AK44" i="19"/>
  <c r="AH44" i="19"/>
  <c r="AE44" i="19"/>
  <c r="AB44" i="19"/>
  <c r="Y44" i="19"/>
  <c r="V44" i="19"/>
  <c r="S44" i="19"/>
  <c r="P44" i="19"/>
  <c r="M44" i="19"/>
  <c r="AJ44" i="19"/>
  <c r="AG44" i="19"/>
  <c r="AD44" i="19"/>
  <c r="AA44" i="19"/>
  <c r="X44" i="19"/>
  <c r="U44" i="19"/>
  <c r="AI44" i="19"/>
  <c r="AF44" i="19"/>
  <c r="AC44" i="19"/>
  <c r="Z44" i="19"/>
  <c r="W44" i="19"/>
  <c r="T44" i="19"/>
  <c r="Q44" i="19"/>
  <c r="N44" i="19"/>
  <c r="K44" i="19"/>
  <c r="I44" i="19"/>
  <c r="AK43" i="19"/>
  <c r="AH43" i="19"/>
  <c r="AE43" i="19"/>
  <c r="AB43" i="19"/>
  <c r="Y43" i="19"/>
  <c r="V43" i="19"/>
  <c r="S43" i="19"/>
  <c r="P43" i="19"/>
  <c r="M43" i="19"/>
  <c r="AJ43" i="19"/>
  <c r="AG43" i="19"/>
  <c r="AD43" i="19"/>
  <c r="AA43" i="19"/>
  <c r="X43" i="19"/>
  <c r="U43" i="19"/>
  <c r="R43" i="19"/>
  <c r="O43" i="19"/>
  <c r="AI43" i="19"/>
  <c r="AF43" i="19"/>
  <c r="AC43" i="19"/>
  <c r="Z43" i="19"/>
  <c r="W43" i="19"/>
  <c r="T43" i="19"/>
  <c r="Q43" i="19"/>
  <c r="N43" i="19"/>
  <c r="K43" i="19"/>
  <c r="I43" i="19"/>
  <c r="AK42" i="19"/>
  <c r="AH42" i="19"/>
  <c r="AE42" i="19"/>
  <c r="AB42" i="19"/>
  <c r="Y42" i="19"/>
  <c r="V42" i="19"/>
  <c r="S42" i="19"/>
  <c r="P42" i="19"/>
  <c r="M42" i="19"/>
  <c r="AJ42" i="19"/>
  <c r="AG42" i="19"/>
  <c r="AD42" i="19"/>
  <c r="AA42" i="19"/>
  <c r="X42" i="19"/>
  <c r="U42" i="19"/>
  <c r="R42" i="19"/>
  <c r="AI42" i="19"/>
  <c r="AF42" i="19"/>
  <c r="AC42" i="19"/>
  <c r="Z42" i="19"/>
  <c r="W42" i="19"/>
  <c r="T42" i="19"/>
  <c r="Q42" i="19"/>
  <c r="N42" i="19"/>
  <c r="K42" i="19"/>
  <c r="I42" i="19"/>
  <c r="AK41" i="19"/>
  <c r="AH41" i="19"/>
  <c r="AE41" i="19"/>
  <c r="AB41" i="19"/>
  <c r="Y41" i="19"/>
  <c r="V41" i="19"/>
  <c r="S41" i="19"/>
  <c r="P41" i="19"/>
  <c r="M41" i="19"/>
  <c r="AJ41" i="19"/>
  <c r="AG41" i="19"/>
  <c r="AD41" i="19"/>
  <c r="AA41" i="19"/>
  <c r="X41" i="19"/>
  <c r="U41" i="19"/>
  <c r="AI41" i="19"/>
  <c r="AF41" i="19"/>
  <c r="AC41" i="19"/>
  <c r="Z41" i="19"/>
  <c r="W41" i="19"/>
  <c r="T41" i="19"/>
  <c r="Q41" i="19"/>
  <c r="N41" i="19"/>
  <c r="K41" i="19"/>
  <c r="I41" i="19"/>
  <c r="AK40" i="19"/>
  <c r="AH40" i="19"/>
  <c r="AE40" i="19"/>
  <c r="AB40" i="19"/>
  <c r="Y40" i="19"/>
  <c r="V40" i="19"/>
  <c r="S40" i="19"/>
  <c r="P40" i="19"/>
  <c r="M40" i="19"/>
  <c r="AJ40" i="19"/>
  <c r="AG40" i="19"/>
  <c r="AD40" i="19"/>
  <c r="AA40" i="19"/>
  <c r="X40" i="19"/>
  <c r="U40" i="19"/>
  <c r="AI40" i="19"/>
  <c r="AF40" i="19"/>
  <c r="AC40" i="19"/>
  <c r="Z40" i="19"/>
  <c r="W40" i="19"/>
  <c r="T40" i="19"/>
  <c r="Q40" i="19"/>
  <c r="N40" i="19"/>
  <c r="K40" i="19"/>
  <c r="I40" i="19"/>
  <c r="AK39" i="19"/>
  <c r="AH39" i="19"/>
  <c r="AE39" i="19"/>
  <c r="AB39" i="19"/>
  <c r="Y39" i="19"/>
  <c r="V39" i="19"/>
  <c r="S39" i="19"/>
  <c r="P39" i="19"/>
  <c r="M39" i="19"/>
  <c r="AJ39" i="19"/>
  <c r="AG39" i="19"/>
  <c r="AD39" i="19"/>
  <c r="AA39" i="19"/>
  <c r="X39" i="19"/>
  <c r="AI39" i="19"/>
  <c r="AF39" i="19"/>
  <c r="AC39" i="19"/>
  <c r="Z39" i="19"/>
  <c r="W39" i="19"/>
  <c r="T39" i="19"/>
  <c r="Q39" i="19"/>
  <c r="N39" i="19"/>
  <c r="K39" i="19"/>
  <c r="I39" i="19"/>
  <c r="AK38" i="19"/>
  <c r="AH38" i="19"/>
  <c r="AE38" i="19"/>
  <c r="AB38" i="19"/>
  <c r="Y38" i="19"/>
  <c r="V38" i="19"/>
  <c r="S38" i="19"/>
  <c r="P38" i="19"/>
  <c r="M38" i="19"/>
  <c r="AJ38" i="19"/>
  <c r="AG38" i="19"/>
  <c r="AD38" i="19"/>
  <c r="AA38" i="19"/>
  <c r="X38" i="19"/>
  <c r="AI38" i="19"/>
  <c r="AF38" i="19"/>
  <c r="AC38" i="19"/>
  <c r="Z38" i="19"/>
  <c r="W38" i="19"/>
  <c r="T38" i="19"/>
  <c r="Q38" i="19"/>
  <c r="N38" i="19"/>
  <c r="K38" i="19"/>
  <c r="I38" i="19"/>
  <c r="AK36" i="19"/>
  <c r="AH36" i="19"/>
  <c r="AE36" i="19"/>
  <c r="AB36" i="19"/>
  <c r="Y36" i="19"/>
  <c r="V36" i="19"/>
  <c r="S36" i="19"/>
  <c r="P36" i="19"/>
  <c r="M36" i="19"/>
  <c r="AJ36" i="19"/>
  <c r="AG36" i="19"/>
  <c r="AD36" i="19"/>
  <c r="AA36" i="19"/>
  <c r="X36" i="19"/>
  <c r="U36" i="19"/>
  <c r="R36" i="19"/>
  <c r="O36" i="19"/>
  <c r="AI36" i="19"/>
  <c r="AF36" i="19"/>
  <c r="AC36" i="19"/>
  <c r="Z36" i="19"/>
  <c r="W36" i="19"/>
  <c r="T36" i="19"/>
  <c r="Q36" i="19"/>
  <c r="N36" i="19"/>
  <c r="K36" i="19"/>
  <c r="I36" i="19"/>
  <c r="AK35" i="19"/>
  <c r="AH35" i="19"/>
  <c r="AE35" i="19"/>
  <c r="AB35" i="19"/>
  <c r="Y35" i="19"/>
  <c r="V35" i="19"/>
  <c r="S35" i="19"/>
  <c r="P35" i="19"/>
  <c r="M35" i="19"/>
  <c r="AJ35" i="19"/>
  <c r="AG35" i="19"/>
  <c r="AD35" i="19"/>
  <c r="AA35" i="19"/>
  <c r="X35" i="19"/>
  <c r="U35" i="19"/>
  <c r="R35" i="19"/>
  <c r="AI35" i="19"/>
  <c r="AF35" i="19"/>
  <c r="AC35" i="19"/>
  <c r="Z35" i="19"/>
  <c r="W35" i="19"/>
  <c r="T35" i="19"/>
  <c r="Q35" i="19"/>
  <c r="N35" i="19"/>
  <c r="K35" i="19"/>
  <c r="I35" i="19"/>
  <c r="AK34" i="19"/>
  <c r="AH34" i="19"/>
  <c r="AE34" i="19"/>
  <c r="AB34" i="19"/>
  <c r="Y34" i="19"/>
  <c r="V34" i="19"/>
  <c r="S34" i="19"/>
  <c r="P34" i="19"/>
  <c r="M34" i="19"/>
  <c r="AJ34" i="19"/>
  <c r="AG34" i="19"/>
  <c r="AD34" i="19"/>
  <c r="AA34" i="19"/>
  <c r="X34" i="19"/>
  <c r="U34" i="19"/>
  <c r="R34" i="19"/>
  <c r="O34" i="19"/>
  <c r="AI34" i="19"/>
  <c r="AF34" i="19"/>
  <c r="AC34" i="19"/>
  <c r="Z34" i="19"/>
  <c r="W34" i="19"/>
  <c r="T34" i="19"/>
  <c r="Q34" i="19"/>
  <c r="N34" i="19"/>
  <c r="K34" i="19"/>
  <c r="I34" i="19"/>
  <c r="AK33" i="19"/>
  <c r="AH33" i="19"/>
  <c r="AE33" i="19"/>
  <c r="AB33" i="19"/>
  <c r="Y33" i="19"/>
  <c r="V33" i="19"/>
  <c r="S33" i="19"/>
  <c r="P33" i="19"/>
  <c r="M33" i="19"/>
  <c r="AJ33" i="19"/>
  <c r="AG33" i="19"/>
  <c r="AD33" i="19"/>
  <c r="AA33" i="19"/>
  <c r="X33" i="19"/>
  <c r="U33" i="19"/>
  <c r="R33" i="19"/>
  <c r="O33" i="19"/>
  <c r="AI33" i="19"/>
  <c r="AF33" i="19"/>
  <c r="AC33" i="19"/>
  <c r="Z33" i="19"/>
  <c r="W33" i="19"/>
  <c r="T33" i="19"/>
  <c r="Q33" i="19"/>
  <c r="N33" i="19"/>
  <c r="K33" i="19"/>
  <c r="I33" i="19"/>
  <c r="AK32" i="19"/>
  <c r="AH32" i="19"/>
  <c r="AE32" i="19"/>
  <c r="AB32" i="19"/>
  <c r="Y32" i="19"/>
  <c r="V32" i="19"/>
  <c r="S32" i="19"/>
  <c r="P32" i="19"/>
  <c r="M32" i="19"/>
  <c r="AJ32" i="19"/>
  <c r="AG32" i="19"/>
  <c r="AD32" i="19"/>
  <c r="AA32" i="19"/>
  <c r="X32" i="19"/>
  <c r="U32" i="19"/>
  <c r="R32" i="19"/>
  <c r="AI32" i="19"/>
  <c r="AF32" i="19"/>
  <c r="AC32" i="19"/>
  <c r="Z32" i="19"/>
  <c r="W32" i="19"/>
  <c r="T32" i="19"/>
  <c r="Q32" i="19"/>
  <c r="N32" i="19"/>
  <c r="K32" i="19"/>
  <c r="AK31" i="19"/>
  <c r="AH31" i="19"/>
  <c r="AE31" i="19"/>
  <c r="AB31" i="19"/>
  <c r="Y31" i="19"/>
  <c r="V31" i="19"/>
  <c r="S31" i="19"/>
  <c r="P31" i="19"/>
  <c r="M31" i="19"/>
  <c r="AJ31" i="19"/>
  <c r="AG31" i="19"/>
  <c r="AD31" i="19"/>
  <c r="AA31" i="19"/>
  <c r="X31" i="19"/>
  <c r="U31" i="19"/>
  <c r="R31" i="19"/>
  <c r="O31" i="19"/>
  <c r="AI31" i="19"/>
  <c r="AF31" i="19"/>
  <c r="AC31" i="19"/>
  <c r="Z31" i="19"/>
  <c r="W31" i="19"/>
  <c r="T31" i="19"/>
  <c r="Q31" i="19"/>
  <c r="N31" i="19"/>
  <c r="K31" i="19"/>
  <c r="I31" i="19"/>
  <c r="AK30" i="19"/>
  <c r="AH30" i="19"/>
  <c r="AE30" i="19"/>
  <c r="AB30" i="19"/>
  <c r="Y30" i="19"/>
  <c r="V30" i="19"/>
  <c r="S30" i="19"/>
  <c r="P30" i="19"/>
  <c r="M30" i="19"/>
  <c r="AJ30" i="19"/>
  <c r="AG30" i="19"/>
  <c r="AD30" i="19"/>
  <c r="AA30" i="19"/>
  <c r="X30" i="19"/>
  <c r="U30" i="19"/>
  <c r="R30" i="19"/>
  <c r="O30" i="19"/>
  <c r="AI30" i="19"/>
  <c r="AF30" i="19"/>
  <c r="AC30" i="19"/>
  <c r="Z30" i="19"/>
  <c r="W30" i="19"/>
  <c r="T30" i="19"/>
  <c r="Q30" i="19"/>
  <c r="N30" i="19"/>
  <c r="K30" i="19"/>
  <c r="I30" i="19"/>
  <c r="AK29" i="19"/>
  <c r="AH29" i="19"/>
  <c r="AE29" i="19"/>
  <c r="AB29" i="19"/>
  <c r="Y29" i="19"/>
  <c r="V29" i="19"/>
  <c r="S29" i="19"/>
  <c r="P29" i="19"/>
  <c r="M29" i="19"/>
  <c r="AJ29" i="19"/>
  <c r="AG29" i="19"/>
  <c r="AD29" i="19"/>
  <c r="AA29" i="19"/>
  <c r="X29" i="19"/>
  <c r="AI29" i="19"/>
  <c r="AF29" i="19"/>
  <c r="AC29" i="19"/>
  <c r="Z29" i="19"/>
  <c r="W29" i="19"/>
  <c r="T29" i="19"/>
  <c r="Q29" i="19"/>
  <c r="N29" i="19"/>
  <c r="K29" i="19"/>
  <c r="I29" i="19"/>
  <c r="AK28" i="19"/>
  <c r="AH28" i="19"/>
  <c r="AE28" i="19"/>
  <c r="AB28" i="19"/>
  <c r="Y28" i="19"/>
  <c r="V28" i="19"/>
  <c r="S28" i="19"/>
  <c r="P28" i="19"/>
  <c r="M28" i="19"/>
  <c r="AJ28" i="19"/>
  <c r="AG28" i="19"/>
  <c r="AD28" i="19"/>
  <c r="AA28" i="19"/>
  <c r="X28" i="19"/>
  <c r="U28" i="19"/>
  <c r="R28" i="19"/>
  <c r="AI28" i="19"/>
  <c r="AF28" i="19"/>
  <c r="AC28" i="19"/>
  <c r="Z28" i="19"/>
  <c r="W28" i="19"/>
  <c r="T28" i="19"/>
  <c r="Q28" i="19"/>
  <c r="N28" i="19"/>
  <c r="K28" i="19"/>
  <c r="I28" i="19"/>
  <c r="AK26" i="19"/>
  <c r="AH26" i="19"/>
  <c r="AE26" i="19"/>
  <c r="AB26" i="19"/>
  <c r="Y26" i="19"/>
  <c r="V26" i="19"/>
  <c r="S26" i="19"/>
  <c r="P26" i="19"/>
  <c r="M26" i="19"/>
  <c r="AJ26" i="19"/>
  <c r="AG26" i="19"/>
  <c r="AD26" i="19"/>
  <c r="AA26" i="19"/>
  <c r="X26" i="19"/>
  <c r="U26" i="19"/>
  <c r="R26" i="19"/>
  <c r="O26" i="19"/>
  <c r="AI26" i="19"/>
  <c r="AF26" i="19"/>
  <c r="AC26" i="19"/>
  <c r="Z26" i="19"/>
  <c r="W26" i="19"/>
  <c r="T26" i="19"/>
  <c r="Q26" i="19"/>
  <c r="N26" i="19"/>
  <c r="K26" i="19"/>
  <c r="I26" i="19"/>
  <c r="AK25" i="19"/>
  <c r="AH25" i="19"/>
  <c r="AE25" i="19"/>
  <c r="AB25" i="19"/>
  <c r="Y25" i="19"/>
  <c r="V25" i="19"/>
  <c r="S25" i="19"/>
  <c r="P25" i="19"/>
  <c r="M25" i="19"/>
  <c r="AJ25" i="19"/>
  <c r="AG25" i="19"/>
  <c r="AD25" i="19"/>
  <c r="AA25" i="19"/>
  <c r="X25" i="19"/>
  <c r="U25" i="19"/>
  <c r="R25" i="19"/>
  <c r="AI25" i="19"/>
  <c r="AF25" i="19"/>
  <c r="AC25" i="19"/>
  <c r="Z25" i="19"/>
  <c r="W25" i="19"/>
  <c r="T25" i="19"/>
  <c r="Q25" i="19"/>
  <c r="N25" i="19"/>
  <c r="K25" i="19"/>
  <c r="I25" i="19"/>
  <c r="AK24" i="19"/>
  <c r="AH24" i="19"/>
  <c r="AE24" i="19"/>
  <c r="AB24" i="19"/>
  <c r="Y24" i="19"/>
  <c r="V24" i="19"/>
  <c r="S24" i="19"/>
  <c r="P24" i="19"/>
  <c r="M24" i="19"/>
  <c r="AJ24" i="19"/>
  <c r="AG24" i="19"/>
  <c r="AD24" i="19"/>
  <c r="AA24" i="19"/>
  <c r="X24" i="19"/>
  <c r="U24" i="19"/>
  <c r="R24" i="19"/>
  <c r="O24" i="19"/>
  <c r="AI24" i="19"/>
  <c r="AF24" i="19"/>
  <c r="AC24" i="19"/>
  <c r="Z24" i="19"/>
  <c r="W24" i="19"/>
  <c r="T24" i="19"/>
  <c r="Q24" i="19"/>
  <c r="N24" i="19"/>
  <c r="K24" i="19"/>
  <c r="I24" i="19"/>
  <c r="AK23" i="19"/>
  <c r="AH23" i="19"/>
  <c r="AE23" i="19"/>
  <c r="AB23" i="19"/>
  <c r="Y23" i="19"/>
  <c r="V23" i="19"/>
  <c r="S23" i="19"/>
  <c r="P23" i="19"/>
  <c r="M23" i="19"/>
  <c r="AJ23" i="19"/>
  <c r="AG23" i="19"/>
  <c r="AD23" i="19"/>
  <c r="AA23" i="19"/>
  <c r="X23" i="19"/>
  <c r="U23" i="19"/>
  <c r="R23" i="19"/>
  <c r="O23" i="19"/>
  <c r="AI23" i="19"/>
  <c r="AF23" i="19"/>
  <c r="AC23" i="19"/>
  <c r="Z23" i="19"/>
  <c r="W23" i="19"/>
  <c r="T23" i="19"/>
  <c r="Q23" i="19"/>
  <c r="N23" i="19"/>
  <c r="K23" i="19"/>
  <c r="I23" i="19"/>
  <c r="AK22" i="19"/>
  <c r="AH22" i="19"/>
  <c r="AE22" i="19"/>
  <c r="AB22" i="19"/>
  <c r="Y22" i="19"/>
  <c r="V22" i="19"/>
  <c r="S22" i="19"/>
  <c r="P22" i="19"/>
  <c r="M22" i="19"/>
  <c r="AJ22" i="19"/>
  <c r="AG22" i="19"/>
  <c r="AD22" i="19"/>
  <c r="AA22" i="19"/>
  <c r="X22" i="19"/>
  <c r="U22" i="19"/>
  <c r="R22" i="19"/>
  <c r="O22" i="19"/>
  <c r="AI22" i="19"/>
  <c r="AF22" i="19"/>
  <c r="AC22" i="19"/>
  <c r="Z22" i="19"/>
  <c r="W22" i="19"/>
  <c r="T22" i="19"/>
  <c r="Q22" i="19"/>
  <c r="N22" i="19"/>
  <c r="K22" i="19"/>
  <c r="I22" i="19"/>
  <c r="AK21" i="19"/>
  <c r="AH21" i="19"/>
  <c r="AE21" i="19"/>
  <c r="AB21" i="19"/>
  <c r="Y21" i="19"/>
  <c r="V21" i="19"/>
  <c r="S21" i="19"/>
  <c r="P21" i="19"/>
  <c r="M21" i="19"/>
  <c r="AJ21" i="19"/>
  <c r="AG21" i="19"/>
  <c r="AD21" i="19"/>
  <c r="AA21" i="19"/>
  <c r="X21" i="19"/>
  <c r="U21" i="19"/>
  <c r="R21" i="19"/>
  <c r="O21" i="19"/>
  <c r="AI21" i="19"/>
  <c r="AF21" i="19"/>
  <c r="AC21" i="19"/>
  <c r="Z21" i="19"/>
  <c r="W21" i="19"/>
  <c r="T21" i="19"/>
  <c r="Q21" i="19"/>
  <c r="N21" i="19"/>
  <c r="K21" i="19"/>
  <c r="I21" i="19"/>
  <c r="AK20" i="19"/>
  <c r="AH20" i="19"/>
  <c r="AE20" i="19"/>
  <c r="AB20" i="19"/>
  <c r="Y20" i="19"/>
  <c r="V20" i="19"/>
  <c r="S20" i="19"/>
  <c r="P20" i="19"/>
  <c r="M20" i="19"/>
  <c r="AJ20" i="19"/>
  <c r="AG20" i="19"/>
  <c r="AD20" i="19"/>
  <c r="AA20" i="19"/>
  <c r="X20" i="19"/>
  <c r="U20" i="19"/>
  <c r="R20" i="19"/>
  <c r="O20" i="19"/>
  <c r="AI20" i="19"/>
  <c r="AF20" i="19"/>
  <c r="AC20" i="19"/>
  <c r="Z20" i="19"/>
  <c r="W20" i="19"/>
  <c r="T20" i="19"/>
  <c r="Q20" i="19"/>
  <c r="N20" i="19"/>
  <c r="K20" i="19"/>
  <c r="I20" i="19"/>
  <c r="AK19" i="19"/>
  <c r="AH19" i="19"/>
  <c r="AE19" i="19"/>
  <c r="AB19" i="19"/>
  <c r="Y19" i="19"/>
  <c r="V19" i="19"/>
  <c r="S19" i="19"/>
  <c r="P19" i="19"/>
  <c r="M19" i="19"/>
  <c r="AJ19" i="19"/>
  <c r="AG19" i="19"/>
  <c r="AD19" i="19"/>
  <c r="AA19" i="19"/>
  <c r="X19" i="19"/>
  <c r="U19" i="19"/>
  <c r="R19" i="19"/>
  <c r="O19" i="19"/>
  <c r="AI19" i="19"/>
  <c r="AF19" i="19"/>
  <c r="AC19" i="19"/>
  <c r="Z19" i="19"/>
  <c r="W19" i="19"/>
  <c r="T19" i="19"/>
  <c r="Q19" i="19"/>
  <c r="N19" i="19"/>
  <c r="K19" i="19"/>
  <c r="I19" i="19"/>
  <c r="AK18" i="19"/>
  <c r="AH18" i="19"/>
  <c r="AE18" i="19"/>
  <c r="AB18" i="19"/>
  <c r="Y18" i="19"/>
  <c r="V18" i="19"/>
  <c r="S18" i="19"/>
  <c r="P18" i="19"/>
  <c r="M18" i="19"/>
  <c r="AJ18" i="19"/>
  <c r="AG18" i="19"/>
  <c r="AD18" i="19"/>
  <c r="AA18" i="19"/>
  <c r="X18" i="19"/>
  <c r="AI18" i="19"/>
  <c r="AF18" i="19"/>
  <c r="AC18" i="19"/>
  <c r="Z18" i="19"/>
  <c r="W18" i="19"/>
  <c r="T18" i="19"/>
  <c r="Q18" i="19"/>
  <c r="N18" i="19"/>
  <c r="K18" i="19"/>
  <c r="I18" i="19"/>
  <c r="AK17" i="19"/>
  <c r="AH17" i="19"/>
  <c r="AE17" i="19"/>
  <c r="AB17" i="19"/>
  <c r="Y17" i="19"/>
  <c r="V17" i="19"/>
  <c r="S17" i="19"/>
  <c r="P17" i="19"/>
  <c r="M17" i="19"/>
  <c r="AJ17" i="19"/>
  <c r="AG17" i="19"/>
  <c r="AD17" i="19"/>
  <c r="AA17" i="19"/>
  <c r="X17" i="19"/>
  <c r="AI17" i="19"/>
  <c r="AF17" i="19"/>
  <c r="AC17" i="19"/>
  <c r="Z17" i="19"/>
  <c r="W17" i="19"/>
  <c r="T17" i="19"/>
  <c r="Q17" i="19"/>
  <c r="N17" i="19"/>
  <c r="K17" i="19"/>
  <c r="I17" i="19"/>
  <c r="AK16" i="19"/>
  <c r="AH16" i="19"/>
  <c r="AE16" i="19"/>
  <c r="AB16" i="19"/>
  <c r="Y16" i="19"/>
  <c r="V16" i="19"/>
  <c r="S16" i="19"/>
  <c r="P16" i="19"/>
  <c r="M16" i="19"/>
  <c r="AJ16" i="19"/>
  <c r="AG16" i="19"/>
  <c r="AD16" i="19"/>
  <c r="AA16" i="19"/>
  <c r="X16" i="19"/>
  <c r="U16" i="19"/>
  <c r="R16" i="19"/>
  <c r="AI16" i="19"/>
  <c r="AF16" i="19"/>
  <c r="AC16" i="19"/>
  <c r="Z16" i="19"/>
  <c r="W16" i="19"/>
  <c r="T16" i="19"/>
  <c r="Q16" i="19"/>
  <c r="N16" i="19"/>
  <c r="K16" i="19"/>
  <c r="I16" i="19"/>
  <c r="AK14" i="19"/>
  <c r="AH14" i="19"/>
  <c r="AE14" i="19"/>
  <c r="AB14" i="19"/>
  <c r="Y14" i="19"/>
  <c r="V14" i="19"/>
  <c r="S14" i="19"/>
  <c r="P14" i="19"/>
  <c r="M14" i="19"/>
  <c r="AJ14" i="19"/>
  <c r="AG14" i="19"/>
  <c r="AD14" i="19"/>
  <c r="AA14" i="19"/>
  <c r="X14" i="19"/>
  <c r="U14" i="19"/>
  <c r="R14" i="19"/>
  <c r="O14" i="19"/>
  <c r="AI14" i="19"/>
  <c r="AF14" i="19"/>
  <c r="AC14" i="19"/>
  <c r="Z14" i="19"/>
  <c r="W14" i="19"/>
  <c r="T14" i="19"/>
  <c r="Q14" i="19"/>
  <c r="N14" i="19"/>
  <c r="K14" i="19"/>
  <c r="I14" i="19"/>
  <c r="AK13" i="19"/>
  <c r="AH13" i="19"/>
  <c r="AE13" i="19"/>
  <c r="AB13" i="19"/>
  <c r="Y13" i="19"/>
  <c r="V13" i="19"/>
  <c r="S13" i="19"/>
  <c r="P13" i="19"/>
  <c r="M13" i="19"/>
  <c r="AJ13" i="19"/>
  <c r="AG13" i="19"/>
  <c r="AD13" i="19"/>
  <c r="AA13" i="19"/>
  <c r="X13" i="19"/>
  <c r="U13" i="19"/>
  <c r="R13" i="19"/>
  <c r="AI13" i="19"/>
  <c r="AF13" i="19"/>
  <c r="AC13" i="19"/>
  <c r="Z13" i="19"/>
  <c r="W13" i="19"/>
  <c r="T13" i="19"/>
  <c r="Q13" i="19"/>
  <c r="N13" i="19"/>
  <c r="K13" i="19"/>
  <c r="I13" i="19"/>
  <c r="AK12" i="19"/>
  <c r="AH12" i="19"/>
  <c r="AE12" i="19"/>
  <c r="AB12" i="19"/>
  <c r="Y12" i="19"/>
  <c r="V12" i="19"/>
  <c r="S12" i="19"/>
  <c r="P12" i="19"/>
  <c r="M12" i="19"/>
  <c r="AJ12" i="19"/>
  <c r="AG12" i="19"/>
  <c r="AD12" i="19"/>
  <c r="AA12" i="19"/>
  <c r="X12" i="19"/>
  <c r="U12" i="19"/>
  <c r="R12" i="19"/>
  <c r="AI12" i="19"/>
  <c r="AF12" i="19"/>
  <c r="AC12" i="19"/>
  <c r="Z12" i="19"/>
  <c r="W12" i="19"/>
  <c r="T12" i="19"/>
  <c r="Q12" i="19"/>
  <c r="N12" i="19"/>
  <c r="K12" i="19"/>
  <c r="I12" i="19"/>
  <c r="AK11" i="19"/>
  <c r="AH11" i="19"/>
  <c r="AE11" i="19"/>
  <c r="AB11" i="19"/>
  <c r="Y11" i="19"/>
  <c r="V11" i="19"/>
  <c r="S11" i="19"/>
  <c r="P11" i="19"/>
  <c r="M11" i="19"/>
  <c r="AJ11" i="19"/>
  <c r="AG11" i="19"/>
  <c r="AD11" i="19"/>
  <c r="AA11" i="19"/>
  <c r="X11" i="19"/>
  <c r="AI11" i="19"/>
  <c r="AF11" i="19"/>
  <c r="AC11" i="19"/>
  <c r="Z11" i="19"/>
  <c r="W11" i="19"/>
  <c r="T11" i="19"/>
  <c r="Q11" i="19"/>
  <c r="N11" i="19"/>
  <c r="K11" i="19"/>
  <c r="I11" i="19"/>
  <c r="AK10" i="19"/>
  <c r="AH10" i="19"/>
  <c r="AE10" i="19"/>
  <c r="AB10" i="19"/>
  <c r="Y10" i="19"/>
  <c r="V10" i="19"/>
  <c r="S10" i="19"/>
  <c r="P10" i="19"/>
  <c r="M10" i="19"/>
  <c r="AJ10" i="19"/>
  <c r="AG10" i="19"/>
  <c r="AD10" i="19"/>
  <c r="AA10" i="19"/>
  <c r="X10" i="19"/>
  <c r="U10" i="19"/>
  <c r="AI10" i="19"/>
  <c r="AF10" i="19"/>
  <c r="AC10" i="19"/>
  <c r="Z10" i="19"/>
  <c r="W10" i="19"/>
  <c r="T10" i="19"/>
  <c r="Q10" i="19"/>
  <c r="N10" i="19"/>
  <c r="K10" i="19"/>
  <c r="I10" i="19"/>
  <c r="AK9" i="19"/>
  <c r="AH9" i="19"/>
  <c r="AE9" i="19"/>
  <c r="AB9" i="19"/>
  <c r="Y9" i="19"/>
  <c r="V9" i="19"/>
  <c r="S9" i="19"/>
  <c r="P9" i="19"/>
  <c r="M9" i="19"/>
  <c r="AJ9" i="19"/>
  <c r="AG9" i="19"/>
  <c r="AD9" i="19"/>
  <c r="AA9" i="19"/>
  <c r="X9" i="19"/>
  <c r="U9" i="19"/>
  <c r="R9" i="19"/>
  <c r="AI9" i="19"/>
  <c r="AF9" i="19"/>
  <c r="AC9" i="19"/>
  <c r="Z9" i="19"/>
  <c r="W9" i="19"/>
  <c r="T9" i="19"/>
  <c r="Q9" i="19"/>
  <c r="N9" i="19"/>
  <c r="K9" i="19"/>
  <c r="AK8" i="19"/>
  <c r="AH8" i="19"/>
  <c r="AE8" i="19"/>
  <c r="AB8" i="19"/>
  <c r="Y8" i="19"/>
  <c r="V8" i="19"/>
  <c r="S8" i="19"/>
  <c r="P8" i="19"/>
  <c r="M8" i="19"/>
  <c r="AJ8" i="19"/>
  <c r="AG8" i="19"/>
  <c r="AD8" i="19"/>
  <c r="AA8" i="19"/>
  <c r="X8" i="19"/>
  <c r="U8" i="19"/>
  <c r="R8" i="19"/>
  <c r="O8" i="19"/>
  <c r="AI8" i="19"/>
  <c r="AF8" i="19"/>
  <c r="AC8" i="19"/>
  <c r="Z8" i="19"/>
  <c r="W8" i="19"/>
  <c r="T8" i="19"/>
  <c r="Q8" i="19"/>
  <c r="N8" i="19"/>
  <c r="K8" i="19"/>
  <c r="I8" i="19"/>
  <c r="AK7" i="19"/>
  <c r="AH7" i="19"/>
  <c r="AE7" i="19"/>
  <c r="AB7" i="19"/>
  <c r="Y7" i="19"/>
  <c r="V7" i="19"/>
  <c r="S7" i="19"/>
  <c r="P7" i="19"/>
  <c r="M7" i="19"/>
  <c r="AJ7" i="19"/>
  <c r="AG7" i="19"/>
  <c r="AD7" i="19"/>
  <c r="AA7" i="19"/>
  <c r="X7" i="19"/>
  <c r="AI7" i="19"/>
  <c r="AF7" i="19"/>
  <c r="AC7" i="19"/>
  <c r="Z7" i="19"/>
  <c r="W7" i="19"/>
  <c r="T7" i="19"/>
  <c r="Q7" i="19"/>
  <c r="N7" i="19"/>
  <c r="K7" i="19"/>
  <c r="I7" i="19"/>
  <c r="AK6" i="19"/>
  <c r="AH6" i="19"/>
  <c r="AE6" i="19"/>
  <c r="AB6" i="19"/>
  <c r="Y6" i="19"/>
  <c r="V6" i="19"/>
  <c r="S6" i="19"/>
  <c r="P6" i="19"/>
  <c r="M6" i="19"/>
  <c r="AJ6" i="19"/>
  <c r="AG6" i="19"/>
  <c r="AD6" i="19"/>
  <c r="AA6" i="19"/>
  <c r="X6" i="19"/>
  <c r="AI6" i="19"/>
  <c r="AF6" i="19"/>
  <c r="AC6" i="19"/>
  <c r="Z6" i="19"/>
  <c r="W6" i="19"/>
  <c r="T6" i="19"/>
  <c r="Q6" i="19"/>
  <c r="N6" i="19"/>
  <c r="K6" i="19"/>
  <c r="I6" i="19"/>
  <c r="AK5" i="19"/>
  <c r="AH5" i="19"/>
  <c r="AE5" i="19"/>
  <c r="AB5" i="19"/>
  <c r="Y5" i="19"/>
  <c r="V5" i="19"/>
  <c r="S5" i="19"/>
  <c r="P5" i="19"/>
  <c r="M5" i="19"/>
  <c r="AJ5" i="19"/>
  <c r="AG5" i="19"/>
  <c r="AD5" i="19"/>
  <c r="AA5" i="19"/>
  <c r="X5" i="19"/>
  <c r="U5" i="19"/>
  <c r="R5" i="19"/>
  <c r="AI5" i="19"/>
  <c r="AF5" i="19"/>
  <c r="AC5" i="19"/>
  <c r="Z5" i="19"/>
  <c r="W5" i="19"/>
  <c r="T5" i="19"/>
  <c r="Q5" i="19"/>
  <c r="N5" i="19"/>
  <c r="K5" i="19"/>
  <c r="I5" i="19"/>
  <c r="T215" i="17"/>
  <c r="S215" i="17"/>
  <c r="Q215" i="17"/>
  <c r="T214" i="17"/>
  <c r="S214" i="17"/>
  <c r="R214" i="17"/>
  <c r="T213" i="17"/>
  <c r="S213" i="17"/>
  <c r="Q213" i="17"/>
  <c r="U212" i="17"/>
  <c r="T211" i="17"/>
  <c r="S211" i="17"/>
  <c r="Q211" i="17"/>
  <c r="T210" i="17"/>
  <c r="S210" i="17"/>
  <c r="R210" i="17"/>
  <c r="T209" i="17"/>
  <c r="S209" i="17"/>
  <c r="Q209" i="17"/>
  <c r="U208" i="17"/>
  <c r="T207" i="17"/>
  <c r="S207" i="17"/>
  <c r="T206" i="17"/>
  <c r="S206" i="17"/>
  <c r="Q206" i="17"/>
  <c r="T205" i="17"/>
  <c r="S205" i="17"/>
  <c r="S203" i="17"/>
  <c r="R203" i="17"/>
  <c r="Q203" i="17"/>
  <c r="U202" i="17"/>
  <c r="T201" i="17"/>
  <c r="S201" i="17"/>
  <c r="Q201" i="17"/>
  <c r="S199" i="17"/>
  <c r="R199" i="17"/>
  <c r="Q199" i="17"/>
  <c r="S198" i="17"/>
  <c r="R198" i="17"/>
  <c r="Q198" i="17"/>
  <c r="U197" i="17"/>
  <c r="T196" i="17"/>
  <c r="S196" i="17"/>
  <c r="Q196" i="17"/>
  <c r="T195" i="17"/>
  <c r="S195" i="17"/>
  <c r="T194" i="17"/>
  <c r="S194" i="17"/>
  <c r="R194" i="17"/>
  <c r="T193" i="17"/>
  <c r="S193" i="17"/>
  <c r="R193" i="17"/>
  <c r="T192" i="17"/>
  <c r="S192" i="17"/>
  <c r="R192" i="17"/>
  <c r="T191" i="17"/>
  <c r="S191" i="17"/>
  <c r="Q191" i="17"/>
  <c r="U190" i="17"/>
  <c r="T189" i="17"/>
  <c r="S189" i="17"/>
  <c r="Q189" i="17"/>
  <c r="T188" i="17"/>
  <c r="S188" i="17"/>
  <c r="R188" i="17"/>
  <c r="T187" i="17"/>
  <c r="S187" i="17"/>
  <c r="T186" i="17"/>
  <c r="S186" i="17"/>
  <c r="T185" i="17"/>
  <c r="S185" i="17"/>
  <c r="T184" i="17"/>
  <c r="S184" i="17"/>
  <c r="R184" i="17"/>
  <c r="T183" i="17"/>
  <c r="S183" i="17"/>
  <c r="T182" i="17"/>
  <c r="S182" i="17"/>
  <c r="T181" i="17"/>
  <c r="S181" i="17"/>
  <c r="Q181" i="17"/>
  <c r="T180" i="17"/>
  <c r="S180" i="17"/>
  <c r="Q180" i="17"/>
  <c r="T179" i="17"/>
  <c r="S179" i="17"/>
  <c r="T178" i="17"/>
  <c r="S178" i="17"/>
  <c r="R178" i="17"/>
  <c r="S176" i="17"/>
  <c r="Q176" i="17"/>
  <c r="S175" i="17"/>
  <c r="R175" i="17"/>
  <c r="Q175" i="17"/>
  <c r="S174" i="17"/>
  <c r="Q174" i="17"/>
  <c r="S173" i="17"/>
  <c r="R173" i="17"/>
  <c r="S172" i="17"/>
  <c r="R172" i="17"/>
  <c r="Q172" i="17"/>
  <c r="S171" i="17"/>
  <c r="Q171" i="17"/>
  <c r="S170" i="17"/>
  <c r="Q170" i="17"/>
  <c r="S169" i="17"/>
  <c r="R169" i="17"/>
  <c r="Q169" i="17"/>
  <c r="R168" i="17"/>
  <c r="Q168" i="17"/>
  <c r="S167" i="17"/>
  <c r="R167" i="17"/>
  <c r="Q167" i="17"/>
  <c r="S166" i="17"/>
  <c r="S165" i="17"/>
  <c r="R165" i="17"/>
  <c r="T164" i="17"/>
  <c r="S164" i="17"/>
  <c r="Q164" i="17"/>
  <c r="T163" i="17"/>
  <c r="S163" i="17"/>
  <c r="Q163" i="17"/>
  <c r="Q162" i="17"/>
  <c r="S161" i="17"/>
  <c r="Q161" i="17"/>
  <c r="S160" i="17"/>
  <c r="R160" i="17"/>
  <c r="S159" i="17"/>
  <c r="S158" i="17"/>
  <c r="R158" i="17"/>
  <c r="Q158" i="17"/>
  <c r="S157" i="17"/>
  <c r="Q157" i="17"/>
  <c r="S156" i="17"/>
  <c r="R156" i="17"/>
  <c r="Q156" i="17"/>
  <c r="R155" i="17"/>
  <c r="Q155" i="17"/>
  <c r="R154" i="17"/>
  <c r="Q154" i="17"/>
  <c r="S153" i="17"/>
  <c r="R153" i="17"/>
  <c r="Q153" i="17"/>
  <c r="T152" i="17"/>
  <c r="S152" i="17"/>
  <c r="Q152" i="17"/>
  <c r="S151" i="17"/>
  <c r="R151" i="17"/>
  <c r="Q151" i="17"/>
  <c r="T150" i="17"/>
  <c r="S150" i="17"/>
  <c r="Q150" i="17"/>
  <c r="S149" i="17"/>
  <c r="R149" i="17"/>
  <c r="S148" i="17"/>
  <c r="U147" i="17"/>
  <c r="T146" i="17"/>
  <c r="S146" i="17"/>
  <c r="Q146" i="17"/>
  <c r="T145" i="17"/>
  <c r="S145" i="17"/>
  <c r="Q145" i="17"/>
  <c r="T144" i="17"/>
  <c r="S144" i="17"/>
  <c r="Q144" i="17"/>
  <c r="U143" i="17"/>
  <c r="T142" i="17"/>
  <c r="S142" i="17"/>
  <c r="Q142" i="17"/>
  <c r="T141" i="17"/>
  <c r="S141" i="17"/>
  <c r="Q141" i="17"/>
  <c r="T140" i="17"/>
  <c r="S140" i="17"/>
  <c r="Q140" i="17"/>
  <c r="U139" i="17"/>
  <c r="T138" i="17"/>
  <c r="S138" i="17"/>
  <c r="Q138" i="17"/>
  <c r="S137" i="17"/>
  <c r="Q137" i="17"/>
  <c r="S136" i="17"/>
  <c r="R136" i="17"/>
  <c r="Q136" i="17"/>
  <c r="S135" i="17"/>
  <c r="R135" i="17"/>
  <c r="Q135" i="17"/>
  <c r="U134" i="17"/>
  <c r="T133" i="17"/>
  <c r="Q133" i="17"/>
  <c r="T132" i="17"/>
  <c r="R130" i="17"/>
  <c r="Q130" i="17"/>
  <c r="U129" i="17"/>
  <c r="T128" i="17"/>
  <c r="S128" i="17"/>
  <c r="Q128" i="17"/>
  <c r="T127" i="17"/>
  <c r="S127" i="17"/>
  <c r="T126" i="17"/>
  <c r="S126" i="17"/>
  <c r="Q126" i="17"/>
  <c r="U125" i="17"/>
  <c r="T124" i="17"/>
  <c r="S124" i="17"/>
  <c r="Q124" i="17"/>
  <c r="T123" i="17"/>
  <c r="S123" i="17"/>
  <c r="Q123" i="17"/>
  <c r="T122" i="17"/>
  <c r="Q122" i="17"/>
  <c r="T121" i="17"/>
  <c r="S121" i="17"/>
  <c r="Q121" i="17"/>
  <c r="T120" i="17"/>
  <c r="S120" i="17"/>
  <c r="Q120" i="17"/>
  <c r="T119" i="17"/>
  <c r="S119" i="17"/>
  <c r="Q119" i="17"/>
  <c r="T118" i="17"/>
  <c r="S118" i="17"/>
  <c r="Q118" i="17"/>
  <c r="T117" i="17"/>
  <c r="S117" i="17"/>
  <c r="U116" i="17"/>
  <c r="T115" i="17"/>
  <c r="S115" i="17"/>
  <c r="Q115" i="17"/>
  <c r="T114" i="17"/>
  <c r="S114" i="17"/>
  <c r="Q114" i="17"/>
  <c r="T113" i="17"/>
  <c r="S113" i="17"/>
  <c r="Q113" i="17"/>
  <c r="U112" i="17"/>
  <c r="T111" i="17"/>
  <c r="S111" i="17"/>
  <c r="Q111" i="17"/>
  <c r="T110" i="17"/>
  <c r="S110" i="17"/>
  <c r="Q110" i="17"/>
  <c r="T109" i="17"/>
  <c r="S109" i="17"/>
  <c r="Q109" i="17"/>
  <c r="U108" i="17"/>
  <c r="T107" i="17"/>
  <c r="S107" i="17"/>
  <c r="Q107" i="17"/>
  <c r="S106" i="17"/>
  <c r="S105" i="17"/>
  <c r="Q105" i="17"/>
  <c r="S104" i="17"/>
  <c r="R104" i="17"/>
  <c r="Q104" i="17"/>
  <c r="S103" i="17"/>
  <c r="R103" i="17"/>
  <c r="Q103" i="17"/>
  <c r="U102" i="17"/>
  <c r="T101" i="17"/>
  <c r="S101" i="17"/>
  <c r="Q101" i="17"/>
  <c r="T100" i="17"/>
  <c r="S100" i="17"/>
  <c r="Q100" i="17"/>
  <c r="T99" i="17"/>
  <c r="S99" i="17"/>
  <c r="Q99" i="17"/>
  <c r="T98" i="17"/>
  <c r="S98" i="17"/>
  <c r="T97" i="17"/>
  <c r="S97" i="17"/>
  <c r="U96" i="17"/>
  <c r="T95" i="17"/>
  <c r="S95" i="17"/>
  <c r="U94" i="17"/>
  <c r="T93" i="17"/>
  <c r="S93" i="17"/>
  <c r="Q93" i="17"/>
  <c r="T92" i="17"/>
  <c r="Q92" i="17"/>
  <c r="T91" i="17"/>
  <c r="S91" i="17"/>
  <c r="Q91" i="17"/>
  <c r="T90" i="17"/>
  <c r="S90" i="17"/>
  <c r="T89" i="17"/>
  <c r="S89" i="17"/>
  <c r="U88" i="17"/>
  <c r="T87" i="17"/>
  <c r="S87" i="17"/>
  <c r="Q87" i="17"/>
  <c r="T86" i="17"/>
  <c r="S86" i="17"/>
  <c r="T85" i="17"/>
  <c r="S85" i="17"/>
  <c r="T84" i="17"/>
  <c r="S84" i="17"/>
  <c r="T83" i="17"/>
  <c r="S83" i="17"/>
  <c r="Q83" i="17"/>
  <c r="T82" i="17"/>
  <c r="S82" i="17"/>
  <c r="Q82" i="17"/>
  <c r="T81" i="17"/>
  <c r="S81" i="17"/>
  <c r="Q81" i="17"/>
  <c r="T80" i="17"/>
  <c r="S80" i="17"/>
  <c r="Q80" i="17"/>
  <c r="T79" i="17"/>
  <c r="S79" i="17"/>
  <c r="Q79" i="17"/>
  <c r="T78" i="17"/>
  <c r="S78" i="17"/>
  <c r="Q78" i="17"/>
  <c r="T77" i="17"/>
  <c r="S77" i="17"/>
  <c r="Q77" i="17"/>
  <c r="T76" i="17"/>
  <c r="S76" i="17"/>
  <c r="Q76" i="17"/>
  <c r="T75" i="17"/>
  <c r="S75" i="17"/>
  <c r="Q75" i="17"/>
  <c r="T74" i="17"/>
  <c r="S74" i="17"/>
  <c r="T73" i="17"/>
  <c r="S73" i="17"/>
  <c r="Q73" i="17"/>
  <c r="T72" i="17"/>
  <c r="S72" i="17"/>
  <c r="U71" i="17"/>
  <c r="T70" i="17"/>
  <c r="S70" i="17"/>
  <c r="Q70" i="17"/>
  <c r="S69" i="17"/>
  <c r="S68" i="17"/>
  <c r="Q68" i="17"/>
  <c r="T67" i="17"/>
  <c r="S67" i="17"/>
  <c r="Q67" i="17"/>
  <c r="T66" i="17"/>
  <c r="S66" i="17"/>
  <c r="T65" i="17"/>
  <c r="S65" i="17"/>
  <c r="T64" i="17"/>
  <c r="S64" i="17"/>
  <c r="Q64" i="17"/>
  <c r="U63" i="17"/>
  <c r="T62" i="17"/>
  <c r="S62" i="17"/>
  <c r="Q62" i="17"/>
  <c r="T61" i="17"/>
  <c r="S61" i="17"/>
  <c r="Q61" i="17"/>
  <c r="S60" i="17"/>
  <c r="Q60" i="17"/>
  <c r="Q59" i="17"/>
  <c r="S58" i="17"/>
  <c r="S57" i="17"/>
  <c r="S56" i="17"/>
  <c r="R56" i="17"/>
  <c r="Q56" i="17"/>
  <c r="T55" i="17"/>
  <c r="S55" i="17"/>
  <c r="Q55" i="17"/>
  <c r="T54" i="17"/>
  <c r="S54" i="17"/>
  <c r="Q54" i="17"/>
  <c r="S53" i="17"/>
  <c r="R53" i="17"/>
  <c r="Q53" i="17"/>
  <c r="S52" i="17"/>
  <c r="R52" i="17"/>
  <c r="Q52" i="17"/>
  <c r="T51" i="17"/>
  <c r="S51" i="17"/>
  <c r="R51" i="17"/>
  <c r="S50" i="17"/>
  <c r="Q50" i="17"/>
  <c r="S49" i="17"/>
  <c r="R49" i="17"/>
  <c r="Q49" i="17"/>
  <c r="S48" i="17"/>
  <c r="S47" i="17"/>
  <c r="Q47" i="17"/>
  <c r="S46" i="17"/>
  <c r="R46" i="17"/>
  <c r="U45" i="17"/>
  <c r="T44" i="17"/>
  <c r="S44" i="17"/>
  <c r="Q44" i="17"/>
  <c r="T43" i="17"/>
  <c r="S43" i="17"/>
  <c r="Q43" i="17"/>
  <c r="T42" i="17"/>
  <c r="S42" i="17"/>
  <c r="T41" i="17"/>
  <c r="S41" i="17"/>
  <c r="Q41" i="17"/>
  <c r="T40" i="17"/>
  <c r="S40" i="17"/>
  <c r="Q40" i="17"/>
  <c r="T39" i="17"/>
  <c r="S39" i="17"/>
  <c r="Q39" i="17"/>
  <c r="T38" i="17"/>
  <c r="S38" i="17"/>
  <c r="Q38" i="17"/>
  <c r="T37" i="17"/>
  <c r="S37" i="17"/>
  <c r="R37" i="17"/>
  <c r="U36" i="17"/>
  <c r="T35" i="17"/>
  <c r="T34" i="17"/>
  <c r="T33" i="17"/>
  <c r="Q33" i="17"/>
  <c r="T32" i="17"/>
  <c r="S32" i="17"/>
  <c r="Q32" i="17"/>
  <c r="S31" i="17"/>
  <c r="S30" i="17"/>
  <c r="Q30" i="17"/>
  <c r="T29" i="17"/>
  <c r="Q29" i="17"/>
  <c r="T28" i="17"/>
  <c r="Q28" i="17"/>
  <c r="T27" i="17"/>
  <c r="T26" i="17"/>
  <c r="Q26" i="17"/>
  <c r="U25" i="17"/>
  <c r="T24" i="17"/>
  <c r="S24" i="17"/>
  <c r="Q24" i="17"/>
  <c r="T23" i="17"/>
  <c r="S23" i="17"/>
  <c r="Q23" i="17"/>
  <c r="Q22" i="17"/>
  <c r="S21" i="17"/>
  <c r="Q21" i="17"/>
  <c r="S20" i="17"/>
  <c r="Q20" i="17"/>
  <c r="S19" i="17"/>
  <c r="R19" i="17"/>
  <c r="S18" i="17"/>
  <c r="R18" i="17"/>
  <c r="Q18" i="17"/>
  <c r="T17" i="17"/>
  <c r="S17" i="17"/>
  <c r="Q17" i="17"/>
  <c r="S16" i="17"/>
  <c r="R16" i="17"/>
  <c r="Q16" i="17"/>
  <c r="S15" i="17"/>
  <c r="Q15" i="17"/>
  <c r="S14" i="17"/>
  <c r="R14" i="17"/>
  <c r="S13" i="17"/>
  <c r="Q13" i="17"/>
  <c r="S12" i="17"/>
  <c r="Q12" i="17"/>
  <c r="S11" i="17"/>
  <c r="Q11" i="17"/>
  <c r="T10" i="17"/>
  <c r="S10" i="17"/>
  <c r="Q10" i="17"/>
  <c r="T9" i="17"/>
  <c r="S9" i="17"/>
  <c r="R9" i="17"/>
  <c r="S8" i="17"/>
  <c r="R8" i="17"/>
  <c r="Q8" i="17"/>
  <c r="S7" i="17"/>
  <c r="Q7" i="17"/>
  <c r="S6" i="17"/>
  <c r="R6" i="17"/>
  <c r="I187" i="61" l="1"/>
  <c r="I97" i="61"/>
  <c r="I32" i="19"/>
  <c r="I158" i="19"/>
  <c r="I62" i="19"/>
  <c r="H161" i="61"/>
  <c r="L97" i="19" s="1"/>
  <c r="H188" i="61"/>
  <c r="L171" i="19" s="1"/>
  <c r="B14" i="11"/>
  <c r="B15" i="11"/>
  <c r="A14" i="11"/>
  <c r="A15" i="11"/>
  <c r="C14" i="11"/>
  <c r="U14" i="11" s="1"/>
  <c r="J161" i="61" l="1"/>
  <c r="T104" i="17" s="1"/>
  <c r="L88" i="19"/>
  <c r="H46" i="66"/>
  <c r="L91" i="19"/>
  <c r="J188" i="61"/>
  <c r="Q193" i="17" s="1"/>
  <c r="H69" i="66"/>
  <c r="O14" i="11"/>
  <c r="S14" i="11"/>
  <c r="P14" i="11"/>
  <c r="T14" i="11"/>
  <c r="N14" i="11"/>
  <c r="R14" i="11"/>
  <c r="M14" i="11"/>
  <c r="Q14" i="11"/>
  <c r="M16" i="11"/>
  <c r="N16" i="11"/>
  <c r="O16" i="11"/>
  <c r="P16" i="11"/>
  <c r="Q16" i="11"/>
  <c r="R16" i="11"/>
  <c r="S16" i="11"/>
  <c r="T16" i="11"/>
  <c r="U16" i="11"/>
  <c r="E21" i="11"/>
  <c r="F21" i="11"/>
  <c r="G21" i="11"/>
  <c r="H21" i="11"/>
  <c r="I21" i="11"/>
  <c r="J21" i="11"/>
  <c r="K21" i="11"/>
  <c r="L21" i="11"/>
  <c r="D21" i="11"/>
  <c r="E21" i="10"/>
  <c r="F21" i="10"/>
  <c r="G21" i="10"/>
  <c r="H21" i="10"/>
  <c r="I21" i="10"/>
  <c r="J21" i="10"/>
  <c r="K21" i="10"/>
  <c r="L21" i="10"/>
  <c r="M21" i="10"/>
  <c r="N21" i="10"/>
  <c r="O21" i="10"/>
  <c r="P21" i="10"/>
  <c r="Q21" i="10"/>
  <c r="R21" i="10"/>
  <c r="S21" i="10"/>
  <c r="T21" i="10"/>
  <c r="U21" i="10"/>
  <c r="V21" i="10"/>
  <c r="D21" i="10"/>
  <c r="W7" i="10"/>
  <c r="X7" i="10"/>
  <c r="Y7" i="10"/>
  <c r="Z7" i="10"/>
  <c r="AA7" i="10"/>
  <c r="AB7" i="10"/>
  <c r="AC7" i="10"/>
  <c r="AD7" i="10"/>
  <c r="AE7" i="10"/>
  <c r="AF7" i="10"/>
  <c r="AG7" i="10"/>
  <c r="AH7" i="10"/>
  <c r="AI7" i="10"/>
  <c r="AJ7" i="10"/>
  <c r="AK7" i="10"/>
  <c r="AL7" i="10"/>
  <c r="AM7" i="10"/>
  <c r="AN7" i="10"/>
  <c r="AO7" i="10"/>
  <c r="W8" i="10"/>
  <c r="X8" i="10"/>
  <c r="Y8" i="10"/>
  <c r="Z8" i="10"/>
  <c r="AA8" i="10"/>
  <c r="AB8" i="10"/>
  <c r="AC8" i="10"/>
  <c r="AD8" i="10"/>
  <c r="AE8" i="10"/>
  <c r="AF8" i="10"/>
  <c r="AG8" i="10"/>
  <c r="AH8" i="10"/>
  <c r="AI8" i="10"/>
  <c r="AJ8" i="10"/>
  <c r="AK8" i="10"/>
  <c r="AL8" i="10"/>
  <c r="AM8" i="10"/>
  <c r="AN8" i="10"/>
  <c r="AO8" i="10"/>
  <c r="W9" i="10"/>
  <c r="X9" i="10"/>
  <c r="Y9" i="10"/>
  <c r="Z9" i="10"/>
  <c r="AA9" i="10"/>
  <c r="AB9" i="10"/>
  <c r="AC9" i="10"/>
  <c r="AD9" i="10"/>
  <c r="AE9" i="10"/>
  <c r="AF9" i="10"/>
  <c r="AG9" i="10"/>
  <c r="AH9" i="10"/>
  <c r="AI9" i="10"/>
  <c r="AJ9" i="10"/>
  <c r="AK9" i="10"/>
  <c r="AL9" i="10"/>
  <c r="AM9" i="10"/>
  <c r="AN9" i="10"/>
  <c r="AO9" i="10"/>
  <c r="W10" i="10"/>
  <c r="X10" i="10"/>
  <c r="Y10" i="10"/>
  <c r="Z10" i="10"/>
  <c r="AA10" i="10"/>
  <c r="AB10" i="10"/>
  <c r="AC10" i="10"/>
  <c r="AD10" i="10"/>
  <c r="AE10" i="10"/>
  <c r="AF10" i="10"/>
  <c r="AG10" i="10"/>
  <c r="AH10" i="10"/>
  <c r="AI10" i="10"/>
  <c r="AJ10" i="10"/>
  <c r="AK10" i="10"/>
  <c r="AL10" i="10"/>
  <c r="AM10" i="10"/>
  <c r="AN10" i="10"/>
  <c r="AO10" i="10"/>
  <c r="W11" i="10"/>
  <c r="X11" i="10"/>
  <c r="Y11" i="10"/>
  <c r="Z11" i="10"/>
  <c r="AA11" i="10"/>
  <c r="AB11" i="10"/>
  <c r="AC11" i="10"/>
  <c r="AD11" i="10"/>
  <c r="AE11" i="10"/>
  <c r="AF11" i="10"/>
  <c r="AG11" i="10"/>
  <c r="AH11" i="10"/>
  <c r="AI11" i="10"/>
  <c r="AJ11" i="10"/>
  <c r="AK11" i="10"/>
  <c r="AL11" i="10"/>
  <c r="AM11" i="10"/>
  <c r="AN11" i="10"/>
  <c r="AO11" i="10"/>
  <c r="W12" i="10"/>
  <c r="X12" i="10"/>
  <c r="Y12" i="10"/>
  <c r="Z12" i="10"/>
  <c r="AA12" i="10"/>
  <c r="AB12" i="10"/>
  <c r="AC12" i="10"/>
  <c r="AD12" i="10"/>
  <c r="AE12" i="10"/>
  <c r="AF12" i="10"/>
  <c r="AG12" i="10"/>
  <c r="AH12" i="10"/>
  <c r="AI12" i="10"/>
  <c r="AJ12" i="10"/>
  <c r="AK12" i="10"/>
  <c r="AL12" i="10"/>
  <c r="AM12" i="10"/>
  <c r="AN12" i="10"/>
  <c r="AO12" i="10"/>
  <c r="W13" i="10"/>
  <c r="X13" i="10"/>
  <c r="Y13" i="10"/>
  <c r="Z13" i="10"/>
  <c r="AA13" i="10"/>
  <c r="AB13" i="10"/>
  <c r="AC13" i="10"/>
  <c r="AD13" i="10"/>
  <c r="AE13" i="10"/>
  <c r="AF13" i="10"/>
  <c r="AG13" i="10"/>
  <c r="AH13" i="10"/>
  <c r="AI13" i="10"/>
  <c r="AJ13" i="10"/>
  <c r="AK13" i="10"/>
  <c r="AL13" i="10"/>
  <c r="AM13" i="10"/>
  <c r="AN13" i="10"/>
  <c r="AO13" i="10"/>
  <c r="W14" i="10"/>
  <c r="X14" i="10"/>
  <c r="Y14" i="10"/>
  <c r="Z14" i="10"/>
  <c r="AA14" i="10"/>
  <c r="AB14" i="10"/>
  <c r="AC14" i="10"/>
  <c r="AD14" i="10"/>
  <c r="AE14" i="10"/>
  <c r="AF14" i="10"/>
  <c r="AG14" i="10"/>
  <c r="AH14" i="10"/>
  <c r="AI14" i="10"/>
  <c r="AJ14" i="10"/>
  <c r="AK14" i="10"/>
  <c r="AL14" i="10"/>
  <c r="AM14" i="10"/>
  <c r="AN14" i="10"/>
  <c r="AO14" i="10"/>
  <c r="W15" i="10"/>
  <c r="X15" i="10"/>
  <c r="Y15" i="10"/>
  <c r="Z15" i="10"/>
  <c r="AA15" i="10"/>
  <c r="AB15" i="10"/>
  <c r="AC15" i="10"/>
  <c r="AD15" i="10"/>
  <c r="AE15" i="10"/>
  <c r="AF15" i="10"/>
  <c r="AG15" i="10"/>
  <c r="AH15" i="10"/>
  <c r="AI15" i="10"/>
  <c r="AJ15" i="10"/>
  <c r="AK15" i="10"/>
  <c r="AL15" i="10"/>
  <c r="AM15" i="10"/>
  <c r="AN15" i="10"/>
  <c r="AO15" i="10"/>
  <c r="W16" i="10"/>
  <c r="X16" i="10"/>
  <c r="Y16" i="10"/>
  <c r="Z16" i="10"/>
  <c r="AA16" i="10"/>
  <c r="AB16" i="10"/>
  <c r="AC16" i="10"/>
  <c r="AD16" i="10"/>
  <c r="AE16" i="10"/>
  <c r="AF16" i="10"/>
  <c r="AG16" i="10"/>
  <c r="AH16" i="10"/>
  <c r="AI16" i="10"/>
  <c r="AJ16" i="10"/>
  <c r="AK16" i="10"/>
  <c r="AL16" i="10"/>
  <c r="AM16" i="10"/>
  <c r="AN16" i="10"/>
  <c r="AO16" i="10"/>
  <c r="W17" i="10"/>
  <c r="X17" i="10"/>
  <c r="Y17" i="10"/>
  <c r="Z17" i="10"/>
  <c r="AA17" i="10"/>
  <c r="AB17" i="10"/>
  <c r="AC17" i="10"/>
  <c r="AD17" i="10"/>
  <c r="AE17" i="10"/>
  <c r="AF17" i="10"/>
  <c r="AG17" i="10"/>
  <c r="AH17" i="10"/>
  <c r="AI17" i="10"/>
  <c r="AJ17" i="10"/>
  <c r="AK17" i="10"/>
  <c r="AL17" i="10"/>
  <c r="AM17" i="10"/>
  <c r="AN17" i="10"/>
  <c r="AO17" i="10"/>
  <c r="W18" i="10"/>
  <c r="X18" i="10"/>
  <c r="Y18" i="10"/>
  <c r="Z18" i="10"/>
  <c r="AA18" i="10"/>
  <c r="AB18" i="10"/>
  <c r="AC18" i="10"/>
  <c r="AD18" i="10"/>
  <c r="AE18" i="10"/>
  <c r="AF18" i="10"/>
  <c r="AG18" i="10"/>
  <c r="AH18" i="10"/>
  <c r="AI18" i="10"/>
  <c r="AJ18" i="10"/>
  <c r="AK18" i="10"/>
  <c r="AL18" i="10"/>
  <c r="AM18" i="10"/>
  <c r="AN18" i="10"/>
  <c r="AO18" i="10"/>
  <c r="W19" i="10"/>
  <c r="X19" i="10"/>
  <c r="Y19" i="10"/>
  <c r="Z19" i="10"/>
  <c r="AA19" i="10"/>
  <c r="AB19" i="10"/>
  <c r="AC19" i="10"/>
  <c r="AD19" i="10"/>
  <c r="AE19" i="10"/>
  <c r="AF19" i="10"/>
  <c r="AG19" i="10"/>
  <c r="AH19" i="10"/>
  <c r="AI19" i="10"/>
  <c r="AJ19" i="10"/>
  <c r="AK19" i="10"/>
  <c r="AL19" i="10"/>
  <c r="AM19" i="10"/>
  <c r="AN19" i="10"/>
  <c r="AO19" i="10"/>
  <c r="W20" i="10"/>
  <c r="X20" i="10"/>
  <c r="Y20" i="10"/>
  <c r="Z20" i="10"/>
  <c r="AA20" i="10"/>
  <c r="AB20" i="10"/>
  <c r="AC20" i="10"/>
  <c r="AD20" i="10"/>
  <c r="AE20" i="10"/>
  <c r="AF20" i="10"/>
  <c r="AG20" i="10"/>
  <c r="AH20" i="10"/>
  <c r="AI20" i="10"/>
  <c r="AJ20" i="10"/>
  <c r="AK20" i="10"/>
  <c r="AL20" i="10"/>
  <c r="AM20" i="10"/>
  <c r="AN20" i="10"/>
  <c r="AO20" i="10"/>
  <c r="AO6" i="10"/>
  <c r="X6" i="10"/>
  <c r="Y6" i="10"/>
  <c r="Z6" i="10"/>
  <c r="AA6" i="10"/>
  <c r="AB6" i="10"/>
  <c r="AC6" i="10"/>
  <c r="AD6" i="10"/>
  <c r="AE6" i="10"/>
  <c r="AF6" i="10"/>
  <c r="AG6" i="10"/>
  <c r="AH6" i="10"/>
  <c r="AI6" i="10"/>
  <c r="AJ6" i="10"/>
  <c r="AK6" i="10"/>
  <c r="AL6" i="10"/>
  <c r="AM6" i="10"/>
  <c r="AN6" i="10"/>
  <c r="W6" i="10"/>
  <c r="E70" i="17"/>
  <c r="E32" i="17"/>
  <c r="E124" i="17"/>
  <c r="D128" i="17"/>
  <c r="D120" i="17"/>
  <c r="D121" i="17"/>
  <c r="D122" i="17"/>
  <c r="D123" i="17"/>
  <c r="D124" i="17"/>
  <c r="D119" i="17"/>
  <c r="AM21" i="10" l="1"/>
  <c r="AI21" i="10"/>
  <c r="AE21" i="10"/>
  <c r="AA21" i="10"/>
  <c r="W21" i="10"/>
  <c r="AO21" i="10"/>
  <c r="AK21" i="10"/>
  <c r="AG21" i="10"/>
  <c r="AC21" i="10"/>
  <c r="Y21" i="10"/>
  <c r="AN21" i="10"/>
  <c r="AJ21" i="10"/>
  <c r="AF21" i="10"/>
  <c r="AB21" i="10"/>
  <c r="X21" i="10"/>
  <c r="AL21" i="10"/>
  <c r="AH21" i="10"/>
  <c r="AD21" i="10"/>
  <c r="Z21" i="10"/>
  <c r="AK215" i="17"/>
  <c r="AK214" i="17"/>
  <c r="AK213" i="17"/>
  <c r="AK211" i="17"/>
  <c r="AK210" i="17"/>
  <c r="AK209" i="17"/>
  <c r="AK207" i="17"/>
  <c r="AK206" i="17"/>
  <c r="AK205" i="17"/>
  <c r="AK203" i="17"/>
  <c r="AK201" i="17"/>
  <c r="AK199" i="17"/>
  <c r="AK198" i="17"/>
  <c r="AK196" i="17"/>
  <c r="AK195" i="17"/>
  <c r="AK194" i="17"/>
  <c r="AK193" i="17"/>
  <c r="AK192" i="17"/>
  <c r="AK191" i="17"/>
  <c r="AK189" i="17"/>
  <c r="AK188" i="17"/>
  <c r="AK187" i="17"/>
  <c r="AK186" i="17"/>
  <c r="AK185" i="17"/>
  <c r="AK184" i="17"/>
  <c r="AK183" i="17"/>
  <c r="AK182" i="17"/>
  <c r="AK181" i="17"/>
  <c r="AK180" i="17"/>
  <c r="AK179" i="17"/>
  <c r="AK178" i="17"/>
  <c r="AK176" i="17"/>
  <c r="AK175" i="17"/>
  <c r="AK174" i="17"/>
  <c r="AK173" i="17"/>
  <c r="AK172" i="17"/>
  <c r="AK171" i="17"/>
  <c r="AK170" i="17"/>
  <c r="AK169" i="17"/>
  <c r="AK168" i="17"/>
  <c r="AK167" i="17"/>
  <c r="AK166" i="17"/>
  <c r="AK165" i="17"/>
  <c r="AK164" i="17"/>
  <c r="AK163" i="17"/>
  <c r="AK162" i="17"/>
  <c r="AK161" i="17"/>
  <c r="AK160" i="17"/>
  <c r="AK159" i="17"/>
  <c r="AK158" i="17"/>
  <c r="AK157" i="17"/>
  <c r="AK156" i="17"/>
  <c r="AK155" i="17"/>
  <c r="AK154" i="17"/>
  <c r="AK153" i="17"/>
  <c r="AK152" i="17"/>
  <c r="AK151" i="17"/>
  <c r="AK150" i="17"/>
  <c r="AK149" i="17"/>
  <c r="AK148" i="17"/>
  <c r="AK146" i="17"/>
  <c r="AK145" i="17"/>
  <c r="AK144" i="17"/>
  <c r="AK142" i="17"/>
  <c r="AK141" i="17"/>
  <c r="AK140" i="17"/>
  <c r="AK138" i="17"/>
  <c r="AK137" i="17"/>
  <c r="AK136" i="17"/>
  <c r="AK135" i="17"/>
  <c r="AK133" i="17"/>
  <c r="AK132" i="17"/>
  <c r="AK130" i="17"/>
  <c r="AK128" i="17"/>
  <c r="AK127" i="17"/>
  <c r="AK126" i="17"/>
  <c r="AK124" i="17"/>
  <c r="AK123" i="17"/>
  <c r="AK122" i="17"/>
  <c r="AK121" i="17"/>
  <c r="AK120" i="17"/>
  <c r="AK119" i="17"/>
  <c r="AK118" i="17"/>
  <c r="AK117" i="17"/>
  <c r="AK115" i="17"/>
  <c r="AK114" i="17"/>
  <c r="AK113" i="17"/>
  <c r="AK111" i="17"/>
  <c r="AK110" i="17"/>
  <c r="AK109" i="17"/>
  <c r="AK107" i="17"/>
  <c r="AK106" i="17"/>
  <c r="AK105" i="17"/>
  <c r="AK104" i="17"/>
  <c r="AK103" i="17"/>
  <c r="AK101" i="17"/>
  <c r="AK100" i="17"/>
  <c r="AK99" i="17"/>
  <c r="AK98" i="17"/>
  <c r="AK97" i="17"/>
  <c r="AK95" i="17"/>
  <c r="AK93" i="17"/>
  <c r="AK92" i="17"/>
  <c r="AK91" i="17"/>
  <c r="AK90" i="17"/>
  <c r="AK89" i="17"/>
  <c r="AK87" i="17"/>
  <c r="AK86" i="17"/>
  <c r="AK85" i="17"/>
  <c r="AK84" i="17"/>
  <c r="AK83" i="17"/>
  <c r="AK82" i="17"/>
  <c r="AK81" i="17"/>
  <c r="AK80" i="17"/>
  <c r="AK79" i="17"/>
  <c r="AK78" i="17"/>
  <c r="AK77" i="17"/>
  <c r="AK76" i="17"/>
  <c r="AK75" i="17"/>
  <c r="AK74" i="17"/>
  <c r="AK73" i="17"/>
  <c r="AK72" i="17"/>
  <c r="AK70" i="17"/>
  <c r="AK69" i="17"/>
  <c r="AK68" i="17"/>
  <c r="AK67" i="17"/>
  <c r="AK66" i="17"/>
  <c r="AK65" i="17"/>
  <c r="AK64" i="17"/>
  <c r="AK62" i="17"/>
  <c r="AK61" i="17"/>
  <c r="AK60" i="17"/>
  <c r="AK59" i="17"/>
  <c r="AK58" i="17"/>
  <c r="AK57" i="17"/>
  <c r="AK56" i="17"/>
  <c r="AK55" i="17"/>
  <c r="AK54" i="17"/>
  <c r="AK53" i="17"/>
  <c r="AK52" i="17"/>
  <c r="AK51" i="17"/>
  <c r="AK50" i="17"/>
  <c r="AK49" i="17"/>
  <c r="AK48" i="17"/>
  <c r="AK47" i="17"/>
  <c r="AK46" i="17"/>
  <c r="AK44" i="17"/>
  <c r="AK43" i="17"/>
  <c r="AK42" i="17"/>
  <c r="AK41" i="17"/>
  <c r="AK40" i="17"/>
  <c r="AK39" i="17"/>
  <c r="AK38" i="17"/>
  <c r="AK37" i="17"/>
  <c r="AK35" i="17"/>
  <c r="AK34" i="17"/>
  <c r="AK33" i="17"/>
  <c r="AK32" i="17"/>
  <c r="AK31" i="17"/>
  <c r="AK30" i="17"/>
  <c r="AK29" i="17"/>
  <c r="AK28" i="17"/>
  <c r="AK27" i="17"/>
  <c r="AK26" i="17"/>
  <c r="AK24" i="17"/>
  <c r="AK23" i="17"/>
  <c r="AK22" i="17"/>
  <c r="AK21" i="17"/>
  <c r="AK20" i="17"/>
  <c r="AK19" i="17"/>
  <c r="AK18" i="17"/>
  <c r="AK17" i="17"/>
  <c r="AK16" i="17"/>
  <c r="AK15" i="17"/>
  <c r="AK14" i="17"/>
  <c r="AK13" i="17"/>
  <c r="AK12" i="17"/>
  <c r="AK11" i="17"/>
  <c r="AK10" i="17"/>
  <c r="AK9" i="17"/>
  <c r="AK8" i="17"/>
  <c r="AK7" i="17"/>
  <c r="AK6" i="17"/>
  <c r="H25" i="61" l="1"/>
  <c r="L63" i="19" l="1"/>
  <c r="L42" i="19"/>
  <c r="L145" i="19"/>
  <c r="L92" i="19"/>
  <c r="H11" i="66"/>
  <c r="J25" i="61"/>
  <c r="AK114" i="19"/>
  <c r="AJ114" i="19"/>
  <c r="AI114" i="19"/>
  <c r="AK113" i="19"/>
  <c r="AJ113" i="19"/>
  <c r="AI113" i="19"/>
  <c r="G30" i="14"/>
  <c r="G5" i="14"/>
  <c r="R111" i="17" l="1"/>
  <c r="R82" i="17"/>
  <c r="R78" i="17"/>
  <c r="F200" i="67"/>
  <c r="F199" i="67"/>
  <c r="F198" i="67"/>
  <c r="F197" i="67"/>
  <c r="F196" i="67"/>
  <c r="F195" i="67"/>
  <c r="F194" i="67"/>
  <c r="F193" i="67"/>
  <c r="F192" i="67"/>
  <c r="F191" i="67"/>
  <c r="F190" i="67"/>
  <c r="F189" i="67"/>
  <c r="F188"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2" i="67"/>
  <c r="F151" i="67"/>
  <c r="F150" i="67"/>
  <c r="F149" i="67"/>
  <c r="F148" i="67"/>
  <c r="F147" i="67"/>
  <c r="F146" i="67"/>
  <c r="F145" i="67"/>
  <c r="F144" i="67"/>
  <c r="F143" i="67"/>
  <c r="F142" i="67"/>
  <c r="F141" i="67"/>
  <c r="F140" i="67"/>
  <c r="F139" i="67"/>
  <c r="F138" i="67"/>
  <c r="F137" i="67"/>
  <c r="F136" i="67"/>
  <c r="F135" i="67"/>
  <c r="F134" i="67"/>
  <c r="BN132" i="67"/>
  <c r="F133" i="67"/>
  <c r="BN131" i="67"/>
  <c r="F132" i="67"/>
  <c r="F131" i="67"/>
  <c r="F130" i="67"/>
  <c r="F129" i="67"/>
  <c r="F128" i="67"/>
  <c r="BN126" i="67"/>
  <c r="F127" i="67"/>
  <c r="BN125" i="67"/>
  <c r="F126" i="67"/>
  <c r="F125" i="67"/>
  <c r="F124" i="67"/>
  <c r="F123" i="67"/>
  <c r="F122" i="67"/>
  <c r="F121" i="67"/>
  <c r="F120" i="67"/>
  <c r="F119" i="67"/>
  <c r="F118" i="67"/>
  <c r="F117" i="67"/>
  <c r="F116" i="67"/>
  <c r="F115" i="67"/>
  <c r="F114" i="67"/>
  <c r="F113" i="67"/>
  <c r="F112" i="67"/>
  <c r="F111" i="67"/>
  <c r="F110" i="67"/>
  <c r="F109" i="67"/>
  <c r="F108" i="67"/>
  <c r="F107" i="67"/>
  <c r="F106" i="67"/>
  <c r="BM104" i="67"/>
  <c r="BL104" i="67"/>
  <c r="F105" i="67"/>
  <c r="F104" i="67"/>
  <c r="F103" i="67"/>
  <c r="F102" i="67"/>
  <c r="BL100" i="67"/>
  <c r="F101" i="67"/>
  <c r="BL99" i="67"/>
  <c r="F100" i="67"/>
  <c r="F99" i="67"/>
  <c r="F98" i="67"/>
  <c r="F97" i="67"/>
  <c r="F96" i="67"/>
  <c r="F95" i="67"/>
  <c r="F94" i="67"/>
  <c r="F93" i="67"/>
  <c r="F92" i="67"/>
  <c r="F91" i="67"/>
  <c r="F90" i="67"/>
  <c r="F89" i="67"/>
  <c r="BL87" i="67"/>
  <c r="BK87" i="67"/>
  <c r="F88" i="67"/>
  <c r="F87" i="67"/>
  <c r="BL85" i="67"/>
  <c r="F86" i="67"/>
  <c r="BL84" i="67"/>
  <c r="F85" i="67"/>
  <c r="F84" i="67"/>
  <c r="F83" i="67"/>
  <c r="F82" i="67"/>
  <c r="F81" i="67"/>
  <c r="F80" i="67"/>
  <c r="F79" i="67"/>
  <c r="F78" i="67"/>
  <c r="F77" i="67"/>
  <c r="F76" i="67"/>
  <c r="F75" i="67"/>
  <c r="F74" i="67"/>
  <c r="F73" i="67"/>
  <c r="F72" i="67"/>
  <c r="F71" i="67"/>
  <c r="BL69"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8" i="67"/>
  <c r="F17" i="67"/>
  <c r="F16" i="67"/>
  <c r="F15" i="67"/>
  <c r="F14" i="67"/>
  <c r="F13" i="67"/>
  <c r="F12" i="67"/>
  <c r="F11" i="67"/>
  <c r="F10" i="67"/>
  <c r="F9" i="67"/>
  <c r="F8" i="67"/>
  <c r="G7" i="67"/>
  <c r="F7" i="67"/>
  <c r="G6" i="67"/>
  <c r="F6" i="67"/>
  <c r="AK103" i="19"/>
  <c r="AJ103" i="19"/>
  <c r="AI103" i="19"/>
  <c r="AK79" i="19"/>
  <c r="AJ79" i="19"/>
  <c r="AI79" i="19"/>
  <c r="F245" i="17"/>
  <c r="F244" i="17"/>
  <c r="F243" i="17"/>
  <c r="F242" i="17"/>
  <c r="F241" i="17"/>
  <c r="F240" i="17"/>
  <c r="F239" i="17"/>
  <c r="F238" i="17"/>
  <c r="F237" i="17"/>
  <c r="F236" i="17"/>
  <c r="F235" i="17"/>
  <c r="F234" i="17"/>
  <c r="F233" i="17"/>
  <c r="F232" i="17"/>
  <c r="F231" i="17"/>
  <c r="F230" i="17"/>
  <c r="F247" i="17" s="1"/>
  <c r="D224" i="17"/>
  <c r="E224" i="17" s="1"/>
  <c r="D223" i="17"/>
  <c r="D222" i="17"/>
  <c r="D221" i="17"/>
  <c r="E221" i="17" s="1"/>
  <c r="D220" i="17"/>
  <c r="D219" i="17"/>
  <c r="AN215" i="17"/>
  <c r="K215" i="17"/>
  <c r="J215" i="17"/>
  <c r="E215" i="17"/>
  <c r="AM215" i="17" s="1"/>
  <c r="D215" i="17"/>
  <c r="AL215" i="17" s="1"/>
  <c r="AN214" i="17"/>
  <c r="K214" i="17"/>
  <c r="J214" i="17"/>
  <c r="E214" i="17"/>
  <c r="AM214" i="17" s="1"/>
  <c r="D214" i="17"/>
  <c r="AL214" i="17" s="1"/>
  <c r="AN213" i="17"/>
  <c r="AM213" i="17"/>
  <c r="K213" i="17"/>
  <c r="J213" i="17"/>
  <c r="E213" i="17"/>
  <c r="D213" i="17"/>
  <c r="AL213" i="17" s="1"/>
  <c r="AJ212" i="17"/>
  <c r="AI212" i="17"/>
  <c r="AH212" i="17"/>
  <c r="AG212" i="17"/>
  <c r="AN211" i="17"/>
  <c r="AM211" i="17"/>
  <c r="K211" i="17"/>
  <c r="J211" i="17"/>
  <c r="E211" i="17"/>
  <c r="D211" i="17"/>
  <c r="AL211" i="17" s="1"/>
  <c r="AN210" i="17"/>
  <c r="AM210" i="17"/>
  <c r="K210" i="17"/>
  <c r="J210" i="17"/>
  <c r="E210" i="17"/>
  <c r="D210" i="17"/>
  <c r="AL210" i="17" s="1"/>
  <c r="AN209" i="17"/>
  <c r="AM209" i="17"/>
  <c r="K209" i="17"/>
  <c r="J209" i="17"/>
  <c r="E209" i="17"/>
  <c r="D209" i="17"/>
  <c r="AL209" i="17" s="1"/>
  <c r="AJ208" i="17"/>
  <c r="AI208" i="17"/>
  <c r="AH208" i="17"/>
  <c r="AG208" i="17"/>
  <c r="AN207" i="17"/>
  <c r="AM207" i="17"/>
  <c r="K207" i="17"/>
  <c r="J207" i="17"/>
  <c r="E207" i="17"/>
  <c r="D207" i="17"/>
  <c r="AL207" i="17" s="1"/>
  <c r="AN206" i="17"/>
  <c r="AM206" i="17"/>
  <c r="K206" i="17"/>
  <c r="J206" i="17"/>
  <c r="E206" i="17"/>
  <c r="D206" i="17"/>
  <c r="AL206" i="17" s="1"/>
  <c r="AN205" i="17"/>
  <c r="AM205" i="17"/>
  <c r="K205" i="17"/>
  <c r="J205" i="17"/>
  <c r="E205" i="17"/>
  <c r="D205" i="17"/>
  <c r="AL205" i="17" s="1"/>
  <c r="AN203" i="17"/>
  <c r="AM203" i="17"/>
  <c r="K203" i="17"/>
  <c r="J203" i="17"/>
  <c r="E203" i="17"/>
  <c r="D203" i="17"/>
  <c r="AL203" i="17" s="1"/>
  <c r="AN201" i="17"/>
  <c r="AM201" i="17"/>
  <c r="K201" i="17"/>
  <c r="J201" i="17"/>
  <c r="E201" i="17"/>
  <c r="D201" i="17"/>
  <c r="AL201" i="17" s="1"/>
  <c r="AN199" i="17"/>
  <c r="AM199" i="17"/>
  <c r="K199" i="17"/>
  <c r="J199" i="17"/>
  <c r="E199" i="17"/>
  <c r="D199" i="17"/>
  <c r="AL199" i="17" s="1"/>
  <c r="AN198" i="17"/>
  <c r="AM198" i="17"/>
  <c r="K198" i="17"/>
  <c r="J198" i="17"/>
  <c r="E198" i="17"/>
  <c r="D198" i="17"/>
  <c r="AL198" i="17" s="1"/>
  <c r="AN196" i="17"/>
  <c r="AM196" i="17"/>
  <c r="K196" i="17"/>
  <c r="J196" i="17"/>
  <c r="E196" i="17"/>
  <c r="D196" i="17"/>
  <c r="AL196" i="17" s="1"/>
  <c r="AN195" i="17"/>
  <c r="AM195" i="17"/>
  <c r="K195" i="17"/>
  <c r="J195" i="17"/>
  <c r="E195" i="17"/>
  <c r="D195" i="17"/>
  <c r="AL195" i="17" s="1"/>
  <c r="AN194" i="17"/>
  <c r="AM194" i="17"/>
  <c r="K194" i="17"/>
  <c r="J194" i="17"/>
  <c r="E194" i="17"/>
  <c r="D194" i="17"/>
  <c r="AL194" i="17" s="1"/>
  <c r="AN193" i="17"/>
  <c r="AM193" i="17"/>
  <c r="K193" i="17"/>
  <c r="J193" i="17"/>
  <c r="E193" i="17"/>
  <c r="D193" i="17"/>
  <c r="AL193" i="17" s="1"/>
  <c r="AN192" i="17"/>
  <c r="AM192" i="17"/>
  <c r="K192" i="17"/>
  <c r="J192" i="17"/>
  <c r="E192" i="17"/>
  <c r="D192" i="17"/>
  <c r="AL192" i="17" s="1"/>
  <c r="AN191" i="17"/>
  <c r="AM191" i="17"/>
  <c r="K191" i="17"/>
  <c r="J191" i="17"/>
  <c r="E191" i="17"/>
  <c r="D191" i="17"/>
  <c r="AL191" i="17" s="1"/>
  <c r="AN189" i="17"/>
  <c r="AM189" i="17"/>
  <c r="K189" i="17"/>
  <c r="J189" i="17"/>
  <c r="E189" i="17"/>
  <c r="D189" i="17"/>
  <c r="AL189" i="17" s="1"/>
  <c r="AN188" i="17"/>
  <c r="AM188" i="17"/>
  <c r="K188" i="17"/>
  <c r="J188" i="17"/>
  <c r="E188" i="17"/>
  <c r="D188" i="17"/>
  <c r="AL188" i="17" s="1"/>
  <c r="AN187" i="17"/>
  <c r="AM187" i="17"/>
  <c r="K187" i="17"/>
  <c r="J187" i="17"/>
  <c r="E187" i="17"/>
  <c r="D187" i="17"/>
  <c r="AL187" i="17" s="1"/>
  <c r="AN186" i="17"/>
  <c r="AM186" i="17"/>
  <c r="K186" i="17"/>
  <c r="J186" i="17"/>
  <c r="E186" i="17"/>
  <c r="D186" i="17"/>
  <c r="AL186" i="17" s="1"/>
  <c r="AN185" i="17"/>
  <c r="AM185" i="17"/>
  <c r="K185" i="17"/>
  <c r="J185" i="17"/>
  <c r="E185" i="17"/>
  <c r="D185" i="17"/>
  <c r="AL185" i="17" s="1"/>
  <c r="AN184" i="17"/>
  <c r="AM184" i="17"/>
  <c r="K184" i="17"/>
  <c r="J184" i="17"/>
  <c r="E184" i="17"/>
  <c r="D184" i="17"/>
  <c r="AL184" i="17" s="1"/>
  <c r="AN183" i="17"/>
  <c r="AM183" i="17"/>
  <c r="K183" i="17"/>
  <c r="J183" i="17"/>
  <c r="E183" i="17"/>
  <c r="D183" i="17"/>
  <c r="AL183" i="17" s="1"/>
  <c r="AN182" i="17"/>
  <c r="AM182" i="17"/>
  <c r="K182" i="17"/>
  <c r="J182" i="17"/>
  <c r="E182" i="17"/>
  <c r="D182" i="17"/>
  <c r="AL182" i="17" s="1"/>
  <c r="AN181" i="17"/>
  <c r="AM181" i="17"/>
  <c r="K181" i="17"/>
  <c r="J181" i="17"/>
  <c r="E181" i="17"/>
  <c r="D181" i="17"/>
  <c r="AL181" i="17" s="1"/>
  <c r="AN180" i="17"/>
  <c r="AM180" i="17"/>
  <c r="K180" i="17"/>
  <c r="J180" i="17"/>
  <c r="E180" i="17"/>
  <c r="D180" i="17"/>
  <c r="AL180" i="17" s="1"/>
  <c r="AN179" i="17"/>
  <c r="AM179" i="17"/>
  <c r="K179" i="17"/>
  <c r="J179" i="17"/>
  <c r="E179" i="17"/>
  <c r="D179" i="17"/>
  <c r="AL179" i="17" s="1"/>
  <c r="AN178" i="17"/>
  <c r="AM178" i="17"/>
  <c r="K178" i="17"/>
  <c r="J178" i="17"/>
  <c r="E178" i="17"/>
  <c r="D178" i="17"/>
  <c r="AL178" i="17" s="1"/>
  <c r="AN176" i="17"/>
  <c r="AM176" i="17"/>
  <c r="K176" i="17"/>
  <c r="J176" i="17"/>
  <c r="E176" i="17"/>
  <c r="D176" i="17"/>
  <c r="AL176" i="17" s="1"/>
  <c r="AN175" i="17"/>
  <c r="M175" i="17"/>
  <c r="K175" i="17"/>
  <c r="J175" i="17"/>
  <c r="E175" i="17"/>
  <c r="AM175" i="17" s="1"/>
  <c r="D175" i="17"/>
  <c r="AL175" i="17" s="1"/>
  <c r="AN174" i="17"/>
  <c r="K174" i="17"/>
  <c r="J174" i="17"/>
  <c r="E174" i="17"/>
  <c r="AM174" i="17" s="1"/>
  <c r="D174" i="17"/>
  <c r="AL174" i="17" s="1"/>
  <c r="AN173" i="17"/>
  <c r="K173" i="17"/>
  <c r="J173" i="17"/>
  <c r="E173" i="17"/>
  <c r="AM173" i="17" s="1"/>
  <c r="D173" i="17"/>
  <c r="AL173" i="17" s="1"/>
  <c r="AN172" i="17"/>
  <c r="K172" i="17"/>
  <c r="J172" i="17"/>
  <c r="E172" i="17"/>
  <c r="AM172" i="17" s="1"/>
  <c r="D172" i="17"/>
  <c r="AL172" i="17" s="1"/>
  <c r="AN171" i="17"/>
  <c r="K171" i="17"/>
  <c r="J171" i="17"/>
  <c r="E171" i="17"/>
  <c r="AM171" i="17" s="1"/>
  <c r="D171" i="17"/>
  <c r="AL171" i="17" s="1"/>
  <c r="AN170" i="17"/>
  <c r="K170" i="17"/>
  <c r="J170" i="17"/>
  <c r="E170" i="17"/>
  <c r="AM170" i="17" s="1"/>
  <c r="D170" i="17"/>
  <c r="AL170" i="17" s="1"/>
  <c r="AN169" i="17"/>
  <c r="K169" i="17"/>
  <c r="J169" i="17"/>
  <c r="E169" i="17"/>
  <c r="AM169" i="17" s="1"/>
  <c r="D169" i="17"/>
  <c r="AL169" i="17" s="1"/>
  <c r="AN168" i="17"/>
  <c r="K168" i="17"/>
  <c r="J168" i="17"/>
  <c r="E168" i="17"/>
  <c r="AM168" i="17" s="1"/>
  <c r="D168" i="17"/>
  <c r="AL168" i="17" s="1"/>
  <c r="AN167" i="17"/>
  <c r="K167" i="17"/>
  <c r="J167" i="17"/>
  <c r="E167" i="17"/>
  <c r="AM167" i="17" s="1"/>
  <c r="D167" i="17"/>
  <c r="AL167" i="17" s="1"/>
  <c r="AN166" i="17"/>
  <c r="K166" i="17"/>
  <c r="J166" i="17"/>
  <c r="E166" i="17"/>
  <c r="AM166" i="17" s="1"/>
  <c r="D166" i="17"/>
  <c r="AL166" i="17" s="1"/>
  <c r="AN165" i="17"/>
  <c r="K165" i="17"/>
  <c r="J165" i="17"/>
  <c r="E165" i="17"/>
  <c r="AM165" i="17" s="1"/>
  <c r="D165" i="17"/>
  <c r="AL165" i="17" s="1"/>
  <c r="AN164" i="17"/>
  <c r="K164" i="17"/>
  <c r="J164" i="17"/>
  <c r="E164" i="17"/>
  <c r="AM164" i="17" s="1"/>
  <c r="D164" i="17"/>
  <c r="AL164" i="17" s="1"/>
  <c r="AN163" i="17"/>
  <c r="K163" i="17"/>
  <c r="J163" i="17"/>
  <c r="E163" i="17"/>
  <c r="AM163" i="17" s="1"/>
  <c r="D163" i="17"/>
  <c r="AL163" i="17" s="1"/>
  <c r="AN162" i="17"/>
  <c r="K162" i="17"/>
  <c r="J162" i="17"/>
  <c r="E162" i="17"/>
  <c r="AM162" i="17" s="1"/>
  <c r="D162" i="17"/>
  <c r="AL162" i="17" s="1"/>
  <c r="AN161" i="17"/>
  <c r="K161" i="17"/>
  <c r="J161" i="17"/>
  <c r="E161" i="17"/>
  <c r="AM161" i="17" s="1"/>
  <c r="D161" i="17"/>
  <c r="AL161" i="17" s="1"/>
  <c r="AN160" i="17"/>
  <c r="K160" i="17"/>
  <c r="J160" i="17"/>
  <c r="E160" i="17"/>
  <c r="AM160" i="17" s="1"/>
  <c r="D160" i="17"/>
  <c r="AL160" i="17" s="1"/>
  <c r="AN159" i="17"/>
  <c r="K159" i="17"/>
  <c r="J159" i="17"/>
  <c r="E159" i="17"/>
  <c r="AM159" i="17" s="1"/>
  <c r="D159" i="17"/>
  <c r="AL159" i="17" s="1"/>
  <c r="AN158" i="17"/>
  <c r="K158" i="17"/>
  <c r="J158" i="17"/>
  <c r="E158" i="17"/>
  <c r="AM158" i="17" s="1"/>
  <c r="D158" i="17"/>
  <c r="AL158" i="17" s="1"/>
  <c r="AN157" i="17"/>
  <c r="K157" i="17"/>
  <c r="J157" i="17"/>
  <c r="E157" i="17"/>
  <c r="AM157" i="17" s="1"/>
  <c r="D157" i="17"/>
  <c r="AL157" i="17" s="1"/>
  <c r="AN156" i="17"/>
  <c r="K156" i="17"/>
  <c r="J156" i="17"/>
  <c r="E156" i="17"/>
  <c r="AM156" i="17" s="1"/>
  <c r="D156" i="17"/>
  <c r="AL156" i="17" s="1"/>
  <c r="AN155" i="17"/>
  <c r="K155" i="17"/>
  <c r="J155" i="17"/>
  <c r="E155" i="17"/>
  <c r="AM155" i="17" s="1"/>
  <c r="D155" i="17"/>
  <c r="AL155" i="17" s="1"/>
  <c r="AN154" i="17"/>
  <c r="K154" i="17"/>
  <c r="J154" i="17"/>
  <c r="E154" i="17"/>
  <c r="AM154" i="17" s="1"/>
  <c r="D154" i="17"/>
  <c r="AL154" i="17" s="1"/>
  <c r="AN153" i="17"/>
  <c r="K153" i="17"/>
  <c r="J153" i="17"/>
  <c r="E153" i="17"/>
  <c r="AM153" i="17" s="1"/>
  <c r="D153" i="17"/>
  <c r="AL153" i="17" s="1"/>
  <c r="AN152" i="17"/>
  <c r="K152" i="17"/>
  <c r="J152" i="17"/>
  <c r="E152" i="17"/>
  <c r="AM152" i="17" s="1"/>
  <c r="D152" i="17"/>
  <c r="AL152" i="17" s="1"/>
  <c r="AN151" i="17"/>
  <c r="K151" i="17"/>
  <c r="J151" i="17"/>
  <c r="E151" i="17"/>
  <c r="AM151" i="17" s="1"/>
  <c r="D151" i="17"/>
  <c r="AL151" i="17" s="1"/>
  <c r="AN150" i="17"/>
  <c r="K150" i="17"/>
  <c r="J150" i="17"/>
  <c r="E150" i="17"/>
  <c r="AM150" i="17" s="1"/>
  <c r="D150" i="17"/>
  <c r="AL150" i="17" s="1"/>
  <c r="AN149" i="17"/>
  <c r="K149" i="17"/>
  <c r="J149" i="17"/>
  <c r="E149" i="17"/>
  <c r="AM149" i="17" s="1"/>
  <c r="D149" i="17"/>
  <c r="AL149" i="17" s="1"/>
  <c r="AN148" i="17"/>
  <c r="K148" i="17"/>
  <c r="J148" i="17"/>
  <c r="E148" i="17"/>
  <c r="AM148" i="17" s="1"/>
  <c r="D148" i="17"/>
  <c r="AL148" i="17" s="1"/>
  <c r="AN146" i="17"/>
  <c r="K146" i="17"/>
  <c r="J146" i="17"/>
  <c r="E146" i="17"/>
  <c r="AM146" i="17" s="1"/>
  <c r="D146" i="17" a="1"/>
  <c r="D146" i="17" s="1"/>
  <c r="AL146" i="17" s="1"/>
  <c r="AN145" i="17"/>
  <c r="K145" i="17"/>
  <c r="J145" i="17"/>
  <c r="E145" i="17"/>
  <c r="AM145" i="17" s="1"/>
  <c r="D145" i="17" a="1"/>
  <c r="D145" i="17" s="1"/>
  <c r="AL145" i="17" s="1"/>
  <c r="AN144" i="17"/>
  <c r="K144" i="17"/>
  <c r="J144" i="17"/>
  <c r="E144" i="17"/>
  <c r="AM144" i="17" s="1"/>
  <c r="D144" i="17"/>
  <c r="AL144" i="17" s="1"/>
  <c r="AN142" i="17"/>
  <c r="K142" i="17"/>
  <c r="J142" i="17"/>
  <c r="E142" i="17"/>
  <c r="AM142" i="17" s="1"/>
  <c r="D142" i="17"/>
  <c r="AL142" i="17" s="1"/>
  <c r="AN141" i="17"/>
  <c r="K141" i="17"/>
  <c r="J141" i="17"/>
  <c r="E141" i="17"/>
  <c r="AM141" i="17" s="1"/>
  <c r="D141" i="17"/>
  <c r="AL141" i="17" s="1"/>
  <c r="AN140" i="17"/>
  <c r="K140" i="17"/>
  <c r="J140" i="17"/>
  <c r="E140" i="17"/>
  <c r="AM140" i="17" s="1"/>
  <c r="D140" i="17"/>
  <c r="AL140" i="17" s="1"/>
  <c r="AN138" i="17"/>
  <c r="K138" i="17"/>
  <c r="J138" i="17"/>
  <c r="E138" i="17"/>
  <c r="AM138" i="17" s="1"/>
  <c r="D138" i="17"/>
  <c r="AL138" i="17" s="1"/>
  <c r="AN137" i="17"/>
  <c r="K137" i="17"/>
  <c r="J137" i="17"/>
  <c r="E137" i="17"/>
  <c r="AM137" i="17" s="1"/>
  <c r="D137" i="17"/>
  <c r="AL137" i="17" s="1"/>
  <c r="AN136" i="17"/>
  <c r="K136" i="17"/>
  <c r="J136" i="17"/>
  <c r="E136" i="17"/>
  <c r="AM136" i="17" s="1"/>
  <c r="D136" i="17"/>
  <c r="AL136" i="17" s="1"/>
  <c r="AN135" i="17"/>
  <c r="K135" i="17"/>
  <c r="J135" i="17"/>
  <c r="E135" i="17"/>
  <c r="AM135" i="17" s="1"/>
  <c r="D135" i="17"/>
  <c r="AL135" i="17" s="1"/>
  <c r="AN133" i="17"/>
  <c r="K133" i="17"/>
  <c r="J133" i="17"/>
  <c r="E133" i="17"/>
  <c r="AM133" i="17" s="1"/>
  <c r="D133" i="17"/>
  <c r="AL133" i="17" s="1"/>
  <c r="AN132" i="17"/>
  <c r="K132" i="17"/>
  <c r="J132" i="17"/>
  <c r="E132" i="17"/>
  <c r="AM132" i="17" s="1"/>
  <c r="D132" i="17"/>
  <c r="AL132" i="17" s="1"/>
  <c r="AN130" i="17"/>
  <c r="K130" i="17"/>
  <c r="J130" i="17"/>
  <c r="E130" i="17"/>
  <c r="AM130" i="17" s="1"/>
  <c r="D130" i="17"/>
  <c r="AL130" i="17" s="1"/>
  <c r="AN128" i="17"/>
  <c r="K128" i="17"/>
  <c r="J128" i="17"/>
  <c r="E128" i="17"/>
  <c r="AM128" i="17" s="1"/>
  <c r="AL128" i="17"/>
  <c r="AN127" i="17"/>
  <c r="K127" i="17"/>
  <c r="J127" i="17"/>
  <c r="E127" i="17"/>
  <c r="AM127" i="17" s="1"/>
  <c r="D127" i="17"/>
  <c r="AL127" i="17" s="1"/>
  <c r="AN126" i="17"/>
  <c r="K126" i="17"/>
  <c r="J126" i="17"/>
  <c r="E126" i="17"/>
  <c r="AM126" i="17" s="1"/>
  <c r="D126" i="17"/>
  <c r="AL126" i="17" s="1"/>
  <c r="AN124" i="17"/>
  <c r="AM124" i="17"/>
  <c r="K124" i="17"/>
  <c r="J124" i="17"/>
  <c r="AL124" i="17"/>
  <c r="AN123" i="17"/>
  <c r="K123" i="17"/>
  <c r="J123" i="17"/>
  <c r="E123" i="17"/>
  <c r="AM123" i="17" s="1"/>
  <c r="AL123" i="17"/>
  <c r="AN122" i="17"/>
  <c r="K122" i="17"/>
  <c r="J122" i="17"/>
  <c r="E122" i="17"/>
  <c r="AM122" i="17" s="1"/>
  <c r="AL122" i="17"/>
  <c r="AN121" i="17"/>
  <c r="K121" i="17"/>
  <c r="J121" i="17"/>
  <c r="E121" i="17"/>
  <c r="AM121" i="17" s="1"/>
  <c r="AL121" i="17"/>
  <c r="AN120" i="17"/>
  <c r="K120" i="17"/>
  <c r="J120" i="17"/>
  <c r="E120" i="17"/>
  <c r="AM120" i="17" s="1"/>
  <c r="AL120" i="17"/>
  <c r="AN119" i="17"/>
  <c r="K119" i="17"/>
  <c r="J119" i="17"/>
  <c r="E119" i="17"/>
  <c r="AM119" i="17" s="1"/>
  <c r="AL119" i="17"/>
  <c r="AN118" i="17"/>
  <c r="K118" i="17"/>
  <c r="J118" i="17"/>
  <c r="E118" i="17"/>
  <c r="AM118" i="17" s="1"/>
  <c r="D118" i="17"/>
  <c r="AL118" i="17" s="1"/>
  <c r="AN117" i="17"/>
  <c r="K117" i="17"/>
  <c r="J117" i="17"/>
  <c r="E117" i="17"/>
  <c r="AM117" i="17" s="1"/>
  <c r="D117" i="17"/>
  <c r="AL117" i="17" s="1"/>
  <c r="AN115" i="17"/>
  <c r="K115" i="17"/>
  <c r="J115" i="17"/>
  <c r="E115" i="17"/>
  <c r="AM115" i="17" s="1"/>
  <c r="D115" i="17"/>
  <c r="AL115" i="17" s="1"/>
  <c r="AN114" i="17"/>
  <c r="K114" i="17"/>
  <c r="J114" i="17"/>
  <c r="E114" i="17"/>
  <c r="AM114" i="17" s="1"/>
  <c r="D114" i="17"/>
  <c r="AL114" i="17" s="1"/>
  <c r="AN113" i="17"/>
  <c r="K113" i="17"/>
  <c r="J113" i="17"/>
  <c r="E113" i="17"/>
  <c r="AM113" i="17" s="1"/>
  <c r="D113" i="17"/>
  <c r="AL113" i="17" s="1"/>
  <c r="AN111" i="17"/>
  <c r="K111" i="17"/>
  <c r="J111" i="17"/>
  <c r="E111" i="17"/>
  <c r="AM111" i="17" s="1"/>
  <c r="D111" i="17"/>
  <c r="AL111" i="17" s="1"/>
  <c r="AN110" i="17"/>
  <c r="K110" i="17"/>
  <c r="J110" i="17"/>
  <c r="E110" i="17"/>
  <c r="AM110" i="17" s="1"/>
  <c r="D110" i="17"/>
  <c r="AL110" i="17" s="1"/>
  <c r="AN109" i="17"/>
  <c r="K109" i="17"/>
  <c r="J109" i="17"/>
  <c r="E109" i="17"/>
  <c r="AM109" i="17" s="1"/>
  <c r="D109" i="17"/>
  <c r="AL109" i="17" s="1"/>
  <c r="AN107" i="17"/>
  <c r="K107" i="17"/>
  <c r="J107" i="17"/>
  <c r="E107" i="17"/>
  <c r="AM107" i="17" s="1"/>
  <c r="D107" i="17"/>
  <c r="AL107" i="17" s="1"/>
  <c r="AN106" i="17"/>
  <c r="K106" i="17"/>
  <c r="J106" i="17"/>
  <c r="E106" i="17"/>
  <c r="AM106" i="17" s="1"/>
  <c r="D106" i="17"/>
  <c r="AL106" i="17" s="1"/>
  <c r="AN105" i="17"/>
  <c r="K105" i="17"/>
  <c r="J105" i="17"/>
  <c r="E105" i="17"/>
  <c r="AM105" i="17" s="1"/>
  <c r="D105" i="17"/>
  <c r="AL105" i="17" s="1"/>
  <c r="AN104" i="17"/>
  <c r="K104" i="17"/>
  <c r="J104" i="17"/>
  <c r="E104" i="17"/>
  <c r="AM104" i="17" s="1"/>
  <c r="D104" i="17"/>
  <c r="AL104" i="17" s="1"/>
  <c r="AN103" i="17"/>
  <c r="K103" i="17"/>
  <c r="J103" i="17"/>
  <c r="E103" i="17"/>
  <c r="AM103" i="17" s="1"/>
  <c r="D103" i="17"/>
  <c r="AL103" i="17" s="1"/>
  <c r="AN101" i="17"/>
  <c r="K101" i="17"/>
  <c r="J101" i="17"/>
  <c r="E101" i="17"/>
  <c r="AM101" i="17" s="1"/>
  <c r="D101" i="17"/>
  <c r="AL101" i="17" s="1"/>
  <c r="AN100" i="17"/>
  <c r="K100" i="17"/>
  <c r="J100" i="17"/>
  <c r="E100" i="17"/>
  <c r="AM100" i="17" s="1"/>
  <c r="D100" i="17"/>
  <c r="AL100" i="17" s="1"/>
  <c r="AN99" i="17"/>
  <c r="K99" i="17"/>
  <c r="J99" i="17"/>
  <c r="E99" i="17"/>
  <c r="AM99" i="17" s="1"/>
  <c r="D99" i="17"/>
  <c r="AL99" i="17" s="1"/>
  <c r="AN98" i="17"/>
  <c r="K98" i="17"/>
  <c r="J98" i="17"/>
  <c r="E98" i="17"/>
  <c r="AM98" i="17" s="1"/>
  <c r="D98" i="17"/>
  <c r="AL98" i="17" s="1"/>
  <c r="AN97" i="17"/>
  <c r="K97" i="17"/>
  <c r="J97" i="17"/>
  <c r="E97" i="17"/>
  <c r="AM97" i="17" s="1"/>
  <c r="D97" i="17"/>
  <c r="AL97" i="17" s="1"/>
  <c r="AN95" i="17"/>
  <c r="AM95" i="17"/>
  <c r="K95" i="17"/>
  <c r="J95" i="17"/>
  <c r="D95" i="17"/>
  <c r="AL95" i="17" s="1"/>
  <c r="AN93" i="17"/>
  <c r="K93" i="17"/>
  <c r="J93" i="17"/>
  <c r="E93" i="17"/>
  <c r="AM93" i="17" s="1"/>
  <c r="D93" i="17"/>
  <c r="AL93" i="17" s="1"/>
  <c r="AN92" i="17"/>
  <c r="K92" i="17"/>
  <c r="J92" i="17"/>
  <c r="E92" i="17"/>
  <c r="AM92" i="17" s="1"/>
  <c r="D92" i="17"/>
  <c r="AL92" i="17" s="1"/>
  <c r="AN91" i="17"/>
  <c r="K91" i="17"/>
  <c r="J91" i="17"/>
  <c r="E91" i="17"/>
  <c r="AM91" i="17" s="1"/>
  <c r="D91" i="17"/>
  <c r="AL91" i="17" s="1"/>
  <c r="AN90" i="17"/>
  <c r="K90" i="17"/>
  <c r="J90" i="17"/>
  <c r="E90" i="17"/>
  <c r="AM90" i="17" s="1"/>
  <c r="D90" i="17"/>
  <c r="AL90" i="17" s="1"/>
  <c r="AN89" i="17"/>
  <c r="K89" i="17"/>
  <c r="J89" i="17"/>
  <c r="E89" i="17"/>
  <c r="AM89" i="17" s="1"/>
  <c r="D89" i="17"/>
  <c r="AL89" i="17" s="1"/>
  <c r="AN87" i="17"/>
  <c r="K87" i="17"/>
  <c r="J87" i="17"/>
  <c r="E87" i="17"/>
  <c r="AM87" i="17" s="1"/>
  <c r="D87" i="17"/>
  <c r="AL87" i="17" s="1"/>
  <c r="AN86" i="17"/>
  <c r="K86" i="17"/>
  <c r="J86" i="17"/>
  <c r="E86" i="17"/>
  <c r="AM86" i="17" s="1"/>
  <c r="D86" i="17"/>
  <c r="AL86" i="17" s="1"/>
  <c r="AN85" i="17"/>
  <c r="K85" i="17"/>
  <c r="J85" i="17"/>
  <c r="E85" i="17"/>
  <c r="AM85" i="17" s="1"/>
  <c r="D85" i="17"/>
  <c r="AL85" i="17" s="1"/>
  <c r="AN84" i="17"/>
  <c r="K84" i="17"/>
  <c r="J84" i="17"/>
  <c r="E84" i="17"/>
  <c r="AM84" i="17" s="1"/>
  <c r="D84" i="17"/>
  <c r="AL84" i="17" s="1"/>
  <c r="AN83" i="17"/>
  <c r="K83" i="17"/>
  <c r="J83" i="17"/>
  <c r="E83" i="17"/>
  <c r="AM83" i="17" s="1"/>
  <c r="D83" i="17"/>
  <c r="AL83" i="17" s="1"/>
  <c r="AN82" i="17"/>
  <c r="K82" i="17"/>
  <c r="J82" i="17"/>
  <c r="E82" i="17"/>
  <c r="AM82" i="17" s="1"/>
  <c r="D82" i="17" a="1"/>
  <c r="D82" i="17" s="1"/>
  <c r="AL82" i="17" s="1"/>
  <c r="AN81" i="17"/>
  <c r="K81" i="17"/>
  <c r="J81" i="17"/>
  <c r="E81" i="17"/>
  <c r="AM81" i="17" s="1"/>
  <c r="D81" i="17" a="1"/>
  <c r="D81" i="17" s="1"/>
  <c r="AL81" i="17" s="1"/>
  <c r="AN80" i="17"/>
  <c r="K80" i="17"/>
  <c r="J80" i="17"/>
  <c r="E80" i="17"/>
  <c r="AM80" i="17" s="1"/>
  <c r="D80" i="17" a="1"/>
  <c r="D80" i="17" s="1"/>
  <c r="AL80" i="17" s="1"/>
  <c r="AN79" i="17"/>
  <c r="K79" i="17"/>
  <c r="J79" i="17"/>
  <c r="E79" i="17"/>
  <c r="AM79" i="17" s="1"/>
  <c r="D79" i="17"/>
  <c r="AL79" i="17" s="1"/>
  <c r="AN78" i="17"/>
  <c r="K78" i="17"/>
  <c r="J78" i="17"/>
  <c r="E78" i="17"/>
  <c r="AM78" i="17" s="1"/>
  <c r="D78" i="17"/>
  <c r="AL78" i="17" s="1"/>
  <c r="AN77" i="17"/>
  <c r="K77" i="17"/>
  <c r="J77" i="17"/>
  <c r="E77" i="17"/>
  <c r="AM77" i="17" s="1"/>
  <c r="D77" i="17"/>
  <c r="AL77" i="17" s="1"/>
  <c r="AN76" i="17"/>
  <c r="K76" i="17"/>
  <c r="J76" i="17"/>
  <c r="E76" i="17"/>
  <c r="AM76" i="17" s="1"/>
  <c r="D76" i="17"/>
  <c r="AL76" i="17" s="1"/>
  <c r="AN75" i="17"/>
  <c r="K75" i="17"/>
  <c r="J75" i="17"/>
  <c r="E75" i="17"/>
  <c r="AM75" i="17" s="1"/>
  <c r="D75" i="17"/>
  <c r="AL75" i="17" s="1"/>
  <c r="AN74" i="17"/>
  <c r="K74" i="17"/>
  <c r="J74" i="17"/>
  <c r="E74" i="17"/>
  <c r="AM74" i="17" s="1"/>
  <c r="D74" i="17"/>
  <c r="AL74" i="17" s="1"/>
  <c r="AN73" i="17"/>
  <c r="K73" i="17"/>
  <c r="J73" i="17"/>
  <c r="E73" i="17"/>
  <c r="AM73" i="17" s="1"/>
  <c r="D73" i="17"/>
  <c r="AL73" i="17" s="1"/>
  <c r="AN72" i="17"/>
  <c r="K72" i="17"/>
  <c r="J72" i="17"/>
  <c r="E72" i="17"/>
  <c r="AM72" i="17" s="1"/>
  <c r="D72" i="17"/>
  <c r="AL72" i="17" s="1"/>
  <c r="AN70" i="17"/>
  <c r="K70" i="17"/>
  <c r="J70" i="17"/>
  <c r="AM70" i="17"/>
  <c r="D70" i="17"/>
  <c r="AL70" i="17" s="1"/>
  <c r="AN69" i="17"/>
  <c r="K69" i="17"/>
  <c r="J69" i="17"/>
  <c r="E69" i="17"/>
  <c r="AM69" i="17" s="1"/>
  <c r="D69" i="17"/>
  <c r="AL69" i="17" s="1"/>
  <c r="AN68" i="17"/>
  <c r="K68" i="17"/>
  <c r="J68" i="17"/>
  <c r="E68" i="17"/>
  <c r="AM68" i="17" s="1"/>
  <c r="D68" i="17"/>
  <c r="AL68" i="17" s="1"/>
  <c r="AN67" i="17"/>
  <c r="K67" i="17"/>
  <c r="J67" i="17"/>
  <c r="E67" i="17"/>
  <c r="AM67" i="17" s="1"/>
  <c r="D67" i="17"/>
  <c r="AL67" i="17" s="1"/>
  <c r="AN66" i="17"/>
  <c r="K66" i="17"/>
  <c r="J66" i="17"/>
  <c r="E66" i="17"/>
  <c r="AM66" i="17" s="1"/>
  <c r="D66" i="17"/>
  <c r="AL66" i="17" s="1"/>
  <c r="AN65" i="17"/>
  <c r="K65" i="17"/>
  <c r="J65" i="17"/>
  <c r="E65" i="17"/>
  <c r="AM65" i="17" s="1"/>
  <c r="D65" i="17"/>
  <c r="AL65" i="17" s="1"/>
  <c r="AN64" i="17"/>
  <c r="K64" i="17"/>
  <c r="J64" i="17"/>
  <c r="E64" i="17"/>
  <c r="AM64" i="17" s="1"/>
  <c r="D64" i="17"/>
  <c r="AL64" i="17" s="1"/>
  <c r="AP63" i="17"/>
  <c r="AN62" i="17"/>
  <c r="K62" i="17"/>
  <c r="J62" i="17"/>
  <c r="E62" i="17"/>
  <c r="AM62" i="17" s="1"/>
  <c r="D62" i="17"/>
  <c r="AL62" i="17" s="1"/>
  <c r="AN61" i="17"/>
  <c r="K61" i="17"/>
  <c r="J61" i="17"/>
  <c r="E61" i="17"/>
  <c r="AM61" i="17" s="1"/>
  <c r="D61" i="17"/>
  <c r="AL61" i="17" s="1"/>
  <c r="AN60" i="17"/>
  <c r="K60" i="17"/>
  <c r="J60" i="17"/>
  <c r="E60" i="17"/>
  <c r="AM60" i="17" s="1"/>
  <c r="D60" i="17"/>
  <c r="AL60" i="17" s="1"/>
  <c r="AN59" i="17"/>
  <c r="K59" i="17"/>
  <c r="J59" i="17"/>
  <c r="E59" i="17"/>
  <c r="AM59" i="17" s="1"/>
  <c r="D59" i="17"/>
  <c r="AL59" i="17" s="1"/>
  <c r="AN58" i="17"/>
  <c r="K58" i="17"/>
  <c r="J58" i="17"/>
  <c r="E58" i="17"/>
  <c r="AM58" i="17" s="1"/>
  <c r="D58" i="17"/>
  <c r="AL58" i="17" s="1"/>
  <c r="AN57" i="17"/>
  <c r="K57" i="17"/>
  <c r="J57" i="17"/>
  <c r="E57" i="17"/>
  <c r="AM57" i="17" s="1"/>
  <c r="D57" i="17"/>
  <c r="AL57" i="17" s="1"/>
  <c r="AN56" i="17"/>
  <c r="K56" i="17"/>
  <c r="J56" i="17"/>
  <c r="E56" i="17"/>
  <c r="AM56" i="17" s="1"/>
  <c r="D56" i="17"/>
  <c r="AL56" i="17" s="1"/>
  <c r="AN55" i="17"/>
  <c r="K55" i="17"/>
  <c r="J55" i="17"/>
  <c r="E55" i="17"/>
  <c r="AM55" i="17" s="1"/>
  <c r="D55" i="17"/>
  <c r="AL55" i="17" s="1"/>
  <c r="AN54" i="17"/>
  <c r="K54" i="17"/>
  <c r="J54" i="17"/>
  <c r="E54" i="17"/>
  <c r="AM54" i="17" s="1"/>
  <c r="D54" i="17"/>
  <c r="AL54" i="17" s="1"/>
  <c r="AN53" i="17"/>
  <c r="K53" i="17"/>
  <c r="J53" i="17"/>
  <c r="E53" i="17"/>
  <c r="AM53" i="17" s="1"/>
  <c r="D53" i="17"/>
  <c r="AL53" i="17" s="1"/>
  <c r="AN52" i="17"/>
  <c r="K52" i="17"/>
  <c r="J52" i="17"/>
  <c r="E52" i="17"/>
  <c r="AM52" i="17" s="1"/>
  <c r="D52" i="17"/>
  <c r="AL52" i="17" s="1"/>
  <c r="AN51" i="17"/>
  <c r="K51" i="17"/>
  <c r="J51" i="17"/>
  <c r="E51" i="17"/>
  <c r="AM51" i="17" s="1"/>
  <c r="D51" i="17"/>
  <c r="AL51" i="17" s="1"/>
  <c r="AN50" i="17"/>
  <c r="K50" i="17"/>
  <c r="J50" i="17"/>
  <c r="E50" i="17"/>
  <c r="AM50" i="17" s="1"/>
  <c r="D50" i="17"/>
  <c r="AL50" i="17" s="1"/>
  <c r="AN49" i="17"/>
  <c r="K49" i="17"/>
  <c r="J49" i="17"/>
  <c r="E49" i="17"/>
  <c r="AM49" i="17" s="1"/>
  <c r="D49" i="17"/>
  <c r="AL49" i="17" s="1"/>
  <c r="AN48" i="17"/>
  <c r="K48" i="17"/>
  <c r="J48" i="17"/>
  <c r="E48" i="17"/>
  <c r="AM48" i="17" s="1"/>
  <c r="D48" i="17"/>
  <c r="AL48" i="17" s="1"/>
  <c r="AN47" i="17"/>
  <c r="K47" i="17"/>
  <c r="J47" i="17"/>
  <c r="E47" i="17"/>
  <c r="AM47" i="17" s="1"/>
  <c r="D47" i="17"/>
  <c r="AL47" i="17" s="1"/>
  <c r="AN46" i="17"/>
  <c r="K46" i="17"/>
  <c r="J46" i="17"/>
  <c r="E46" i="17"/>
  <c r="AM46" i="17" s="1"/>
  <c r="D46" i="17"/>
  <c r="AL46" i="17" s="1"/>
  <c r="AP45" i="17"/>
  <c r="AN44" i="17"/>
  <c r="K44" i="17"/>
  <c r="J44" i="17"/>
  <c r="E44" i="17"/>
  <c r="AM44" i="17" s="1"/>
  <c r="D44" i="17"/>
  <c r="AL44" i="17" s="1"/>
  <c r="AN43" i="17"/>
  <c r="K43" i="17"/>
  <c r="J43" i="17"/>
  <c r="E43" i="17"/>
  <c r="AM43" i="17" s="1"/>
  <c r="D43" i="17"/>
  <c r="AL43" i="17" s="1"/>
  <c r="AN42" i="17"/>
  <c r="K42" i="17"/>
  <c r="J42" i="17"/>
  <c r="E42" i="17"/>
  <c r="AM42" i="17" s="1"/>
  <c r="D42" i="17"/>
  <c r="AL42" i="17" s="1"/>
  <c r="AN41" i="17"/>
  <c r="K41" i="17"/>
  <c r="J41" i="17"/>
  <c r="E41" i="17"/>
  <c r="AM41" i="17" s="1"/>
  <c r="D41" i="17" a="1"/>
  <c r="D41" i="17" s="1"/>
  <c r="AL41" i="17" s="1"/>
  <c r="AN40" i="17"/>
  <c r="K40" i="17"/>
  <c r="J40" i="17"/>
  <c r="E40" i="17"/>
  <c r="AM40" i="17" s="1"/>
  <c r="D40" i="17" a="1"/>
  <c r="D40" i="17" s="1"/>
  <c r="AL40" i="17" s="1"/>
  <c r="AN39" i="17"/>
  <c r="K39" i="17"/>
  <c r="J39" i="17"/>
  <c r="E39" i="17"/>
  <c r="AM39" i="17" s="1"/>
  <c r="D39" i="17"/>
  <c r="AL39" i="17" s="1"/>
  <c r="AN38" i="17"/>
  <c r="K38" i="17"/>
  <c r="J38" i="17"/>
  <c r="E38" i="17"/>
  <c r="AM38" i="17" s="1"/>
  <c r="D38" i="17"/>
  <c r="AL38" i="17" s="1"/>
  <c r="AN37" i="17"/>
  <c r="K37" i="17"/>
  <c r="J37" i="17"/>
  <c r="E37" i="17"/>
  <c r="AM37" i="17" s="1"/>
  <c r="D37" i="17"/>
  <c r="AL37" i="17" s="1"/>
  <c r="AP36" i="17"/>
  <c r="AN35" i="17"/>
  <c r="AM35" i="17"/>
  <c r="M35" i="17"/>
  <c r="K35" i="17"/>
  <c r="J35" i="17"/>
  <c r="D35" i="17"/>
  <c r="AL35" i="17" s="1"/>
  <c r="AN34" i="17"/>
  <c r="AM34" i="17"/>
  <c r="K34" i="17"/>
  <c r="J34" i="17"/>
  <c r="D34" i="17"/>
  <c r="AL34" i="17" s="1"/>
  <c r="AN33" i="17"/>
  <c r="K33" i="17"/>
  <c r="J33" i="17"/>
  <c r="E33" i="17"/>
  <c r="AM33" i="17" s="1"/>
  <c r="D33" i="17"/>
  <c r="AL33" i="17" s="1"/>
  <c r="AN32" i="17"/>
  <c r="K32" i="17"/>
  <c r="J32" i="17"/>
  <c r="AM32" i="17"/>
  <c r="D32" i="17"/>
  <c r="AL32" i="17" s="1"/>
  <c r="AN31" i="17"/>
  <c r="K31" i="17"/>
  <c r="J31" i="17"/>
  <c r="E31" i="17"/>
  <c r="AM31" i="17" s="1"/>
  <c r="D31" i="17"/>
  <c r="AL31" i="17" s="1"/>
  <c r="AN30" i="17"/>
  <c r="K30" i="17"/>
  <c r="J30" i="17"/>
  <c r="E30" i="17"/>
  <c r="AM30" i="17" s="1"/>
  <c r="D30" i="17"/>
  <c r="AL30" i="17" s="1"/>
  <c r="AN29" i="17"/>
  <c r="K29" i="17"/>
  <c r="J29" i="17"/>
  <c r="E29" i="17"/>
  <c r="AM29" i="17" s="1"/>
  <c r="D29" i="17"/>
  <c r="AL29" i="17" s="1"/>
  <c r="AN28" i="17"/>
  <c r="K28" i="17"/>
  <c r="J28" i="17"/>
  <c r="E28" i="17"/>
  <c r="AM28" i="17" s="1"/>
  <c r="D28" i="17"/>
  <c r="AL28" i="17" s="1"/>
  <c r="AN27" i="17"/>
  <c r="K27" i="17"/>
  <c r="J27" i="17"/>
  <c r="E27" i="17"/>
  <c r="AM27" i="17" s="1"/>
  <c r="D27" i="17"/>
  <c r="AL27" i="17" s="1"/>
  <c r="AN26" i="17"/>
  <c r="K26" i="17"/>
  <c r="J26" i="17"/>
  <c r="E26" i="17"/>
  <c r="AM26" i="17" s="1"/>
  <c r="D26" i="17"/>
  <c r="AL26" i="17" s="1"/>
  <c r="AP25" i="17"/>
  <c r="AN24" i="17"/>
  <c r="K24" i="17"/>
  <c r="J24" i="17"/>
  <c r="E24" i="17"/>
  <c r="AM24" i="17" s="1"/>
  <c r="D24" i="17"/>
  <c r="AL24" i="17" s="1"/>
  <c r="AN23" i="17"/>
  <c r="AM23" i="17"/>
  <c r="K23" i="17"/>
  <c r="J23" i="17"/>
  <c r="E23" i="17"/>
  <c r="D23" i="17"/>
  <c r="AL23" i="17" s="1"/>
  <c r="AN22" i="17"/>
  <c r="K22" i="17"/>
  <c r="J22" i="17"/>
  <c r="E22" i="17"/>
  <c r="AM22" i="17" s="1"/>
  <c r="D22" i="17"/>
  <c r="AL22" i="17" s="1"/>
  <c r="AN21" i="17"/>
  <c r="AM21" i="17"/>
  <c r="K21" i="17"/>
  <c r="J21" i="17"/>
  <c r="E21" i="17"/>
  <c r="D21" i="17"/>
  <c r="AL21" i="17" s="1"/>
  <c r="AN20" i="17"/>
  <c r="M20" i="17"/>
  <c r="K20" i="17"/>
  <c r="J20" i="17"/>
  <c r="E20" i="17"/>
  <c r="AM20" i="17" s="1"/>
  <c r="D20" i="17"/>
  <c r="AL20" i="17" s="1"/>
  <c r="AN19" i="17"/>
  <c r="K19" i="17"/>
  <c r="J19" i="17"/>
  <c r="E19" i="17"/>
  <c r="AM19" i="17" s="1"/>
  <c r="D19" i="17"/>
  <c r="AL19" i="17" s="1"/>
  <c r="AN18" i="17"/>
  <c r="K18" i="17"/>
  <c r="J18" i="17"/>
  <c r="E18" i="17"/>
  <c r="AM18" i="17" s="1"/>
  <c r="D18" i="17"/>
  <c r="AL18" i="17" s="1"/>
  <c r="AN17" i="17"/>
  <c r="K17" i="17"/>
  <c r="J17" i="17"/>
  <c r="E17" i="17"/>
  <c r="AM17" i="17" s="1"/>
  <c r="D17" i="17"/>
  <c r="AL17" i="17" s="1"/>
  <c r="AN16" i="17"/>
  <c r="K16" i="17"/>
  <c r="J16" i="17"/>
  <c r="E16" i="17"/>
  <c r="AM16" i="17" s="1"/>
  <c r="D16" i="17"/>
  <c r="AL16" i="17" s="1"/>
  <c r="AN15" i="17"/>
  <c r="K15" i="17"/>
  <c r="J15" i="17"/>
  <c r="E15" i="17"/>
  <c r="AM15" i="17" s="1"/>
  <c r="D15" i="17" a="1"/>
  <c r="D15" i="17" s="1"/>
  <c r="AL15" i="17" s="1"/>
  <c r="AN14" i="17"/>
  <c r="K14" i="17"/>
  <c r="J14" i="17"/>
  <c r="E14" i="17"/>
  <c r="AM14" i="17" s="1"/>
  <c r="D14" i="17" a="1"/>
  <c r="D14" i="17" s="1"/>
  <c r="AL14" i="17" s="1"/>
  <c r="AN13" i="17"/>
  <c r="K13" i="17"/>
  <c r="J13" i="17"/>
  <c r="E13" i="17"/>
  <c r="AM13" i="17" s="1"/>
  <c r="D13" i="17" a="1"/>
  <c r="D13" i="17" s="1"/>
  <c r="AL13" i="17" s="1"/>
  <c r="AN12" i="17"/>
  <c r="K12" i="17"/>
  <c r="J12" i="17"/>
  <c r="E12" i="17"/>
  <c r="AM12" i="17" s="1"/>
  <c r="D12" i="17" a="1"/>
  <c r="D12" i="17" s="1"/>
  <c r="AL12" i="17" s="1"/>
  <c r="AN11" i="17"/>
  <c r="K11" i="17"/>
  <c r="J11" i="17"/>
  <c r="E11" i="17"/>
  <c r="AM11" i="17" s="1"/>
  <c r="D11" i="17" a="1"/>
  <c r="D11" i="17" s="1"/>
  <c r="AL11" i="17" s="1"/>
  <c r="AN10" i="17"/>
  <c r="K10" i="17"/>
  <c r="J10" i="17"/>
  <c r="E10" i="17"/>
  <c r="AM10" i="17" s="1"/>
  <c r="D10" i="17" a="1"/>
  <c r="D10" i="17" s="1"/>
  <c r="AL10" i="17" s="1"/>
  <c r="AN9" i="17"/>
  <c r="K9" i="17"/>
  <c r="J9" i="17"/>
  <c r="E9" i="17"/>
  <c r="AM9" i="17" s="1"/>
  <c r="D9" i="17" a="1"/>
  <c r="D9" i="17" s="1"/>
  <c r="AL9" i="17" s="1"/>
  <c r="AN8" i="17"/>
  <c r="K8" i="17"/>
  <c r="J8" i="17"/>
  <c r="E8" i="17"/>
  <c r="AM8" i="17" s="1"/>
  <c r="D8" i="17" a="1"/>
  <c r="D8" i="17" s="1"/>
  <c r="AL8" i="17" s="1"/>
  <c r="AN7" i="17"/>
  <c r="K7" i="17"/>
  <c r="J7" i="17"/>
  <c r="E7" i="17"/>
  <c r="AM7" i="17" s="1"/>
  <c r="D7" i="17" a="1"/>
  <c r="D7" i="17" s="1"/>
  <c r="AL7" i="17" s="1"/>
  <c r="AN6" i="17"/>
  <c r="K6" i="17"/>
  <c r="J6" i="17"/>
  <c r="E6" i="17"/>
  <c r="AM6" i="17" s="1"/>
  <c r="D6" i="17" a="1"/>
  <c r="D6" i="17" s="1"/>
  <c r="AL6" i="17" s="1"/>
  <c r="G34" i="14"/>
  <c r="G33" i="14"/>
  <c r="G32" i="14"/>
  <c r="G31" i="14"/>
  <c r="M153" i="17"/>
  <c r="G29" i="14"/>
  <c r="M21" i="17" s="1"/>
  <c r="G28" i="14"/>
  <c r="G27" i="14"/>
  <c r="M16" i="17" s="1"/>
  <c r="Y16" i="17" s="1" a="1"/>
  <c r="Y16" i="17" s="1"/>
  <c r="G26" i="14"/>
  <c r="G25" i="14"/>
  <c r="M99" i="17" s="1"/>
  <c r="G24" i="14"/>
  <c r="M101" i="17" s="1"/>
  <c r="G23" i="14"/>
  <c r="M84" i="17" s="1"/>
  <c r="G22" i="14"/>
  <c r="G21" i="14"/>
  <c r="M82" i="17" s="1"/>
  <c r="G20" i="14"/>
  <c r="M9" i="17" s="1"/>
  <c r="G19" i="14"/>
  <c r="M172" i="17" s="1"/>
  <c r="Y172" i="17" s="1" a="1"/>
  <c r="Y172" i="17" s="1"/>
  <c r="G18" i="14"/>
  <c r="M78" i="17" s="1"/>
  <c r="G17" i="14"/>
  <c r="M83" i="17" s="1"/>
  <c r="G16" i="14"/>
  <c r="G15" i="14"/>
  <c r="G14" i="14"/>
  <c r="M7" i="17" s="1"/>
  <c r="G13" i="14"/>
  <c r="G12" i="14"/>
  <c r="G11" i="14"/>
  <c r="G10" i="14"/>
  <c r="G9" i="14"/>
  <c r="G8" i="14"/>
  <c r="G7" i="14"/>
  <c r="G6" i="14"/>
  <c r="G4" i="14"/>
  <c r="G3" i="14"/>
  <c r="BS88" i="60"/>
  <c r="BS83" i="60"/>
  <c r="BS45" i="60"/>
  <c r="BS44" i="60"/>
  <c r="U168" i="61"/>
  <c r="U166" i="61"/>
  <c r="U165" i="61"/>
  <c r="W138" i="61"/>
  <c r="W137" i="61"/>
  <c r="W132" i="61"/>
  <c r="W131" i="61"/>
  <c r="W130" i="61"/>
  <c r="W129" i="61"/>
  <c r="V108" i="61"/>
  <c r="U108" i="61"/>
  <c r="U104" i="61"/>
  <c r="U92" i="61"/>
  <c r="T92" i="61"/>
  <c r="U90" i="61"/>
  <c r="U89" i="61"/>
  <c r="U74" i="61"/>
  <c r="BZ114" i="56"/>
  <c r="BY114" i="56"/>
  <c r="BY81" i="56"/>
  <c r="BY73" i="56"/>
  <c r="BY13" i="56"/>
  <c r="BX13" i="56"/>
  <c r="BY11" i="56"/>
  <c r="BY4" i="56"/>
  <c r="C20" i="11"/>
  <c r="B20" i="11"/>
  <c r="A20" i="11"/>
  <c r="C19" i="11"/>
  <c r="B19" i="11"/>
  <c r="A19" i="11"/>
  <c r="C18" i="11"/>
  <c r="B18" i="11"/>
  <c r="A18" i="11"/>
  <c r="C17" i="11"/>
  <c r="B17" i="11"/>
  <c r="A17" i="11"/>
  <c r="B16" i="11"/>
  <c r="A16" i="11"/>
  <c r="C15" i="11"/>
  <c r="C13" i="11"/>
  <c r="B13" i="11"/>
  <c r="A13" i="11"/>
  <c r="C12" i="11"/>
  <c r="B12" i="11"/>
  <c r="A12" i="11"/>
  <c r="C11" i="11"/>
  <c r="B11" i="11"/>
  <c r="A11" i="11"/>
  <c r="C10" i="11"/>
  <c r="B10" i="11"/>
  <c r="A10" i="11"/>
  <c r="C9" i="11"/>
  <c r="B9" i="11"/>
  <c r="A9" i="11"/>
  <c r="C8" i="11"/>
  <c r="B8" i="11"/>
  <c r="A8" i="11"/>
  <c r="C7" i="11"/>
  <c r="B7" i="11"/>
  <c r="A7" i="11"/>
  <c r="W6" i="11"/>
  <c r="C6" i="11"/>
  <c r="B6" i="11"/>
  <c r="A6" i="11"/>
  <c r="D205" i="67" l="1"/>
  <c r="Y175" i="17" a="1"/>
  <c r="Y175" i="17" s="1"/>
  <c r="Y153" i="17" a="1"/>
  <c r="Y153" i="17" s="1"/>
  <c r="E220" i="17"/>
  <c r="Y78" i="17" a="1"/>
  <c r="Y78" i="17" s="1"/>
  <c r="Y82" i="17" a="1"/>
  <c r="Y82" i="17" s="1"/>
  <c r="E222" i="17"/>
  <c r="D226" i="17"/>
  <c r="E223" i="17"/>
  <c r="M7" i="11"/>
  <c r="Q7" i="11"/>
  <c r="U7" i="11"/>
  <c r="P7" i="11"/>
  <c r="T7" i="11"/>
  <c r="N7" i="11"/>
  <c r="R7" i="11"/>
  <c r="O7" i="11"/>
  <c r="S7" i="11"/>
  <c r="O19" i="11"/>
  <c r="S19" i="11"/>
  <c r="N19" i="11"/>
  <c r="P19" i="11"/>
  <c r="T19" i="11"/>
  <c r="R19" i="11"/>
  <c r="M19" i="11"/>
  <c r="Q19" i="11"/>
  <c r="U19" i="11"/>
  <c r="P13" i="11"/>
  <c r="T13" i="11"/>
  <c r="O13" i="11"/>
  <c r="S13" i="11"/>
  <c r="M13" i="11"/>
  <c r="Q13" i="11"/>
  <c r="U13" i="11"/>
  <c r="N13" i="11"/>
  <c r="R13" i="11"/>
  <c r="M17" i="11"/>
  <c r="Q17" i="11"/>
  <c r="U17" i="11"/>
  <c r="P17" i="11"/>
  <c r="N17" i="11"/>
  <c r="R17" i="11"/>
  <c r="T17" i="11"/>
  <c r="O17" i="11"/>
  <c r="S17" i="11"/>
  <c r="O15" i="11"/>
  <c r="S15" i="11"/>
  <c r="N15" i="11"/>
  <c r="R15" i="11"/>
  <c r="P15" i="11"/>
  <c r="T15" i="11"/>
  <c r="M15" i="11"/>
  <c r="Q15" i="11"/>
  <c r="U15" i="11"/>
  <c r="P18" i="11"/>
  <c r="T18" i="11"/>
  <c r="O18" i="11"/>
  <c r="M18" i="11"/>
  <c r="Q18" i="11"/>
  <c r="U18" i="11"/>
  <c r="S18" i="11"/>
  <c r="N18" i="11"/>
  <c r="R18" i="11"/>
  <c r="N20" i="11"/>
  <c r="R20" i="11"/>
  <c r="M20" i="11"/>
  <c r="U20" i="11"/>
  <c r="O20" i="11"/>
  <c r="S20" i="11"/>
  <c r="Q20" i="11"/>
  <c r="P20" i="11"/>
  <c r="T20" i="11"/>
  <c r="M11" i="11"/>
  <c r="Q11" i="11"/>
  <c r="U11" i="11"/>
  <c r="N11" i="11"/>
  <c r="R11" i="11"/>
  <c r="P11" i="11"/>
  <c r="T11" i="11"/>
  <c r="O11" i="11"/>
  <c r="S11" i="11"/>
  <c r="N10" i="11"/>
  <c r="R10" i="11"/>
  <c r="O10" i="11"/>
  <c r="S10" i="11"/>
  <c r="Q10" i="11"/>
  <c r="P10" i="11"/>
  <c r="T10" i="11"/>
  <c r="M10" i="11"/>
  <c r="U10" i="11"/>
  <c r="O9" i="11"/>
  <c r="S9" i="11"/>
  <c r="P9" i="11"/>
  <c r="T9" i="11"/>
  <c r="N9" i="11"/>
  <c r="R9" i="11"/>
  <c r="M9" i="11"/>
  <c r="Q9" i="11"/>
  <c r="U9" i="11"/>
  <c r="P8" i="11"/>
  <c r="T8" i="11"/>
  <c r="O8" i="11"/>
  <c r="M8" i="11"/>
  <c r="Q8" i="11"/>
  <c r="U8" i="11"/>
  <c r="N8" i="11"/>
  <c r="R8" i="11"/>
  <c r="S8" i="11"/>
  <c r="P12" i="11"/>
  <c r="T12" i="11"/>
  <c r="M12" i="11"/>
  <c r="Q12" i="11"/>
  <c r="U12" i="11"/>
  <c r="S12" i="11"/>
  <c r="N12" i="11"/>
  <c r="R12" i="11"/>
  <c r="O12" i="11"/>
  <c r="N6" i="11"/>
  <c r="R6" i="11"/>
  <c r="M6" i="11"/>
  <c r="S6" i="11"/>
  <c r="P6" i="11"/>
  <c r="T6" i="11"/>
  <c r="Q6" i="11"/>
  <c r="U6" i="11"/>
  <c r="O6" i="11"/>
  <c r="E219" i="17"/>
  <c r="E226" i="17" s="1"/>
  <c r="AO210" i="17"/>
  <c r="D22" i="10"/>
  <c r="D4" i="9" s="1"/>
  <c r="E22" i="10"/>
  <c r="E4" i="9" s="1"/>
  <c r="I22" i="10"/>
  <c r="F5" i="9" s="1"/>
  <c r="M22" i="10"/>
  <c r="D7" i="9" s="1"/>
  <c r="Q22" i="10"/>
  <c r="F8" i="9" s="1"/>
  <c r="U22" i="10"/>
  <c r="E10" i="9" s="1"/>
  <c r="G22" i="10"/>
  <c r="D5" i="9" s="1"/>
  <c r="K22" i="10"/>
  <c r="O22" i="10"/>
  <c r="F7" i="9" s="1"/>
  <c r="S22" i="10"/>
  <c r="E9" i="9" s="1"/>
  <c r="H22" i="10"/>
  <c r="E5" i="9" s="1"/>
  <c r="L22" i="10"/>
  <c r="F6" i="9" s="1"/>
  <c r="P22" i="10"/>
  <c r="D8" i="9" s="1"/>
  <c r="T22" i="10"/>
  <c r="D10" i="9" s="1"/>
  <c r="F22" i="10"/>
  <c r="F4" i="9" s="1"/>
  <c r="J22" i="10"/>
  <c r="D6" i="9" s="1"/>
  <c r="N22" i="10"/>
  <c r="E7" i="9" s="1"/>
  <c r="R22" i="10"/>
  <c r="V22" i="10"/>
  <c r="F10" i="9" s="1"/>
  <c r="AO11" i="17"/>
  <c r="AO18" i="17"/>
  <c r="AO34" i="17"/>
  <c r="AO10" i="17"/>
  <c r="AO13" i="17"/>
  <c r="AO17" i="17"/>
  <c r="AO46" i="17"/>
  <c r="AO48" i="17"/>
  <c r="AO50" i="17"/>
  <c r="AO52" i="17"/>
  <c r="AO54" i="17"/>
  <c r="AO56" i="17"/>
  <c r="AO58" i="17"/>
  <c r="AO60" i="17"/>
  <c r="AO62" i="17"/>
  <c r="AO82" i="17"/>
  <c r="AO84" i="17"/>
  <c r="AO86" i="17"/>
  <c r="AO89" i="17"/>
  <c r="AO91" i="17"/>
  <c r="AO93" i="17"/>
  <c r="AO115" i="17"/>
  <c r="H199" i="61"/>
  <c r="J199" i="61" s="1"/>
  <c r="H197" i="61"/>
  <c r="H196" i="61"/>
  <c r="K72" i="66" s="1"/>
  <c r="O198" i="19" s="1"/>
  <c r="H195" i="61"/>
  <c r="H72" i="66" s="1"/>
  <c r="L198" i="19" s="1"/>
  <c r="H193" i="61"/>
  <c r="N71" i="66" s="1"/>
  <c r="R193" i="19" s="1"/>
  <c r="H192" i="61"/>
  <c r="K71" i="66" s="1"/>
  <c r="O193" i="19" s="1"/>
  <c r="H191" i="61"/>
  <c r="H71" i="66" s="1"/>
  <c r="L193" i="19" s="1"/>
  <c r="H200" i="61"/>
  <c r="J200" i="61" s="1"/>
  <c r="H187" i="61"/>
  <c r="H186" i="61"/>
  <c r="H185" i="61"/>
  <c r="J185" i="61" s="1"/>
  <c r="H184" i="61"/>
  <c r="J184" i="61" s="1"/>
  <c r="H183" i="61"/>
  <c r="J183" i="61" s="1"/>
  <c r="H182" i="61"/>
  <c r="H181" i="61"/>
  <c r="J181" i="61" s="1"/>
  <c r="H180" i="61"/>
  <c r="H179" i="61"/>
  <c r="J179" i="61" s="1"/>
  <c r="H177" i="61"/>
  <c r="J177" i="61" s="1"/>
  <c r="H176" i="61"/>
  <c r="J176" i="61" s="1"/>
  <c r="H175" i="61"/>
  <c r="J175" i="61" s="1"/>
  <c r="H172" i="61"/>
  <c r="H171" i="61"/>
  <c r="J171" i="61" s="1"/>
  <c r="H169" i="61"/>
  <c r="H168" i="61"/>
  <c r="H167" i="61"/>
  <c r="H166" i="61"/>
  <c r="H165" i="61"/>
  <c r="H164" i="61"/>
  <c r="H163" i="61"/>
  <c r="H160" i="61"/>
  <c r="H159" i="61"/>
  <c r="H156" i="61"/>
  <c r="H155" i="61"/>
  <c r="H153" i="61"/>
  <c r="H56" i="66" s="1"/>
  <c r="L178" i="19" s="1"/>
  <c r="H152" i="61"/>
  <c r="H151" i="61"/>
  <c r="H149" i="61"/>
  <c r="H148" i="61"/>
  <c r="H147" i="61"/>
  <c r="H146" i="61"/>
  <c r="H144" i="61"/>
  <c r="H143" i="61"/>
  <c r="J143" i="61" s="1"/>
  <c r="H142" i="61"/>
  <c r="H141" i="61"/>
  <c r="H139" i="61"/>
  <c r="H138" i="61"/>
  <c r="J138" i="61" s="1"/>
  <c r="H137" i="61"/>
  <c r="H135" i="61"/>
  <c r="H134" i="61"/>
  <c r="H132" i="61"/>
  <c r="H131" i="61"/>
  <c r="H130" i="61"/>
  <c r="H129" i="61"/>
  <c r="H128" i="61"/>
  <c r="H127" i="61"/>
  <c r="H113" i="61"/>
  <c r="J113" i="61" s="1"/>
  <c r="H114" i="61"/>
  <c r="J114" i="61" s="1"/>
  <c r="H116" i="61"/>
  <c r="H117" i="61"/>
  <c r="H118" i="61"/>
  <c r="H119" i="61"/>
  <c r="H120" i="61"/>
  <c r="J120" i="61" s="1"/>
  <c r="H122" i="61"/>
  <c r="H123" i="61"/>
  <c r="H108" i="61"/>
  <c r="H107" i="61"/>
  <c r="H106" i="61"/>
  <c r="H92" i="61"/>
  <c r="H91" i="61"/>
  <c r="H89" i="61"/>
  <c r="J89" i="61" s="1"/>
  <c r="H93" i="61"/>
  <c r="H94" i="61"/>
  <c r="H90" i="61"/>
  <c r="H95" i="61"/>
  <c r="J95" i="61" s="1"/>
  <c r="H96" i="61"/>
  <c r="J96" i="61" s="1"/>
  <c r="H97" i="61"/>
  <c r="H98" i="61"/>
  <c r="H99" i="61"/>
  <c r="H100" i="61"/>
  <c r="J100" i="61" s="1"/>
  <c r="H101" i="61"/>
  <c r="J101" i="61" s="1"/>
  <c r="H102" i="61"/>
  <c r="H104" i="61"/>
  <c r="H109" i="61"/>
  <c r="H110" i="61"/>
  <c r="H124" i="61"/>
  <c r="H86" i="61"/>
  <c r="H84" i="61"/>
  <c r="H82" i="61"/>
  <c r="H81" i="61"/>
  <c r="H80" i="61"/>
  <c r="H79" i="61"/>
  <c r="H78" i="61"/>
  <c r="J78" i="61" s="1"/>
  <c r="H77" i="61"/>
  <c r="H76" i="61"/>
  <c r="J76" i="61" s="1"/>
  <c r="H75" i="61"/>
  <c r="H74" i="61"/>
  <c r="J74" i="61" s="1"/>
  <c r="H71" i="61"/>
  <c r="H70" i="61"/>
  <c r="H69" i="61"/>
  <c r="J69" i="61" s="1"/>
  <c r="H68" i="61"/>
  <c r="H67" i="61"/>
  <c r="H65" i="61"/>
  <c r="H64" i="61"/>
  <c r="H63" i="61"/>
  <c r="H62" i="61"/>
  <c r="H61" i="61"/>
  <c r="H55" i="61"/>
  <c r="J55" i="61" s="1"/>
  <c r="H54" i="61"/>
  <c r="H53" i="61"/>
  <c r="J53" i="61" s="1"/>
  <c r="H52" i="61"/>
  <c r="H51" i="61"/>
  <c r="J51" i="61" s="1"/>
  <c r="H48" i="61"/>
  <c r="J48" i="61" s="1"/>
  <c r="H47" i="61"/>
  <c r="J47" i="61" s="1"/>
  <c r="H46" i="61"/>
  <c r="H45" i="61"/>
  <c r="H44" i="61"/>
  <c r="H42" i="61"/>
  <c r="H6" i="66" s="1"/>
  <c r="H41" i="61"/>
  <c r="H40" i="61"/>
  <c r="H37" i="61"/>
  <c r="J37" i="61" s="1"/>
  <c r="H36" i="61"/>
  <c r="J36" i="61" s="1"/>
  <c r="H35" i="61"/>
  <c r="J35" i="61" s="1"/>
  <c r="H34" i="61"/>
  <c r="J34" i="61" s="1"/>
  <c r="H32" i="61"/>
  <c r="H31" i="61"/>
  <c r="H28" i="61"/>
  <c r="J28" i="61" s="1"/>
  <c r="H27" i="61"/>
  <c r="J27" i="61" s="1"/>
  <c r="H24" i="61"/>
  <c r="J24" i="61" s="1"/>
  <c r="H23" i="61"/>
  <c r="J23" i="61" s="1"/>
  <c r="H22" i="61"/>
  <c r="J22" i="61" s="1"/>
  <c r="H21" i="61"/>
  <c r="J21" i="61" s="1"/>
  <c r="H20" i="61"/>
  <c r="J20" i="61" s="1"/>
  <c r="H18" i="61"/>
  <c r="J18" i="61" s="1"/>
  <c r="H17" i="61"/>
  <c r="J17" i="61" s="1"/>
  <c r="H16" i="61"/>
  <c r="J16" i="61" s="1"/>
  <c r="H15" i="61"/>
  <c r="J15" i="61" s="1"/>
  <c r="H14" i="61"/>
  <c r="J14" i="61" s="1"/>
  <c r="H13" i="61"/>
  <c r="J13" i="61" s="1"/>
  <c r="H12" i="61"/>
  <c r="J12" i="61" s="1"/>
  <c r="H11" i="61"/>
  <c r="J11" i="61" s="1"/>
  <c r="H10" i="61"/>
  <c r="J10" i="61" s="1"/>
  <c r="H8" i="61"/>
  <c r="J8" i="61" s="1"/>
  <c r="H7" i="61"/>
  <c r="J7" i="61" s="1"/>
  <c r="H30" i="61"/>
  <c r="AO14" i="17"/>
  <c r="AO7" i="17"/>
  <c r="H111" i="61"/>
  <c r="AO9" i="17"/>
  <c r="AO15" i="17"/>
  <c r="AO180" i="17"/>
  <c r="AO184" i="17"/>
  <c r="AO188" i="17"/>
  <c r="AO193" i="17"/>
  <c r="AO198" i="17"/>
  <c r="AO175" i="17"/>
  <c r="AO21" i="17"/>
  <c r="AO27" i="17"/>
  <c r="AO29" i="17"/>
  <c r="AO31" i="17"/>
  <c r="AO33" i="17"/>
  <c r="AO38" i="17"/>
  <c r="AO64" i="17"/>
  <c r="AO66" i="17"/>
  <c r="AO68" i="17"/>
  <c r="AO70" i="17"/>
  <c r="AO73" i="17"/>
  <c r="AO75" i="17"/>
  <c r="AO77" i="17"/>
  <c r="AO79" i="17"/>
  <c r="AO23" i="17"/>
  <c r="AO42" i="17"/>
  <c r="AO44" i="17"/>
  <c r="AO81" i="17"/>
  <c r="AO95" i="17"/>
  <c r="AO98" i="17"/>
  <c r="AO100" i="17"/>
  <c r="AO103" i="17"/>
  <c r="AO105" i="17"/>
  <c r="AO107" i="17"/>
  <c r="AO110" i="17"/>
  <c r="AO113" i="17"/>
  <c r="AO117" i="17"/>
  <c r="AO119" i="17"/>
  <c r="AO121" i="17"/>
  <c r="AO123" i="17"/>
  <c r="AO126" i="17"/>
  <c r="AO128" i="17"/>
  <c r="AO132" i="17"/>
  <c r="AO135" i="17"/>
  <c r="AO137" i="17"/>
  <c r="AO140" i="17"/>
  <c r="AO142" i="17"/>
  <c r="AO150" i="17"/>
  <c r="AO154" i="17"/>
  <c r="AO158" i="17"/>
  <c r="AO162" i="17"/>
  <c r="AO166" i="17"/>
  <c r="AO170" i="17"/>
  <c r="AO174" i="17"/>
  <c r="AO178" i="17"/>
  <c r="AO80" i="17"/>
  <c r="AO148" i="17"/>
  <c r="AO152" i="17"/>
  <c r="AO156" i="17"/>
  <c r="AO205" i="17"/>
  <c r="AO8" i="17"/>
  <c r="AO20" i="17"/>
  <c r="AO24" i="17"/>
  <c r="AO28" i="17"/>
  <c r="AO32" i="17"/>
  <c r="AO37" i="17"/>
  <c r="AO40" i="17"/>
  <c r="AO43" i="17"/>
  <c r="AO47" i="17"/>
  <c r="AO51" i="17"/>
  <c r="AO55" i="17"/>
  <c r="AO59" i="17"/>
  <c r="AO67" i="17"/>
  <c r="AO72" i="17"/>
  <c r="AO76" i="17"/>
  <c r="AO85" i="17"/>
  <c r="AO90" i="17"/>
  <c r="AO97" i="17"/>
  <c r="AO101" i="17"/>
  <c r="AO106" i="17"/>
  <c r="AO111" i="17"/>
  <c r="AO120" i="17"/>
  <c r="AO124" i="17"/>
  <c r="AO130" i="17"/>
  <c r="AO136" i="17"/>
  <c r="AO141" i="17"/>
  <c r="AO145" i="17"/>
  <c r="AO149" i="17"/>
  <c r="AO153" i="17"/>
  <c r="AO157" i="17"/>
  <c r="AO161" i="17"/>
  <c r="AO165" i="17"/>
  <c r="AO169" i="17"/>
  <c r="AO173" i="17"/>
  <c r="AO176" i="17"/>
  <c r="AO181" i="17"/>
  <c r="AO185" i="17"/>
  <c r="AO189" i="17"/>
  <c r="AO194" i="17"/>
  <c r="AO199" i="17"/>
  <c r="AO206" i="17"/>
  <c r="AO211" i="17"/>
  <c r="AO182" i="17"/>
  <c r="AO186" i="17"/>
  <c r="AO191" i="17"/>
  <c r="AO195" i="17"/>
  <c r="AO201" i="17"/>
  <c r="AO207" i="17"/>
  <c r="AO213" i="17"/>
  <c r="AO6" i="17"/>
  <c r="AO12" i="17"/>
  <c r="AO16" i="17"/>
  <c r="AO19" i="17"/>
  <c r="AO22" i="17"/>
  <c r="AO26" i="17"/>
  <c r="AO30" i="17"/>
  <c r="AO35" i="17"/>
  <c r="AO39" i="17"/>
  <c r="AO41" i="17"/>
  <c r="AO49" i="17"/>
  <c r="AO53" i="17"/>
  <c r="AO57" i="17"/>
  <c r="AO61" i="17"/>
  <c r="AO65" i="17"/>
  <c r="AO69" i="17"/>
  <c r="AO74" i="17"/>
  <c r="AO78" i="17"/>
  <c r="AO83" i="17"/>
  <c r="AO87" i="17"/>
  <c r="AO92" i="17"/>
  <c r="AO99" i="17"/>
  <c r="AO104" i="17"/>
  <c r="AO109" i="17"/>
  <c r="AO114" i="17"/>
  <c r="AO118" i="17"/>
  <c r="AO122" i="17"/>
  <c r="AO127" i="17"/>
  <c r="AO133" i="17"/>
  <c r="AO138" i="17"/>
  <c r="AO144" i="17"/>
  <c r="AO146" i="17"/>
  <c r="AO151" i="17"/>
  <c r="AO155" i="17"/>
  <c r="AO159" i="17"/>
  <c r="AO163" i="17"/>
  <c r="AO167" i="17"/>
  <c r="AO171" i="17"/>
  <c r="AO179" i="17"/>
  <c r="AO183" i="17"/>
  <c r="AO187" i="17"/>
  <c r="AO192" i="17"/>
  <c r="AO196" i="17"/>
  <c r="AO203" i="17"/>
  <c r="AO209" i="17"/>
  <c r="AO214" i="17"/>
  <c r="AO160" i="17"/>
  <c r="AO164" i="17"/>
  <c r="AO168" i="17"/>
  <c r="AO172" i="17"/>
  <c r="AO215" i="17"/>
  <c r="G202" i="67"/>
  <c r="M19" i="17"/>
  <c r="M39" i="17"/>
  <c r="M34" i="17"/>
  <c r="M37" i="17"/>
  <c r="M199" i="17"/>
  <c r="Y199" i="17" s="1" a="1"/>
  <c r="Y199" i="17" s="1"/>
  <c r="M104" i="17"/>
  <c r="Y104" i="17" s="1" a="1"/>
  <c r="Y104" i="17" s="1"/>
  <c r="M145" i="17"/>
  <c r="M80" i="17"/>
  <c r="M113" i="17"/>
  <c r="M40" i="17"/>
  <c r="M206" i="17"/>
  <c r="M201" i="17"/>
  <c r="M207" i="17"/>
  <c r="M205" i="17"/>
  <c r="M180" i="17"/>
  <c r="M133" i="17"/>
  <c r="M155" i="17"/>
  <c r="Y155" i="17" s="1" a="1"/>
  <c r="Y155" i="17" s="1"/>
  <c r="M178" i="17"/>
  <c r="M142" i="17"/>
  <c r="M179" i="17"/>
  <c r="M140" i="17"/>
  <c r="M132" i="17"/>
  <c r="M109" i="17"/>
  <c r="M69" i="17"/>
  <c r="M68" i="17"/>
  <c r="M66" i="17"/>
  <c r="M65" i="17"/>
  <c r="M64" i="17"/>
  <c r="M15" i="17"/>
  <c r="M31" i="17"/>
  <c r="M27" i="17"/>
  <c r="M169" i="17"/>
  <c r="Y169" i="17" s="1" a="1"/>
  <c r="Y169" i="17" s="1"/>
  <c r="M198" i="17"/>
  <c r="Y198" i="17" s="1" a="1"/>
  <c r="Y198" i="17" s="1"/>
  <c r="M151" i="17"/>
  <c r="Y151" i="17" s="1" a="1"/>
  <c r="Y151" i="17" s="1"/>
  <c r="M168" i="17"/>
  <c r="Y168" i="17" s="1" a="1"/>
  <c r="Y168" i="17" s="1"/>
  <c r="M92" i="17"/>
  <c r="M162" i="17"/>
  <c r="M59" i="17"/>
  <c r="M122" i="17"/>
  <c r="M22" i="17"/>
  <c r="M146" i="17"/>
  <c r="M81" i="17"/>
  <c r="M41" i="17"/>
  <c r="M111" i="17"/>
  <c r="Y111" i="17" s="1" a="1"/>
  <c r="Y111" i="17" s="1"/>
  <c r="M110" i="17"/>
  <c r="M70" i="17"/>
  <c r="M33" i="17"/>
  <c r="M174" i="17"/>
  <c r="M50" i="17"/>
  <c r="M79" i="17"/>
  <c r="M8" i="17"/>
  <c r="Y8" i="17" s="1" a="1"/>
  <c r="Y8" i="17" s="1"/>
  <c r="M141" i="17"/>
  <c r="M138" i="17"/>
  <c r="M130" i="17"/>
  <c r="Y130" i="17" s="1" a="1"/>
  <c r="Y130" i="17" s="1"/>
  <c r="M152" i="17"/>
  <c r="M135" i="17"/>
  <c r="Y135" i="17" s="1" a="1"/>
  <c r="Y135" i="17" s="1"/>
  <c r="M114" i="17"/>
  <c r="M103" i="17"/>
  <c r="Y103" i="17" s="1" a="1"/>
  <c r="Y103" i="17" s="1"/>
  <c r="M53" i="17"/>
  <c r="Y53" i="17" s="1" a="1"/>
  <c r="Y53" i="17" s="1"/>
  <c r="M49" i="17"/>
  <c r="Y49" i="17" s="1" a="1"/>
  <c r="Y49" i="17" s="1"/>
  <c r="M77" i="17"/>
  <c r="M67" i="17"/>
  <c r="M44" i="17"/>
  <c r="M29" i="17"/>
  <c r="M210" i="17"/>
  <c r="M214" i="17"/>
  <c r="M26" i="17"/>
  <c r="M28" i="17"/>
  <c r="M32" i="17"/>
  <c r="M11" i="17"/>
  <c r="M14" i="17"/>
  <c r="M30" i="17"/>
  <c r="M203" i="17"/>
  <c r="Y203" i="17" s="1" a="1"/>
  <c r="Y203" i="17" s="1"/>
  <c r="M154" i="17"/>
  <c r="Y154" i="17" s="1" a="1"/>
  <c r="Y154" i="17" s="1"/>
  <c r="M136" i="17"/>
  <c r="Y136" i="17" s="1" a="1"/>
  <c r="Y136" i="17" s="1"/>
  <c r="M124" i="17"/>
  <c r="M157" i="17"/>
  <c r="M150" i="17"/>
  <c r="M119" i="17"/>
  <c r="M117" i="17"/>
  <c r="M164" i="17"/>
  <c r="M137" i="17"/>
  <c r="M55" i="17"/>
  <c r="M51" i="17"/>
  <c r="M118" i="17"/>
  <c r="M54" i="17"/>
  <c r="M52" i="17"/>
  <c r="Y52" i="17" s="1" a="1"/>
  <c r="Y52" i="17" s="1"/>
  <c r="M17" i="17"/>
  <c r="M48" i="17"/>
  <c r="M46" i="17"/>
  <c r="M10" i="17"/>
  <c r="M189" i="17"/>
  <c r="M187" i="17"/>
  <c r="M185" i="17"/>
  <c r="M188" i="17"/>
  <c r="M186" i="17"/>
  <c r="M184" i="17"/>
  <c r="M95" i="17"/>
  <c r="M107" i="17"/>
  <c r="M62" i="17"/>
  <c r="M56" i="17"/>
  <c r="Y56" i="17" s="1" a="1"/>
  <c r="Y56" i="17" s="1"/>
  <c r="M24" i="17"/>
  <c r="M18" i="17"/>
  <c r="Y18" i="17" s="1" a="1"/>
  <c r="Y18" i="17" s="1"/>
  <c r="M163" i="17"/>
  <c r="M121" i="17"/>
  <c r="M61" i="17"/>
  <c r="M23" i="17"/>
  <c r="M215" i="17"/>
  <c r="M211" i="17"/>
  <c r="M6" i="17"/>
  <c r="M12" i="17"/>
  <c r="M13" i="17"/>
  <c r="M47" i="17"/>
  <c r="M38" i="17"/>
  <c r="M43" i="17"/>
  <c r="M86" i="17"/>
  <c r="M91" i="17"/>
  <c r="M176" i="17"/>
  <c r="M170" i="17"/>
  <c r="M181" i="17"/>
  <c r="M171" i="17"/>
  <c r="M156" i="17"/>
  <c r="Y156" i="17" s="1" a="1"/>
  <c r="Y156" i="17" s="1"/>
  <c r="M148" i="17"/>
  <c r="M173" i="17"/>
  <c r="M149" i="17"/>
  <c r="M192" i="17"/>
  <c r="M193" i="17"/>
  <c r="Y193" i="17" s="1" a="1"/>
  <c r="Y193" i="17" s="1"/>
  <c r="M144" i="17"/>
  <c r="M127" i="17"/>
  <c r="M191" i="17"/>
  <c r="M126" i="17"/>
  <c r="M196" i="17"/>
  <c r="M194" i="17"/>
  <c r="M195" i="17"/>
  <c r="M165" i="17"/>
  <c r="M159" i="17"/>
  <c r="M183" i="17"/>
  <c r="M182" i="17"/>
  <c r="M160" i="17"/>
  <c r="M90" i="17"/>
  <c r="M87" i="17"/>
  <c r="M85" i="17"/>
  <c r="M128" i="17"/>
  <c r="M166" i="17"/>
  <c r="M158" i="17"/>
  <c r="Y158" i="17" s="1" a="1"/>
  <c r="Y158" i="17" s="1"/>
  <c r="M106" i="17"/>
  <c r="M97" i="17"/>
  <c r="M120" i="17"/>
  <c r="M115" i="17"/>
  <c r="M98" i="17"/>
  <c r="M57" i="17"/>
  <c r="M105" i="17"/>
  <c r="M100" i="17"/>
  <c r="M89" i="17"/>
  <c r="M58" i="17"/>
  <c r="M167" i="17"/>
  <c r="Y167" i="17" s="1" a="1"/>
  <c r="Y167" i="17" s="1"/>
  <c r="M161" i="17"/>
  <c r="M123" i="17"/>
  <c r="M93" i="17"/>
  <c r="M60" i="17"/>
  <c r="M213" i="17"/>
  <c r="M209" i="17"/>
  <c r="M42" i="17"/>
  <c r="M72" i="17"/>
  <c r="M73" i="17"/>
  <c r="M74" i="17"/>
  <c r="M75" i="17"/>
  <c r="M76" i="17"/>
  <c r="D9" i="9" l="1"/>
  <c r="L130" i="17" s="1"/>
  <c r="P130" i="17" s="1"/>
  <c r="E6" i="9"/>
  <c r="L95" i="17" s="1"/>
  <c r="P95" i="17" s="1"/>
  <c r="S21" i="11"/>
  <c r="J22" i="11" s="1"/>
  <c r="E15" i="9" s="1"/>
  <c r="L173" i="19"/>
  <c r="L141" i="19"/>
  <c r="H17" i="66"/>
  <c r="L152" i="19"/>
  <c r="L36" i="19"/>
  <c r="L89" i="19"/>
  <c r="L163" i="19"/>
  <c r="L14" i="19"/>
  <c r="L170" i="19"/>
  <c r="L26" i="19"/>
  <c r="H23" i="66"/>
  <c r="L33" i="19"/>
  <c r="L134" i="19"/>
  <c r="H49" i="66"/>
  <c r="U166" i="19"/>
  <c r="U116" i="19"/>
  <c r="U38" i="19"/>
  <c r="U17" i="19"/>
  <c r="U136" i="19"/>
  <c r="U59" i="19"/>
  <c r="U49" i="19"/>
  <c r="U29" i="19"/>
  <c r="U6" i="19"/>
  <c r="U155" i="19"/>
  <c r="Q25" i="66"/>
  <c r="U188" i="19" s="1"/>
  <c r="O157" i="19"/>
  <c r="K32" i="66"/>
  <c r="O189" i="19" s="1"/>
  <c r="O73" i="19"/>
  <c r="O83" i="19"/>
  <c r="O77" i="19"/>
  <c r="O44" i="19"/>
  <c r="O160" i="19"/>
  <c r="O66" i="19"/>
  <c r="K20" i="66"/>
  <c r="L41" i="19"/>
  <c r="L76" i="19"/>
  <c r="L71" i="19"/>
  <c r="L81" i="19"/>
  <c r="H63" i="66"/>
  <c r="L96" i="19"/>
  <c r="L87" i="19"/>
  <c r="H48" i="66"/>
  <c r="O155" i="19"/>
  <c r="K25" i="66"/>
  <c r="O188" i="19" s="1"/>
  <c r="O166" i="19"/>
  <c r="O116" i="19"/>
  <c r="O38" i="19"/>
  <c r="O17" i="19"/>
  <c r="O136" i="19"/>
  <c r="O59" i="19"/>
  <c r="O49" i="19"/>
  <c r="O29" i="19"/>
  <c r="O6" i="19"/>
  <c r="L162" i="19"/>
  <c r="L68" i="19"/>
  <c r="L13" i="19"/>
  <c r="L169" i="19"/>
  <c r="L150" i="19"/>
  <c r="L102" i="19"/>
  <c r="L25" i="19"/>
  <c r="H36" i="66"/>
  <c r="L190" i="19" s="1"/>
  <c r="L108" i="19"/>
  <c r="L35" i="19"/>
  <c r="L117" i="19"/>
  <c r="L56" i="19"/>
  <c r="L46" i="19"/>
  <c r="Q67" i="66"/>
  <c r="U101" i="19"/>
  <c r="U107" i="19"/>
  <c r="O139" i="19"/>
  <c r="K33" i="66"/>
  <c r="L151" i="19"/>
  <c r="H38" i="66"/>
  <c r="L183" i="19" s="1"/>
  <c r="O42" i="19"/>
  <c r="O145" i="19"/>
  <c r="O92" i="19"/>
  <c r="K11" i="66"/>
  <c r="O63" i="19"/>
  <c r="L111" i="19"/>
  <c r="L147" i="19"/>
  <c r="L11" i="19"/>
  <c r="L45" i="19"/>
  <c r="H8" i="66"/>
  <c r="L146" i="19"/>
  <c r="H13" i="66"/>
  <c r="O12" i="19"/>
  <c r="K66" i="66"/>
  <c r="O149" i="19"/>
  <c r="L21" i="19"/>
  <c r="L138" i="19"/>
  <c r="H59" i="66"/>
  <c r="L20" i="19"/>
  <c r="L61" i="19"/>
  <c r="L52" i="19"/>
  <c r="L31" i="19"/>
  <c r="H44" i="66"/>
  <c r="R151" i="19"/>
  <c r="N38" i="66"/>
  <c r="R183" i="19" s="1"/>
  <c r="R140" i="19"/>
  <c r="R40" i="19"/>
  <c r="R10" i="19"/>
  <c r="N10" i="66"/>
  <c r="U122" i="19"/>
  <c r="U39" i="19"/>
  <c r="U18" i="19"/>
  <c r="U50" i="19"/>
  <c r="U7" i="19"/>
  <c r="U156" i="19"/>
  <c r="Q61" i="66"/>
  <c r="O128" i="19"/>
  <c r="O132" i="19"/>
  <c r="K55" i="66"/>
  <c r="L60" i="19"/>
  <c r="L51" i="19"/>
  <c r="H43" i="66"/>
  <c r="L72" i="19"/>
  <c r="L82" i="19"/>
  <c r="H64" i="66"/>
  <c r="L65" i="19"/>
  <c r="H29" i="66"/>
  <c r="O62" i="19"/>
  <c r="O32" i="19"/>
  <c r="O158" i="19"/>
  <c r="O9" i="19"/>
  <c r="K39" i="66"/>
  <c r="O142" i="19"/>
  <c r="L148" i="19"/>
  <c r="H5" i="66"/>
  <c r="L123" i="19"/>
  <c r="H9" i="66"/>
  <c r="O169" i="19"/>
  <c r="O150" i="19"/>
  <c r="O102" i="19"/>
  <c r="O25" i="19"/>
  <c r="O108" i="19"/>
  <c r="O35" i="19"/>
  <c r="O117" i="19"/>
  <c r="O56" i="19"/>
  <c r="O46" i="19"/>
  <c r="O162" i="19"/>
  <c r="O68" i="19"/>
  <c r="O13" i="19"/>
  <c r="K36" i="66"/>
  <c r="O190" i="19" s="1"/>
  <c r="L8" i="19"/>
  <c r="H58" i="66"/>
  <c r="L23" i="19"/>
  <c r="H51" i="66"/>
  <c r="R122" i="19"/>
  <c r="R39" i="19"/>
  <c r="R18" i="19"/>
  <c r="R50" i="19"/>
  <c r="R7" i="19"/>
  <c r="R156" i="19"/>
  <c r="N61" i="66"/>
  <c r="L137" i="19"/>
  <c r="L165" i="19"/>
  <c r="L16" i="19"/>
  <c r="H22" i="66"/>
  <c r="L86" i="19"/>
  <c r="L28" i="19"/>
  <c r="L5" i="19"/>
  <c r="L154" i="19"/>
  <c r="O148" i="19"/>
  <c r="K5" i="66"/>
  <c r="L57" i="19"/>
  <c r="L47" i="19"/>
  <c r="L74" i="19"/>
  <c r="L69" i="19"/>
  <c r="L84" i="19"/>
  <c r="L78" i="19"/>
  <c r="H21" i="66"/>
  <c r="O76" i="19"/>
  <c r="O71" i="19"/>
  <c r="O81" i="19"/>
  <c r="K63" i="66"/>
  <c r="O41" i="19"/>
  <c r="L121" i="19"/>
  <c r="L131" i="19"/>
  <c r="L126" i="19"/>
  <c r="H26" i="66"/>
  <c r="K38" i="66"/>
  <c r="O183" i="19" s="1"/>
  <c r="O151" i="19"/>
  <c r="L62" i="19"/>
  <c r="L32" i="19"/>
  <c r="L158" i="19"/>
  <c r="L9" i="19"/>
  <c r="H39" i="66"/>
  <c r="O123" i="19"/>
  <c r="K9" i="66"/>
  <c r="R107" i="19"/>
  <c r="R101" i="19"/>
  <c r="N67" i="66"/>
  <c r="L67" i="19"/>
  <c r="L168" i="19"/>
  <c r="L34" i="19"/>
  <c r="H47" i="66"/>
  <c r="L22" i="19"/>
  <c r="H60" i="66"/>
  <c r="L30" i="19"/>
  <c r="H42" i="66"/>
  <c r="L167" i="19"/>
  <c r="L106" i="19"/>
  <c r="L19" i="19"/>
  <c r="O146" i="19"/>
  <c r="K13" i="66"/>
  <c r="L50" i="19"/>
  <c r="L7" i="19"/>
  <c r="L156" i="19"/>
  <c r="L122" i="19"/>
  <c r="L39" i="19"/>
  <c r="L18" i="19"/>
  <c r="H61" i="66"/>
  <c r="L132" i="19"/>
  <c r="L128" i="19"/>
  <c r="H55" i="66"/>
  <c r="L133" i="19"/>
  <c r="H45" i="66"/>
  <c r="L53" i="19"/>
  <c r="H52" i="66"/>
  <c r="R147" i="19"/>
  <c r="R11" i="19"/>
  <c r="R45" i="19"/>
  <c r="R111" i="19"/>
  <c r="N8" i="66"/>
  <c r="R139" i="19"/>
  <c r="N33" i="66"/>
  <c r="L160" i="19"/>
  <c r="L66" i="19"/>
  <c r="L73" i="19"/>
  <c r="H20" i="66"/>
  <c r="L83" i="19"/>
  <c r="L77" i="19"/>
  <c r="L44" i="19"/>
  <c r="L101" i="19"/>
  <c r="L107" i="19"/>
  <c r="H67" i="66"/>
  <c r="L157" i="19"/>
  <c r="H32" i="66"/>
  <c r="L189" i="19" s="1"/>
  <c r="L10" i="19"/>
  <c r="L140" i="19"/>
  <c r="L40" i="19"/>
  <c r="H10" i="66"/>
  <c r="R81" i="19"/>
  <c r="R41" i="19"/>
  <c r="R76" i="19"/>
  <c r="R71" i="19"/>
  <c r="N63" i="66"/>
  <c r="O147" i="19"/>
  <c r="O11" i="19"/>
  <c r="O45" i="19"/>
  <c r="O111" i="19"/>
  <c r="K8" i="66"/>
  <c r="L161" i="19"/>
  <c r="H34" i="66"/>
  <c r="L143" i="19"/>
  <c r="H16" i="66"/>
  <c r="L144" i="19"/>
  <c r="H15" i="66"/>
  <c r="O165" i="19"/>
  <c r="O16" i="19"/>
  <c r="O86" i="19"/>
  <c r="O28" i="19"/>
  <c r="O5" i="19"/>
  <c r="O154" i="19"/>
  <c r="O137" i="19"/>
  <c r="K22" i="66"/>
  <c r="R83" i="19"/>
  <c r="R77" i="19"/>
  <c r="R44" i="19"/>
  <c r="R160" i="19"/>
  <c r="R66" i="19"/>
  <c r="R73" i="19"/>
  <c r="N20" i="66"/>
  <c r="L136" i="19"/>
  <c r="L59" i="19"/>
  <c r="L49" i="19"/>
  <c r="L29" i="19"/>
  <c r="L6" i="19"/>
  <c r="L155" i="19"/>
  <c r="L166" i="19"/>
  <c r="L116" i="19"/>
  <c r="L38" i="19"/>
  <c r="L17" i="19"/>
  <c r="H25" i="66"/>
  <c r="L188" i="19" s="1"/>
  <c r="R166" i="19"/>
  <c r="R116" i="19"/>
  <c r="R38" i="19"/>
  <c r="R17" i="19"/>
  <c r="R136" i="19"/>
  <c r="R59" i="19"/>
  <c r="R49" i="19"/>
  <c r="R29" i="19"/>
  <c r="R6" i="19"/>
  <c r="R155" i="19"/>
  <c r="N25" i="66"/>
  <c r="R188" i="19" s="1"/>
  <c r="R148" i="19"/>
  <c r="N5" i="66"/>
  <c r="L174" i="19"/>
  <c r="H14" i="66"/>
  <c r="L139" i="19"/>
  <c r="H33" i="66"/>
  <c r="L142" i="19"/>
  <c r="H4" i="66"/>
  <c r="O101" i="19"/>
  <c r="O107" i="19"/>
  <c r="K67" i="66"/>
  <c r="L12" i="19"/>
  <c r="L149" i="19"/>
  <c r="H66" i="66"/>
  <c r="L54" i="19"/>
  <c r="H54" i="66"/>
  <c r="L24" i="19"/>
  <c r="L112" i="19"/>
  <c r="L118" i="19"/>
  <c r="H37" i="66"/>
  <c r="O10" i="19"/>
  <c r="O140" i="19"/>
  <c r="O40" i="19"/>
  <c r="K10" i="66"/>
  <c r="K14" i="66"/>
  <c r="O174" i="19"/>
  <c r="O156" i="19"/>
  <c r="K61" i="66"/>
  <c r="O122" i="19"/>
  <c r="O39" i="19"/>
  <c r="O18" i="19"/>
  <c r="O50" i="19"/>
  <c r="O7" i="19"/>
  <c r="L127" i="19"/>
  <c r="H53" i="66"/>
  <c r="L55" i="19"/>
  <c r="L159" i="19"/>
  <c r="H28" i="66"/>
  <c r="L64" i="19"/>
  <c r="L43" i="19"/>
  <c r="O97" i="19"/>
  <c r="O88" i="19"/>
  <c r="O91" i="19"/>
  <c r="K46" i="66"/>
  <c r="U45" i="19"/>
  <c r="U111" i="19"/>
  <c r="U147" i="19"/>
  <c r="U11" i="19"/>
  <c r="J146" i="61"/>
  <c r="J129" i="61"/>
  <c r="J122" i="61"/>
  <c r="U21" i="11"/>
  <c r="L22" i="11" s="1"/>
  <c r="G18" i="9" s="1"/>
  <c r="Q21" i="11"/>
  <c r="H22" i="11" s="1"/>
  <c r="M21" i="11"/>
  <c r="D22" i="11" s="1"/>
  <c r="D13" i="9" s="1"/>
  <c r="T21" i="11"/>
  <c r="K22" i="11" s="1"/>
  <c r="G17" i="9" s="1"/>
  <c r="R21" i="11"/>
  <c r="I22" i="11" s="1"/>
  <c r="O21" i="11"/>
  <c r="F22" i="11" s="1"/>
  <c r="F13" i="9" s="1"/>
  <c r="P21" i="11"/>
  <c r="G22" i="11" s="1"/>
  <c r="D14" i="9" s="1"/>
  <c r="N21" i="11"/>
  <c r="E22" i="11" s="1"/>
  <c r="E13" i="9" s="1"/>
  <c r="J186" i="61"/>
  <c r="R179" i="17" s="1"/>
  <c r="J134" i="61"/>
  <c r="J132" i="61"/>
  <c r="L132" i="17"/>
  <c r="L133" i="17"/>
  <c r="L140" i="17"/>
  <c r="L142" i="17"/>
  <c r="L141" i="17"/>
  <c r="L145" i="17"/>
  <c r="L144" i="17"/>
  <c r="L146" i="17"/>
  <c r="L135" i="17"/>
  <c r="L136" i="17"/>
  <c r="L138" i="17"/>
  <c r="L137" i="17"/>
  <c r="L106" i="17"/>
  <c r="L103" i="17"/>
  <c r="L105" i="17"/>
  <c r="L104" i="17"/>
  <c r="L107" i="17"/>
  <c r="L111" i="17"/>
  <c r="L110" i="17"/>
  <c r="L109" i="17"/>
  <c r="L44" i="17"/>
  <c r="L40" i="17"/>
  <c r="L43" i="17"/>
  <c r="L39" i="17"/>
  <c r="L37" i="17"/>
  <c r="L42" i="17"/>
  <c r="L38" i="17"/>
  <c r="L41" i="17"/>
  <c r="L24" i="17"/>
  <c r="L20" i="17"/>
  <c r="L16" i="17"/>
  <c r="L12" i="17"/>
  <c r="L8" i="17"/>
  <c r="L15" i="17"/>
  <c r="L7" i="17"/>
  <c r="L21" i="17"/>
  <c r="L13" i="17"/>
  <c r="L23" i="17"/>
  <c r="L19" i="17"/>
  <c r="L11" i="17"/>
  <c r="L17" i="17"/>
  <c r="L9" i="17"/>
  <c r="L22" i="17"/>
  <c r="L18" i="17"/>
  <c r="L14" i="17"/>
  <c r="L10" i="17"/>
  <c r="L6" i="17"/>
  <c r="L35" i="17"/>
  <c r="L31" i="17"/>
  <c r="P31" i="17" s="1"/>
  <c r="L27" i="17"/>
  <c r="L28" i="17"/>
  <c r="L34" i="17"/>
  <c r="L30" i="17"/>
  <c r="P30" i="17" s="1"/>
  <c r="L26" i="17"/>
  <c r="L32" i="17"/>
  <c r="L33" i="17"/>
  <c r="L29" i="17"/>
  <c r="L123" i="17"/>
  <c r="L119" i="17"/>
  <c r="L124" i="17"/>
  <c r="L122" i="17"/>
  <c r="L118" i="17"/>
  <c r="L121" i="17"/>
  <c r="L117" i="17"/>
  <c r="L120" i="17"/>
  <c r="L128" i="17"/>
  <c r="L126" i="17"/>
  <c r="L127" i="17"/>
  <c r="L114" i="17"/>
  <c r="L113" i="17"/>
  <c r="L115" i="17"/>
  <c r="L93" i="17"/>
  <c r="L89" i="17"/>
  <c r="L92" i="17"/>
  <c r="L91" i="17"/>
  <c r="L90" i="17"/>
  <c r="L99" i="17"/>
  <c r="L98" i="17"/>
  <c r="L100" i="17"/>
  <c r="L101" i="17"/>
  <c r="L97" i="17"/>
  <c r="L67" i="17"/>
  <c r="L70" i="17"/>
  <c r="L66" i="17"/>
  <c r="L64" i="17"/>
  <c r="L69" i="17"/>
  <c r="L65" i="17"/>
  <c r="L68" i="17"/>
  <c r="L62" i="17"/>
  <c r="L58" i="17"/>
  <c r="L54" i="17"/>
  <c r="L50" i="17"/>
  <c r="L46" i="17"/>
  <c r="L59" i="17"/>
  <c r="L51" i="17"/>
  <c r="L61" i="17"/>
  <c r="L57" i="17"/>
  <c r="L53" i="17"/>
  <c r="L49" i="17"/>
  <c r="L47" i="17"/>
  <c r="L60" i="17"/>
  <c r="L56" i="17"/>
  <c r="L52" i="17"/>
  <c r="L48" i="17"/>
  <c r="L55" i="17"/>
  <c r="L84" i="17"/>
  <c r="L80" i="17"/>
  <c r="L76" i="17"/>
  <c r="L72" i="17"/>
  <c r="L85" i="17"/>
  <c r="L73" i="17"/>
  <c r="L87" i="17"/>
  <c r="L83" i="17"/>
  <c r="L79" i="17"/>
  <c r="L75" i="17"/>
  <c r="L77" i="17"/>
  <c r="L86" i="17"/>
  <c r="L82" i="17"/>
  <c r="L78" i="17"/>
  <c r="L74" i="17"/>
  <c r="L81" i="17"/>
  <c r="J111" i="61"/>
  <c r="J130" i="61"/>
  <c r="R33" i="17" s="1"/>
  <c r="J131" i="61"/>
  <c r="J169" i="61"/>
  <c r="J152" i="61"/>
  <c r="J147" i="61"/>
  <c r="R32" i="17" s="1"/>
  <c r="J139" i="61"/>
  <c r="J110" i="61"/>
  <c r="T154" i="17" s="1"/>
  <c r="N72" i="66"/>
  <c r="R198" i="19" s="1"/>
  <c r="J197" i="61"/>
  <c r="R215" i="17" s="1"/>
  <c r="J196" i="61"/>
  <c r="Q214" i="17" s="1"/>
  <c r="J195" i="61"/>
  <c r="R213" i="17" s="1"/>
  <c r="J193" i="61"/>
  <c r="R211" i="17" s="1"/>
  <c r="J192" i="61"/>
  <c r="Q210" i="17" s="1"/>
  <c r="J191" i="61"/>
  <c r="R209" i="17" s="1"/>
  <c r="J187" i="61"/>
  <c r="J182" i="61"/>
  <c r="J180" i="61"/>
  <c r="R152" i="17" s="1"/>
  <c r="J172" i="61"/>
  <c r="R76" i="17" s="1"/>
  <c r="J168" i="61"/>
  <c r="J167" i="61"/>
  <c r="J166" i="61"/>
  <c r="J165" i="61"/>
  <c r="J164" i="61"/>
  <c r="R67" i="17" s="1"/>
  <c r="J163" i="61"/>
  <c r="J160" i="61"/>
  <c r="J159" i="61"/>
  <c r="J156" i="61"/>
  <c r="J155" i="61"/>
  <c r="R145" i="17" s="1"/>
  <c r="J153" i="61"/>
  <c r="R201" i="17" s="1"/>
  <c r="J151" i="61"/>
  <c r="J149" i="61"/>
  <c r="J148" i="61"/>
  <c r="J144" i="61"/>
  <c r="R150" i="17" s="1"/>
  <c r="J142" i="61"/>
  <c r="J141" i="61"/>
  <c r="J137" i="61"/>
  <c r="J135" i="61"/>
  <c r="J128" i="61"/>
  <c r="J127" i="61"/>
  <c r="J124" i="61"/>
  <c r="J123" i="61"/>
  <c r="R117" i="17" s="1"/>
  <c r="J118" i="61"/>
  <c r="J117" i="61"/>
  <c r="J116" i="61"/>
  <c r="J107" i="61"/>
  <c r="R12" i="17" s="1"/>
  <c r="J119" i="61"/>
  <c r="J109" i="61"/>
  <c r="J108" i="61"/>
  <c r="J106" i="61"/>
  <c r="J104" i="61"/>
  <c r="R182" i="17" s="1"/>
  <c r="J102" i="61"/>
  <c r="J99" i="61"/>
  <c r="J98" i="61"/>
  <c r="J97" i="61"/>
  <c r="J94" i="61"/>
  <c r="J93" i="61"/>
  <c r="J92" i="61"/>
  <c r="J91" i="61"/>
  <c r="J90" i="61"/>
  <c r="J86" i="61"/>
  <c r="J84" i="61"/>
  <c r="J82" i="61"/>
  <c r="J81" i="61"/>
  <c r="J80" i="61"/>
  <c r="J79" i="61"/>
  <c r="J77" i="61"/>
  <c r="J75" i="61"/>
  <c r="J71" i="61"/>
  <c r="J68" i="61"/>
  <c r="R100" i="17" s="1"/>
  <c r="J30" i="61"/>
  <c r="J70" i="61"/>
  <c r="J67" i="61"/>
  <c r="J65" i="61"/>
  <c r="J64" i="61"/>
  <c r="J63" i="61"/>
  <c r="J62" i="61"/>
  <c r="J61" i="61"/>
  <c r="J54" i="61"/>
  <c r="J52" i="61"/>
  <c r="J46" i="61"/>
  <c r="J45" i="61"/>
  <c r="J44" i="61"/>
  <c r="J42" i="61"/>
  <c r="J41" i="61"/>
  <c r="J40" i="61"/>
  <c r="J32" i="61"/>
  <c r="J31" i="61"/>
  <c r="D206" i="67"/>
  <c r="X95" i="17" l="1"/>
  <c r="D15" i="9"/>
  <c r="L203" i="17" s="1"/>
  <c r="X203" i="17" s="1"/>
  <c r="AP203" i="17" s="1"/>
  <c r="L206" i="17"/>
  <c r="L205" i="17"/>
  <c r="L207" i="17"/>
  <c r="E14" i="9"/>
  <c r="L201" i="17" s="1"/>
  <c r="P201" i="17" s="1"/>
  <c r="T169" i="17"/>
  <c r="T136" i="17"/>
  <c r="X136" i="17" s="1"/>
  <c r="T135" i="17"/>
  <c r="X135" i="17" s="1"/>
  <c r="T137" i="17"/>
  <c r="X137" i="17" s="1"/>
  <c r="S59" i="17"/>
  <c r="S162" i="17"/>
  <c r="S122" i="17"/>
  <c r="S92" i="17"/>
  <c r="S22" i="17"/>
  <c r="S168" i="17"/>
  <c r="Q95" i="17"/>
  <c r="Q58" i="17"/>
  <c r="Q57" i="17"/>
  <c r="Q48" i="17"/>
  <c r="Q90" i="17"/>
  <c r="Q89" i="17"/>
  <c r="Q86" i="17"/>
  <c r="Q85" i="17"/>
  <c r="Q84" i="17"/>
  <c r="Q74" i="17"/>
  <c r="Q98" i="17"/>
  <c r="Q186" i="17"/>
  <c r="Q97" i="17"/>
  <c r="Q66" i="17"/>
  <c r="Q187" i="17"/>
  <c r="Q173" i="17"/>
  <c r="Y173" i="17" s="1" a="1"/>
  <c r="Y173" i="17" s="1"/>
  <c r="Q149" i="17"/>
  <c r="Y149" i="17" s="1" a="1"/>
  <c r="Y149" i="17" s="1"/>
  <c r="Q148" i="17"/>
  <c r="Q132" i="17"/>
  <c r="Q51" i="17"/>
  <c r="Q46" i="17"/>
  <c r="Y46" i="17" s="1" a="1"/>
  <c r="Y46" i="17" s="1"/>
  <c r="Q207" i="17"/>
  <c r="Q205" i="17"/>
  <c r="Q192" i="17"/>
  <c r="Q127" i="17"/>
  <c r="Q72" i="17"/>
  <c r="Q14" i="17"/>
  <c r="Y14" i="17" s="1" a="1"/>
  <c r="Y14" i="17" s="1"/>
  <c r="Q9" i="17"/>
  <c r="Y9" i="17" s="1" a="1"/>
  <c r="Y9" i="17" s="1"/>
  <c r="Q6" i="17"/>
  <c r="Y6" i="17" s="1" a="1"/>
  <c r="Y6" i="17" s="1"/>
  <c r="Q117" i="17"/>
  <c r="Y117" i="17" s="1" a="1"/>
  <c r="Y117" i="17" s="1"/>
  <c r="Q31" i="17"/>
  <c r="Q178" i="17"/>
  <c r="Q27" i="17"/>
  <c r="Q65" i="17"/>
  <c r="Q37" i="17"/>
  <c r="Q69" i="17"/>
  <c r="R39" i="17"/>
  <c r="Y39" i="17" s="1" a="1"/>
  <c r="Y39" i="17" s="1"/>
  <c r="Q188" i="17"/>
  <c r="R11" i="17"/>
  <c r="R75" i="17"/>
  <c r="Y75" i="17" s="1" a="1"/>
  <c r="Y75" i="17" s="1"/>
  <c r="R28" i="17"/>
  <c r="Y28" i="17" s="1" a="1"/>
  <c r="Y28" i="17" s="1"/>
  <c r="Q179" i="17"/>
  <c r="Y179" i="17" s="1" a="1"/>
  <c r="Y179" i="17" s="1"/>
  <c r="R13" i="17"/>
  <c r="Y13" i="17" s="1" a="1"/>
  <c r="Y13" i="17" s="1"/>
  <c r="R34" i="17"/>
  <c r="R29" i="17"/>
  <c r="R27" i="17"/>
  <c r="T203" i="17"/>
  <c r="U204" i="17"/>
  <c r="S133" i="17"/>
  <c r="S132" i="17"/>
  <c r="S130" i="17"/>
  <c r="R132" i="17"/>
  <c r="Y132" i="17" s="1" a="1"/>
  <c r="Y132" i="17" s="1"/>
  <c r="R206" i="17"/>
  <c r="Y206" i="17" s="1" a="1"/>
  <c r="Y206" i="17" s="1"/>
  <c r="R205" i="17"/>
  <c r="R176" i="17"/>
  <c r="R170" i="17"/>
  <c r="Y170" i="17" s="1" a="1"/>
  <c r="Y170" i="17" s="1"/>
  <c r="R83" i="17"/>
  <c r="R79" i="17"/>
  <c r="R50" i="17"/>
  <c r="Y50" i="17" s="1" a="1"/>
  <c r="Y50" i="17" s="1"/>
  <c r="R174" i="17"/>
  <c r="Y174" i="17" s="1" a="1"/>
  <c r="Y174" i="17" s="1"/>
  <c r="R161" i="17"/>
  <c r="Y161" i="17" s="1" a="1"/>
  <c r="Y161" i="17" s="1"/>
  <c r="R21" i="17"/>
  <c r="Y21" i="17" s="1" a="1"/>
  <c r="Y21" i="17" s="1"/>
  <c r="R162" i="17"/>
  <c r="R22" i="17"/>
  <c r="Y22" i="17" s="1" a="1"/>
  <c r="Y22" i="17" s="1"/>
  <c r="R195" i="17"/>
  <c r="R105" i="17"/>
  <c r="Y105" i="17" s="1" a="1"/>
  <c r="Y105" i="17" s="1"/>
  <c r="R185" i="17"/>
  <c r="R183" i="17"/>
  <c r="R20" i="17"/>
  <c r="Y20" i="17" s="1" a="1"/>
  <c r="Y20" i="17" s="1"/>
  <c r="R43" i="17"/>
  <c r="R166" i="17"/>
  <c r="R159" i="17"/>
  <c r="R35" i="17"/>
  <c r="R144" i="17"/>
  <c r="R140" i="17"/>
  <c r="R137" i="17"/>
  <c r="Y137" i="17" s="1" a="1"/>
  <c r="Y137" i="17" s="1"/>
  <c r="R196" i="17"/>
  <c r="Y196" i="17" s="1" a="1"/>
  <c r="Y196" i="17" s="1"/>
  <c r="R87" i="17"/>
  <c r="Y87" i="17" s="1" a="1"/>
  <c r="Y87" i="17" s="1"/>
  <c r="R44" i="17"/>
  <c r="R142" i="17"/>
  <c r="R141" i="17"/>
  <c r="Y141" i="17" s="1" a="1"/>
  <c r="Y141" i="17" s="1"/>
  <c r="R110" i="17"/>
  <c r="R109" i="17"/>
  <c r="T103" i="17"/>
  <c r="R113" i="17"/>
  <c r="Y113" i="17" s="1" a="1"/>
  <c r="Y113" i="17" s="1"/>
  <c r="R114" i="17"/>
  <c r="R90" i="17"/>
  <c r="R86" i="17"/>
  <c r="R84" i="17"/>
  <c r="R187" i="17"/>
  <c r="R101" i="17"/>
  <c r="Y101" i="17" s="1" a="1"/>
  <c r="Y101" i="17" s="1"/>
  <c r="R97" i="17"/>
  <c r="R57" i="17"/>
  <c r="R95" i="17"/>
  <c r="R146" i="17"/>
  <c r="R81" i="17"/>
  <c r="Y81" i="17" s="1" a="1"/>
  <c r="Y81" i="17" s="1"/>
  <c r="R41" i="17"/>
  <c r="Y41" i="17" s="1" a="1"/>
  <c r="Y41" i="17" s="1"/>
  <c r="T166" i="17"/>
  <c r="T165" i="17"/>
  <c r="R171" i="17"/>
  <c r="Y171" i="17" s="1" a="1"/>
  <c r="Y171" i="17" s="1"/>
  <c r="T172" i="17"/>
  <c r="S154" i="17"/>
  <c r="T171" i="17"/>
  <c r="T167" i="17"/>
  <c r="T156" i="17"/>
  <c r="T153" i="17"/>
  <c r="R128" i="17"/>
  <c r="R127" i="17"/>
  <c r="R126" i="17"/>
  <c r="Y126" i="17" s="1" a="1"/>
  <c r="Y126" i="17" s="1"/>
  <c r="R42" i="17"/>
  <c r="T48" i="17"/>
  <c r="T58" i="17"/>
  <c r="X58" i="17" s="1"/>
  <c r="T56" i="17"/>
  <c r="T59" i="17"/>
  <c r="X59" i="17" s="1"/>
  <c r="T57" i="17"/>
  <c r="X57" i="17" s="1"/>
  <c r="T60" i="17"/>
  <c r="X60" i="17" s="1"/>
  <c r="T46" i="17"/>
  <c r="X46" i="17" s="1"/>
  <c r="R80" i="17"/>
  <c r="Y80" i="17" s="1" a="1"/>
  <c r="Y80" i="17" s="1"/>
  <c r="R40" i="17"/>
  <c r="R124" i="17"/>
  <c r="Y124" i="17" s="1" a="1"/>
  <c r="Y124" i="17" s="1"/>
  <c r="R121" i="17"/>
  <c r="Y121" i="17" s="1" a="1"/>
  <c r="Y121" i="17" s="1"/>
  <c r="R119" i="17"/>
  <c r="Y119" i="17" s="1" a="1"/>
  <c r="Y119" i="17" s="1"/>
  <c r="R118" i="17"/>
  <c r="Y118" i="17" s="1" a="1"/>
  <c r="Y118" i="17" s="1"/>
  <c r="T162" i="17"/>
  <c r="T161" i="17"/>
  <c r="T160" i="17"/>
  <c r="T159" i="17"/>
  <c r="T158" i="17"/>
  <c r="T157" i="17"/>
  <c r="R69" i="17"/>
  <c r="R68" i="17"/>
  <c r="R31" i="17"/>
  <c r="R30" i="17"/>
  <c r="Y30" i="17" s="1" a="1"/>
  <c r="Y30" i="17" s="1"/>
  <c r="T151" i="17"/>
  <c r="T198" i="17"/>
  <c r="R191" i="17"/>
  <c r="R64" i="17"/>
  <c r="R7" i="17"/>
  <c r="Y7" i="17" s="1" a="1"/>
  <c r="Y7" i="17" s="1"/>
  <c r="R148" i="17"/>
  <c r="R73" i="17"/>
  <c r="Y73" i="17" s="1" a="1"/>
  <c r="Y73" i="17" s="1"/>
  <c r="R47" i="17"/>
  <c r="Y47" i="17" s="1" a="1"/>
  <c r="Y47" i="17" s="1"/>
  <c r="R38" i="17"/>
  <c r="Y38" i="17" s="1" a="1"/>
  <c r="Y38" i="17" s="1"/>
  <c r="R15" i="17"/>
  <c r="Y15" i="17" s="1" a="1"/>
  <c r="Y15" i="17" s="1"/>
  <c r="R26" i="17"/>
  <c r="Y26" i="17" s="1" a="1"/>
  <c r="Y26" i="17" s="1"/>
  <c r="R133" i="17"/>
  <c r="Y133" i="17" s="1" a="1"/>
  <c r="Y133" i="17" s="1"/>
  <c r="T155" i="17"/>
  <c r="T149" i="17"/>
  <c r="T148" i="17"/>
  <c r="U131" i="17"/>
  <c r="T130" i="17"/>
  <c r="X130" i="17" s="1"/>
  <c r="T50" i="17"/>
  <c r="X50" i="17" s="1"/>
  <c r="T49" i="17"/>
  <c r="X49" i="17" s="1"/>
  <c r="T47" i="17"/>
  <c r="X47" i="17" s="1"/>
  <c r="T53" i="17"/>
  <c r="X53" i="17" s="1"/>
  <c r="T22" i="17"/>
  <c r="X22" i="17" s="1"/>
  <c r="T21" i="17"/>
  <c r="X21" i="17" s="1"/>
  <c r="T20" i="17"/>
  <c r="X20" i="17" s="1"/>
  <c r="T19" i="17"/>
  <c r="X19" i="17" s="1"/>
  <c r="T18" i="17"/>
  <c r="T15" i="17"/>
  <c r="X15" i="17" s="1"/>
  <c r="T14" i="17"/>
  <c r="X14" i="17" s="1"/>
  <c r="T13" i="17"/>
  <c r="X13" i="17" s="1"/>
  <c r="T12" i="17"/>
  <c r="X12" i="17" s="1"/>
  <c r="T11" i="17"/>
  <c r="X11" i="17" s="1"/>
  <c r="T8" i="17"/>
  <c r="X8" i="17" s="1"/>
  <c r="T7" i="17"/>
  <c r="X7" i="17" s="1"/>
  <c r="T6" i="17"/>
  <c r="X6" i="17" s="1"/>
  <c r="U200" i="17"/>
  <c r="T199" i="17"/>
  <c r="R189" i="17"/>
  <c r="R186" i="17"/>
  <c r="R66" i="17"/>
  <c r="R74" i="17"/>
  <c r="R48" i="17"/>
  <c r="Q166" i="17"/>
  <c r="Q165" i="17"/>
  <c r="Y165" i="17" s="1" a="1"/>
  <c r="Y165" i="17" s="1"/>
  <c r="Q160" i="17"/>
  <c r="Y160" i="17" s="1" a="1"/>
  <c r="Y160" i="17" s="1"/>
  <c r="Q159" i="17"/>
  <c r="Q195" i="17"/>
  <c r="Q194" i="17"/>
  <c r="Q106" i="17"/>
  <c r="Q185" i="17"/>
  <c r="Q184" i="17"/>
  <c r="Q19" i="17"/>
  <c r="Y19" i="17" s="1" a="1"/>
  <c r="Y19" i="17" s="1"/>
  <c r="Q183" i="17"/>
  <c r="Q35" i="17"/>
  <c r="Q182" i="17"/>
  <c r="Y182" i="17" s="1" a="1"/>
  <c r="Y182" i="17" s="1"/>
  <c r="Q42" i="17"/>
  <c r="Q34" i="17"/>
  <c r="R93" i="17"/>
  <c r="Y93" i="17" s="1" a="1"/>
  <c r="Y93" i="17" s="1"/>
  <c r="R92" i="17"/>
  <c r="Y92" i="17" s="1" a="1"/>
  <c r="Y92" i="17" s="1"/>
  <c r="R89" i="17"/>
  <c r="R98" i="17"/>
  <c r="R60" i="17"/>
  <c r="Y60" i="17" s="1" a="1"/>
  <c r="Y60" i="17" s="1"/>
  <c r="R59" i="17"/>
  <c r="Y59" i="17" s="1" a="1"/>
  <c r="Y59" i="17" s="1"/>
  <c r="R58" i="17"/>
  <c r="R107" i="17"/>
  <c r="R106" i="17"/>
  <c r="T105" i="17"/>
  <c r="R115" i="17"/>
  <c r="T106" i="17"/>
  <c r="R207" i="17"/>
  <c r="R180" i="17"/>
  <c r="T170" i="17"/>
  <c r="T168" i="17"/>
  <c r="R157" i="17"/>
  <c r="Y157" i="17" s="1" a="1"/>
  <c r="Y157" i="17" s="1"/>
  <c r="R55" i="17"/>
  <c r="Y55" i="17" s="1" a="1"/>
  <c r="Y55" i="17" s="1"/>
  <c r="R17" i="17"/>
  <c r="R123" i="17"/>
  <c r="Y123" i="17" s="1" a="1"/>
  <c r="Y123" i="17" s="1"/>
  <c r="R122" i="17"/>
  <c r="R120" i="17"/>
  <c r="Y120" i="17" s="1" a="1"/>
  <c r="Y120" i="17" s="1"/>
  <c r="R23" i="17"/>
  <c r="Y23" i="17" s="1" a="1"/>
  <c r="Y23" i="17" s="1"/>
  <c r="R62" i="17"/>
  <c r="Y62" i="17" s="1" a="1"/>
  <c r="Y62" i="17" s="1"/>
  <c r="R61" i="17"/>
  <c r="T52" i="17"/>
  <c r="X52" i="17" s="1"/>
  <c r="R164" i="17"/>
  <c r="Y164" i="17" s="1" a="1"/>
  <c r="Y164" i="17" s="1"/>
  <c r="R163" i="17"/>
  <c r="Y163" i="17" s="1" a="1"/>
  <c r="Y163" i="17" s="1"/>
  <c r="R24" i="17"/>
  <c r="R10" i="17"/>
  <c r="R85" i="17"/>
  <c r="R77" i="17"/>
  <c r="Y77" i="17" s="1" a="1"/>
  <c r="Y77" i="17" s="1"/>
  <c r="R70" i="17"/>
  <c r="Y70" i="17" s="1" a="1"/>
  <c r="Y70" i="17" s="1"/>
  <c r="R65" i="17"/>
  <c r="R72" i="17"/>
  <c r="R91" i="17"/>
  <c r="Y91" i="17" s="1" a="1"/>
  <c r="Y91" i="17" s="1"/>
  <c r="R99" i="17"/>
  <c r="Y99" i="17" s="1" a="1"/>
  <c r="Y99" i="17" s="1"/>
  <c r="S155" i="17"/>
  <c r="S35" i="17"/>
  <c r="S34" i="17"/>
  <c r="S33" i="17"/>
  <c r="S29" i="17"/>
  <c r="S28" i="17"/>
  <c r="S27" i="17"/>
  <c r="S26" i="17"/>
  <c r="U177" i="17"/>
  <c r="T176" i="17"/>
  <c r="T175" i="17"/>
  <c r="T69" i="17"/>
  <c r="X69" i="17" s="1"/>
  <c r="T68" i="17"/>
  <c r="X68" i="17" s="1"/>
  <c r="R181" i="17"/>
  <c r="R138" i="17"/>
  <c r="Y138" i="17" s="1" a="1"/>
  <c r="Y138" i="17" s="1"/>
  <c r="T31" i="17"/>
  <c r="X31" i="17" s="1"/>
  <c r="T30" i="17"/>
  <c r="T16" i="17"/>
  <c r="X16" i="17" s="1"/>
  <c r="R54" i="17"/>
  <c r="Y54" i="17" s="1" a="1"/>
  <c r="Y54" i="17" s="1"/>
  <c r="T174" i="17"/>
  <c r="T173" i="17"/>
  <c r="Y214" i="17" a="1"/>
  <c r="Y214" i="17" s="1"/>
  <c r="Y213" i="17" a="1"/>
  <c r="Y213" i="17" s="1"/>
  <c r="Y211" i="17" a="1"/>
  <c r="Y211" i="17" s="1"/>
  <c r="Y210" i="17" a="1"/>
  <c r="Y210" i="17" s="1"/>
  <c r="Y209" i="17" a="1"/>
  <c r="Y209" i="17" s="1"/>
  <c r="Y152" i="17" a="1"/>
  <c r="Y152" i="17" s="1"/>
  <c r="Y76" i="17" a="1"/>
  <c r="Y76" i="17" s="1"/>
  <c r="X48" i="17"/>
  <c r="Y67" i="17" a="1"/>
  <c r="Y67" i="17" s="1"/>
  <c r="Y145" i="17" a="1"/>
  <c r="Y145" i="17" s="1"/>
  <c r="Y201" i="17" a="1"/>
  <c r="Y201" i="17" s="1"/>
  <c r="X30" i="17"/>
  <c r="Y32" i="17" a="1"/>
  <c r="Y32" i="17" s="1"/>
  <c r="Y150" i="17" a="1"/>
  <c r="Y150" i="17" s="1"/>
  <c r="Y12" i="17" a="1"/>
  <c r="Y12" i="17" s="1"/>
  <c r="Y100" i="17" a="1"/>
  <c r="Y100" i="17" s="1"/>
  <c r="L215" i="17"/>
  <c r="L214" i="17"/>
  <c r="L213" i="17"/>
  <c r="L185" i="17"/>
  <c r="L184" i="17"/>
  <c r="L183" i="17"/>
  <c r="L182" i="17"/>
  <c r="L189" i="17"/>
  <c r="L181" i="17"/>
  <c r="L180" i="17"/>
  <c r="L179" i="17"/>
  <c r="L178" i="17"/>
  <c r="L186" i="17"/>
  <c r="L188" i="17"/>
  <c r="L187" i="17"/>
  <c r="L211" i="17"/>
  <c r="L210" i="17"/>
  <c r="L209" i="17"/>
  <c r="L198" i="17"/>
  <c r="L199" i="17"/>
  <c r="L174" i="17"/>
  <c r="L158" i="17"/>
  <c r="L171" i="17"/>
  <c r="L165" i="17"/>
  <c r="L149" i="17"/>
  <c r="L172" i="17"/>
  <c r="L156" i="17"/>
  <c r="L151" i="17"/>
  <c r="L162" i="17"/>
  <c r="L175" i="17"/>
  <c r="L160" i="17"/>
  <c r="L170" i="17"/>
  <c r="L154" i="17"/>
  <c r="L159" i="17"/>
  <c r="L161" i="17"/>
  <c r="L167" i="17"/>
  <c r="L168" i="17"/>
  <c r="L152" i="17"/>
  <c r="L148" i="17"/>
  <c r="L153" i="17"/>
  <c r="L163" i="17"/>
  <c r="L166" i="17"/>
  <c r="L150" i="17"/>
  <c r="L173" i="17"/>
  <c r="L157" i="17"/>
  <c r="L155" i="17"/>
  <c r="L164" i="17"/>
  <c r="L169" i="17"/>
  <c r="L176" i="17"/>
  <c r="L191" i="17"/>
  <c r="L195" i="17"/>
  <c r="L194" i="17"/>
  <c r="L196" i="17"/>
  <c r="L192" i="17"/>
  <c r="L193" i="17"/>
  <c r="P82" i="17"/>
  <c r="X82" i="17"/>
  <c r="P56" i="17"/>
  <c r="X98" i="17"/>
  <c r="P98" i="17"/>
  <c r="X118" i="17"/>
  <c r="P118" i="17"/>
  <c r="X10" i="17"/>
  <c r="P10" i="17"/>
  <c r="P20" i="17"/>
  <c r="P136" i="17"/>
  <c r="X79" i="17"/>
  <c r="P79" i="17"/>
  <c r="P53" i="17"/>
  <c r="P69" i="17"/>
  <c r="P128" i="17"/>
  <c r="X128" i="17"/>
  <c r="X27" i="17"/>
  <c r="P27" i="17"/>
  <c r="P15" i="17"/>
  <c r="P40" i="17"/>
  <c r="X40" i="17"/>
  <c r="X103" i="17"/>
  <c r="P103" i="17"/>
  <c r="X83" i="17"/>
  <c r="P83" i="17"/>
  <c r="X72" i="17"/>
  <c r="P72" i="17"/>
  <c r="X55" i="17"/>
  <c r="P55" i="17"/>
  <c r="P60" i="17"/>
  <c r="P57" i="17"/>
  <c r="P46" i="17"/>
  <c r="X62" i="17"/>
  <c r="P62" i="17"/>
  <c r="X64" i="17"/>
  <c r="P64" i="17"/>
  <c r="X97" i="17"/>
  <c r="P97" i="17"/>
  <c r="X99" i="17"/>
  <c r="P99" i="17"/>
  <c r="X89" i="17"/>
  <c r="P89" i="17"/>
  <c r="P114" i="17"/>
  <c r="X114" i="17"/>
  <c r="X120" i="17"/>
  <c r="P120" i="17"/>
  <c r="X122" i="17"/>
  <c r="P122" i="17"/>
  <c r="X29" i="17"/>
  <c r="P29" i="17"/>
  <c r="P14" i="17"/>
  <c r="P17" i="17"/>
  <c r="X17" i="17"/>
  <c r="P13" i="17"/>
  <c r="P8" i="17"/>
  <c r="X24" i="17"/>
  <c r="P24" i="17"/>
  <c r="X37" i="17"/>
  <c r="P37" i="17"/>
  <c r="P44" i="17"/>
  <c r="X44" i="17"/>
  <c r="X107" i="17"/>
  <c r="P107" i="17"/>
  <c r="X106" i="17"/>
  <c r="P106" i="17"/>
  <c r="P135" i="17"/>
  <c r="X141" i="17"/>
  <c r="P141" i="17"/>
  <c r="X132" i="17"/>
  <c r="P132" i="17"/>
  <c r="X85" i="17"/>
  <c r="P85" i="17"/>
  <c r="P59" i="17"/>
  <c r="X67" i="17"/>
  <c r="P67" i="17"/>
  <c r="X113" i="17"/>
  <c r="P113" i="17"/>
  <c r="X26" i="17"/>
  <c r="P26" i="17"/>
  <c r="X23" i="17"/>
  <c r="P23" i="17"/>
  <c r="X42" i="17"/>
  <c r="P42" i="17"/>
  <c r="P145" i="17"/>
  <c r="X145" i="17"/>
  <c r="P86" i="17"/>
  <c r="X86" i="17"/>
  <c r="X74" i="17"/>
  <c r="P74" i="17"/>
  <c r="X77" i="17"/>
  <c r="P77" i="17"/>
  <c r="X87" i="17"/>
  <c r="P87" i="17"/>
  <c r="X76" i="17"/>
  <c r="P76" i="17"/>
  <c r="P48" i="17"/>
  <c r="P47" i="17"/>
  <c r="X61" i="17"/>
  <c r="P61" i="17"/>
  <c r="P50" i="17"/>
  <c r="P68" i="17"/>
  <c r="X66" i="17"/>
  <c r="P66" i="17"/>
  <c r="P101" i="17"/>
  <c r="X101" i="17"/>
  <c r="X90" i="17"/>
  <c r="P90" i="17"/>
  <c r="X93" i="17"/>
  <c r="P93" i="17"/>
  <c r="X127" i="17"/>
  <c r="P127" i="17"/>
  <c r="X117" i="17"/>
  <c r="P117" i="17"/>
  <c r="X124" i="17"/>
  <c r="P124" i="17"/>
  <c r="P33" i="17"/>
  <c r="X33" i="17"/>
  <c r="X34" i="17"/>
  <c r="P34" i="17"/>
  <c r="X35" i="17"/>
  <c r="P35" i="17"/>
  <c r="P18" i="17"/>
  <c r="P11" i="17"/>
  <c r="P21" i="17"/>
  <c r="P12" i="17"/>
  <c r="P41" i="17"/>
  <c r="X41" i="17"/>
  <c r="X39" i="17"/>
  <c r="P39" i="17"/>
  <c r="P109" i="17"/>
  <c r="X109" i="17"/>
  <c r="X104" i="17"/>
  <c r="P104" i="17"/>
  <c r="P137" i="17"/>
  <c r="X146" i="17"/>
  <c r="P146" i="17"/>
  <c r="X142" i="17"/>
  <c r="P142" i="17"/>
  <c r="X84" i="17"/>
  <c r="P84" i="17"/>
  <c r="P58" i="17"/>
  <c r="X92" i="17"/>
  <c r="P92" i="17"/>
  <c r="P123" i="17"/>
  <c r="X123" i="17"/>
  <c r="X9" i="17"/>
  <c r="P9" i="17"/>
  <c r="X111" i="17"/>
  <c r="P111" i="17"/>
  <c r="X133" i="17"/>
  <c r="P133" i="17"/>
  <c r="X81" i="17"/>
  <c r="P81" i="17"/>
  <c r="X78" i="17"/>
  <c r="P78" i="17"/>
  <c r="X75" i="17"/>
  <c r="P75" i="17"/>
  <c r="X73" i="17"/>
  <c r="P73" i="17"/>
  <c r="X80" i="17"/>
  <c r="P80" i="17"/>
  <c r="P52" i="17"/>
  <c r="P49" i="17"/>
  <c r="X51" i="17"/>
  <c r="P51" i="17"/>
  <c r="X54" i="17"/>
  <c r="P54" i="17"/>
  <c r="P65" i="17"/>
  <c r="X65" i="17"/>
  <c r="X70" i="17"/>
  <c r="P70" i="17"/>
  <c r="X100" i="17"/>
  <c r="P100" i="17"/>
  <c r="X91" i="17"/>
  <c r="P91" i="17"/>
  <c r="X115" i="17"/>
  <c r="P115" i="17"/>
  <c r="X126" i="17"/>
  <c r="P126" i="17"/>
  <c r="X121" i="17"/>
  <c r="P121" i="17"/>
  <c r="P119" i="17"/>
  <c r="X119" i="17"/>
  <c r="X32" i="17"/>
  <c r="P32" i="17"/>
  <c r="X28" i="17"/>
  <c r="P28" i="17"/>
  <c r="P6" i="17"/>
  <c r="P22" i="17"/>
  <c r="P19" i="17"/>
  <c r="P7" i="17"/>
  <c r="P16" i="17"/>
  <c r="X38" i="17"/>
  <c r="P38" i="17"/>
  <c r="X43" i="17"/>
  <c r="P43" i="17"/>
  <c r="X110" i="17"/>
  <c r="P110" i="17"/>
  <c r="X105" i="17"/>
  <c r="P105" i="17"/>
  <c r="X138" i="17"/>
  <c r="P138" i="17"/>
  <c r="X144" i="17"/>
  <c r="P144" i="17"/>
  <c r="P140" i="17"/>
  <c r="X140" i="17"/>
  <c r="Y40" i="17" a="1"/>
  <c r="Y40" i="17" s="1"/>
  <c r="Y176" i="17" a="1"/>
  <c r="Y176" i="17" s="1"/>
  <c r="Y162" i="17" a="1"/>
  <c r="Y162" i="17" s="1"/>
  <c r="Y68" i="17" a="1"/>
  <c r="Y68" i="17" s="1"/>
  <c r="Y33" i="17" a="1"/>
  <c r="Y33" i="17" s="1"/>
  <c r="Y11" i="17" a="1"/>
  <c r="Y11" i="17" s="1"/>
  <c r="Y128" i="17" a="1"/>
  <c r="Y128" i="17" s="1"/>
  <c r="Y215" i="17" a="1"/>
  <c r="Y215" i="17" s="1"/>
  <c r="X201" i="17" l="1"/>
  <c r="P203" i="17"/>
  <c r="Z203" i="17" s="1"/>
  <c r="AB203" i="17" s="1"/>
  <c r="P207" i="17"/>
  <c r="X207" i="17"/>
  <c r="X205" i="17"/>
  <c r="P205" i="17"/>
  <c r="X206" i="17"/>
  <c r="P206" i="17"/>
  <c r="Z206" i="17" s="1"/>
  <c r="AB206" i="17" s="1"/>
  <c r="Z78" i="17"/>
  <c r="AB78" i="17" s="1"/>
  <c r="AI78" i="17" s="1"/>
  <c r="Z111" i="17"/>
  <c r="AB111" i="17" s="1"/>
  <c r="AH111" i="17" s="1"/>
  <c r="Z104" i="17"/>
  <c r="AB104" i="17" s="1"/>
  <c r="AG104" i="17" s="1"/>
  <c r="AP124" i="17"/>
  <c r="Z121" i="17"/>
  <c r="AB121" i="17" s="1"/>
  <c r="AH121" i="17" s="1"/>
  <c r="Y95" i="17" a="1"/>
  <c r="Y95" i="17" s="1"/>
  <c r="Z95" i="17" s="1"/>
  <c r="AB95" i="17" s="1"/>
  <c r="Y98" i="17" a="1"/>
  <c r="Y98" i="17" s="1"/>
  <c r="Z98" i="17" s="1"/>
  <c r="AB98" i="17" s="1"/>
  <c r="AG98" i="17" s="1"/>
  <c r="Y58" i="17" a="1"/>
  <c r="Y58" i="17" s="1"/>
  <c r="Z58" i="17" s="1"/>
  <c r="AB58" i="17" s="1"/>
  <c r="AG58" i="17" s="1"/>
  <c r="Y85" i="17" a="1"/>
  <c r="Y85" i="17" s="1"/>
  <c r="Z85" i="17" s="1"/>
  <c r="AB85" i="17" s="1"/>
  <c r="AJ85" i="17" s="1"/>
  <c r="AP206" i="17"/>
  <c r="AP119" i="17"/>
  <c r="Z124" i="17"/>
  <c r="AB124" i="17" s="1"/>
  <c r="AI124" i="17" s="1"/>
  <c r="AP118" i="17"/>
  <c r="Z118" i="17"/>
  <c r="AB118" i="17" s="1"/>
  <c r="AJ118" i="17" s="1"/>
  <c r="Z80" i="17"/>
  <c r="AB80" i="17" s="1"/>
  <c r="AI80" i="17" s="1"/>
  <c r="Y205" i="17" a="1"/>
  <c r="Y205" i="17" s="1"/>
  <c r="Y207" i="17" a="1"/>
  <c r="Y207" i="17" s="1"/>
  <c r="AP207" i="17" s="1"/>
  <c r="Y86" i="17" a="1"/>
  <c r="Y86" i="17" s="1"/>
  <c r="Z86" i="17" s="1"/>
  <c r="AB86" i="17" s="1"/>
  <c r="AI86" i="17" s="1"/>
  <c r="Y97" i="17" a="1"/>
  <c r="Y97" i="17" s="1"/>
  <c r="Z97" i="17" s="1"/>
  <c r="AB97" i="17" s="1"/>
  <c r="Y90" i="17" a="1"/>
  <c r="Y90" i="17" s="1"/>
  <c r="AP90" i="17" s="1"/>
  <c r="Y65" i="17" a="1"/>
  <c r="Y65" i="17" s="1"/>
  <c r="Z65" i="17" s="1"/>
  <c r="AB65" i="17" s="1"/>
  <c r="AI65" i="17" s="1"/>
  <c r="Y84" i="17" a="1"/>
  <c r="Y84" i="17" s="1"/>
  <c r="Z84" i="17" s="1"/>
  <c r="AB84" i="17" s="1"/>
  <c r="Y187" i="17" a="1"/>
  <c r="Y187" i="17" s="1"/>
  <c r="X18" i="17"/>
  <c r="AP18" i="17" s="1"/>
  <c r="Z103" i="17"/>
  <c r="AB103" i="17" s="1"/>
  <c r="X56" i="17"/>
  <c r="Z56" i="17" s="1"/>
  <c r="AB56" i="17" s="1"/>
  <c r="Z53" i="17"/>
  <c r="AB53" i="17" s="1"/>
  <c r="AH53" i="17" s="1"/>
  <c r="Z52" i="17"/>
  <c r="AB52" i="17" s="1"/>
  <c r="AJ52" i="17" s="1"/>
  <c r="X213" i="17"/>
  <c r="P213" i="17"/>
  <c r="Z213" i="17" s="1"/>
  <c r="AB213" i="17" s="1"/>
  <c r="AP49" i="17"/>
  <c r="P214" i="17"/>
  <c r="Z214" i="17" s="1"/>
  <c r="AB214" i="17" s="1"/>
  <c r="X214" i="17"/>
  <c r="P215" i="17"/>
  <c r="X215" i="17"/>
  <c r="AP215" i="17" s="1"/>
  <c r="X196" i="17"/>
  <c r="AP196" i="17" s="1"/>
  <c r="P196" i="17"/>
  <c r="Z196" i="17" s="1"/>
  <c r="AB196" i="17" s="1"/>
  <c r="AH196" i="17" s="1"/>
  <c r="X176" i="17"/>
  <c r="AP176" i="17" s="1"/>
  <c r="P176" i="17"/>
  <c r="X157" i="17"/>
  <c r="AP157" i="17" s="1"/>
  <c r="P157" i="17"/>
  <c r="X163" i="17"/>
  <c r="AP163" i="17" s="1"/>
  <c r="P163" i="17"/>
  <c r="X168" i="17"/>
  <c r="AP168" i="17" s="1"/>
  <c r="P168" i="17"/>
  <c r="X154" i="17"/>
  <c r="P154" i="17"/>
  <c r="X162" i="17"/>
  <c r="P162" i="17"/>
  <c r="X149" i="17"/>
  <c r="AP149" i="17" s="1"/>
  <c r="P149" i="17"/>
  <c r="X174" i="17"/>
  <c r="AP174" i="17" s="1"/>
  <c r="P174" i="17"/>
  <c r="X210" i="17"/>
  <c r="AP210" i="17" s="1"/>
  <c r="P210" i="17"/>
  <c r="X186" i="17"/>
  <c r="P186" i="17"/>
  <c r="X181" i="17"/>
  <c r="P181" i="17"/>
  <c r="X184" i="17"/>
  <c r="P184" i="17"/>
  <c r="X194" i="17"/>
  <c r="P194" i="17"/>
  <c r="X169" i="17"/>
  <c r="P169" i="17"/>
  <c r="X173" i="17"/>
  <c r="P173" i="17"/>
  <c r="X153" i="17"/>
  <c r="AP153" i="17" s="1"/>
  <c r="P153" i="17"/>
  <c r="X167" i="17"/>
  <c r="P167" i="17"/>
  <c r="X170" i="17"/>
  <c r="P170" i="17"/>
  <c r="X151" i="17"/>
  <c r="P151" i="17"/>
  <c r="P165" i="17"/>
  <c r="X165" i="17"/>
  <c r="X199" i="17"/>
  <c r="AP199" i="17" s="1"/>
  <c r="P199" i="17"/>
  <c r="X211" i="17"/>
  <c r="AP211" i="17" s="1"/>
  <c r="P211" i="17"/>
  <c r="X178" i="17"/>
  <c r="P178" i="17"/>
  <c r="X189" i="17"/>
  <c r="P189" i="17"/>
  <c r="X185" i="17"/>
  <c r="P185" i="17"/>
  <c r="P193" i="17"/>
  <c r="X193" i="17"/>
  <c r="X195" i="17"/>
  <c r="P195" i="17"/>
  <c r="X164" i="17"/>
  <c r="P164" i="17"/>
  <c r="P150" i="17"/>
  <c r="X150" i="17"/>
  <c r="AP150" i="17" s="1"/>
  <c r="X148" i="17"/>
  <c r="P148" i="17"/>
  <c r="X161" i="17"/>
  <c r="AP161" i="17" s="1"/>
  <c r="P161" i="17"/>
  <c r="X160" i="17"/>
  <c r="AP160" i="17" s="1"/>
  <c r="P160" i="17"/>
  <c r="X156" i="17"/>
  <c r="AP156" i="17" s="1"/>
  <c r="P156" i="17"/>
  <c r="X171" i="17"/>
  <c r="AP171" i="17" s="1"/>
  <c r="P171" i="17"/>
  <c r="X198" i="17"/>
  <c r="P198" i="17"/>
  <c r="X187" i="17"/>
  <c r="P187" i="17"/>
  <c r="X179" i="17"/>
  <c r="AP179" i="17" s="1"/>
  <c r="P179" i="17"/>
  <c r="X182" i="17"/>
  <c r="P182" i="17"/>
  <c r="X192" i="17"/>
  <c r="P192" i="17"/>
  <c r="X191" i="17"/>
  <c r="P191" i="17"/>
  <c r="X155" i="17"/>
  <c r="AP155" i="17" s="1"/>
  <c r="P155" i="17"/>
  <c r="X166" i="17"/>
  <c r="P166" i="17"/>
  <c r="X152" i="17"/>
  <c r="AP152" i="17" s="1"/>
  <c r="P152" i="17"/>
  <c r="X159" i="17"/>
  <c r="P159" i="17"/>
  <c r="X175" i="17"/>
  <c r="P175" i="17"/>
  <c r="X172" i="17"/>
  <c r="P172" i="17"/>
  <c r="X158" i="17"/>
  <c r="P158" i="17"/>
  <c r="X209" i="17"/>
  <c r="AP209" i="17" s="1"/>
  <c r="P209" i="17"/>
  <c r="X188" i="17"/>
  <c r="P188" i="17"/>
  <c r="P180" i="17"/>
  <c r="X180" i="17"/>
  <c r="X183" i="17"/>
  <c r="P183" i="17"/>
  <c r="AP78" i="17"/>
  <c r="AP121" i="17"/>
  <c r="AP104" i="17"/>
  <c r="Z8" i="17"/>
  <c r="AB8" i="17" s="1"/>
  <c r="AG8" i="17" s="1"/>
  <c r="Z16" i="17"/>
  <c r="AB16" i="17" s="1"/>
  <c r="AI16" i="17" s="1"/>
  <c r="Z81" i="17"/>
  <c r="AB81" i="17" s="1"/>
  <c r="AJ81" i="17" s="1"/>
  <c r="Z135" i="17"/>
  <c r="AB135" i="17" s="1"/>
  <c r="AG135" i="17" s="1"/>
  <c r="Y89" i="17" a="1"/>
  <c r="Y89" i="17" s="1"/>
  <c r="AP89" i="17" s="1"/>
  <c r="Y72" i="17" a="1"/>
  <c r="Y72" i="17" s="1"/>
  <c r="Z72" i="17" s="1"/>
  <c r="AB72" i="17" s="1"/>
  <c r="Y57" i="17" a="1"/>
  <c r="Y57" i="17" s="1"/>
  <c r="AP57" i="17" s="1"/>
  <c r="Y29" i="17" a="1"/>
  <c r="Y29" i="17" s="1"/>
  <c r="AP29" i="17" s="1"/>
  <c r="Y51" i="17" a="1"/>
  <c r="Y51" i="17" s="1"/>
  <c r="AP51" i="17" s="1"/>
  <c r="Y178" i="17" a="1"/>
  <c r="Y178" i="17" s="1"/>
  <c r="Y74" i="17" a="1"/>
  <c r="Y74" i="17" s="1"/>
  <c r="AP74" i="17" s="1"/>
  <c r="Y186" i="17" a="1"/>
  <c r="Y186" i="17" s="1"/>
  <c r="Y122" i="17" a="1"/>
  <c r="Y122" i="17" s="1"/>
  <c r="AP122" i="17" s="1"/>
  <c r="Y42" i="17" a="1"/>
  <c r="Y42" i="17" s="1"/>
  <c r="AP42" i="17" s="1"/>
  <c r="Y166" i="17" a="1"/>
  <c r="Y166" i="17" s="1"/>
  <c r="Y185" i="17" a="1"/>
  <c r="Y185" i="17" s="1"/>
  <c r="Y142" i="17" a="1"/>
  <c r="Y142" i="17" s="1"/>
  <c r="Z142" i="17" s="1"/>
  <c r="AB142" i="17" s="1"/>
  <c r="Y144" i="17" a="1"/>
  <c r="Y144" i="17" s="1"/>
  <c r="AP144" i="17" s="1"/>
  <c r="Y191" i="17" a="1"/>
  <c r="Y191" i="17" s="1"/>
  <c r="Y181" i="17" a="1"/>
  <c r="Y181" i="17" s="1"/>
  <c r="Y27" i="17" a="1"/>
  <c r="Y27" i="17" s="1"/>
  <c r="Z27" i="17" s="1"/>
  <c r="AB27" i="17" s="1"/>
  <c r="AG27" i="17" s="1"/>
  <c r="Y127" i="17" a="1"/>
  <c r="Y127" i="17" s="1"/>
  <c r="AP127" i="17" s="1"/>
  <c r="Y48" i="17" a="1"/>
  <c r="Y48" i="17" s="1"/>
  <c r="AP48" i="17" s="1"/>
  <c r="Y66" i="17" a="1"/>
  <c r="Y66" i="17" s="1"/>
  <c r="Z66" i="17" s="1"/>
  <c r="AB66" i="17" s="1"/>
  <c r="AJ66" i="17" s="1"/>
  <c r="Y146" i="17" a="1"/>
  <c r="Y146" i="17" s="1"/>
  <c r="AP146" i="17" s="1"/>
  <c r="Y24" i="17" a="1"/>
  <c r="Y24" i="17" s="1"/>
  <c r="Z24" i="17" s="1"/>
  <c r="AB24" i="17" s="1"/>
  <c r="AG24" i="17" s="1"/>
  <c r="Y107" i="17" a="1"/>
  <c r="Y107" i="17" s="1"/>
  <c r="AP107" i="17" s="1"/>
  <c r="Y159" i="17" a="1"/>
  <c r="Y159" i="17" s="1"/>
  <c r="Y106" i="17" a="1"/>
  <c r="Y106" i="17" s="1"/>
  <c r="Z106" i="17" s="1"/>
  <c r="AB106" i="17" s="1"/>
  <c r="Y109" i="17" a="1"/>
  <c r="Y109" i="17" s="1"/>
  <c r="AP109" i="17" s="1"/>
  <c r="Y114" i="17" a="1"/>
  <c r="Y114" i="17" s="1"/>
  <c r="AP114" i="17" s="1"/>
  <c r="Y44" i="17" a="1"/>
  <c r="Y44" i="17" s="1"/>
  <c r="AP44" i="17" s="1"/>
  <c r="Y64" i="17" a="1"/>
  <c r="Y64" i="17" s="1"/>
  <c r="Z64" i="17" s="1"/>
  <c r="AB64" i="17" s="1"/>
  <c r="Y79" i="17" a="1"/>
  <c r="Y79" i="17" s="1"/>
  <c r="Z79" i="17" s="1"/>
  <c r="AB79" i="17" s="1"/>
  <c r="Y31" i="17" a="1"/>
  <c r="Y31" i="17" s="1"/>
  <c r="Z31" i="17" s="1"/>
  <c r="AB31" i="17" s="1"/>
  <c r="AH31" i="17" s="1"/>
  <c r="Y37" i="17" a="1"/>
  <c r="Y37" i="17" s="1"/>
  <c r="Z37" i="17" s="1"/>
  <c r="AB37" i="17" s="1"/>
  <c r="Y148" i="17" a="1"/>
  <c r="Y148" i="17" s="1"/>
  <c r="Y69" i="17" a="1"/>
  <c r="Y69" i="17" s="1"/>
  <c r="Z69" i="17" s="1"/>
  <c r="AB69" i="17" s="1"/>
  <c r="Y192" i="17" a="1"/>
  <c r="Y192" i="17" s="1"/>
  <c r="Y17" i="17" a="1"/>
  <c r="Y17" i="17" s="1"/>
  <c r="Z17" i="17" s="1"/>
  <c r="AB17" i="17" s="1"/>
  <c r="AI17" i="17" s="1"/>
  <c r="Y34" i="17" a="1"/>
  <c r="Y34" i="17" s="1"/>
  <c r="Z34" i="17" s="1"/>
  <c r="AB34" i="17" s="1"/>
  <c r="AG34" i="17" s="1"/>
  <c r="Y183" i="17" a="1"/>
  <c r="Y183" i="17" s="1"/>
  <c r="Y194" i="17" a="1"/>
  <c r="Y194" i="17" s="1"/>
  <c r="Y110" i="17" a="1"/>
  <c r="Y110" i="17" s="1"/>
  <c r="Z110" i="17" s="1"/>
  <c r="AB110" i="17" s="1"/>
  <c r="Y189" i="17" a="1"/>
  <c r="Y189" i="17" s="1"/>
  <c r="Y188" i="17" a="1"/>
  <c r="Y188" i="17" s="1"/>
  <c r="Y140" i="17" a="1"/>
  <c r="Y140" i="17" s="1"/>
  <c r="Z140" i="17" s="1"/>
  <c r="AB140" i="17" s="1"/>
  <c r="Y83" i="17" a="1"/>
  <c r="Y83" i="17" s="1"/>
  <c r="AP83" i="17" s="1"/>
  <c r="Y43" i="17" a="1"/>
  <c r="Y43" i="17" s="1"/>
  <c r="AP43" i="17" s="1"/>
  <c r="Y10" i="17" a="1"/>
  <c r="Y10" i="17" s="1"/>
  <c r="Z10" i="17" s="1"/>
  <c r="AB10" i="17" s="1"/>
  <c r="Y61" i="17" a="1"/>
  <c r="Y61" i="17" s="1"/>
  <c r="Z61" i="17" s="1"/>
  <c r="AB61" i="17" s="1"/>
  <c r="AI61" i="17" s="1"/>
  <c r="Y180" i="17" a="1"/>
  <c r="Y180" i="17" s="1"/>
  <c r="Y115" i="17" a="1"/>
  <c r="Y115" i="17" s="1"/>
  <c r="Z115" i="17" s="1"/>
  <c r="AB115" i="17" s="1"/>
  <c r="AJ115" i="17" s="1"/>
  <c r="Y35" i="17" a="1"/>
  <c r="Y35" i="17" s="1"/>
  <c r="AP35" i="17" s="1"/>
  <c r="Y184" i="17" a="1"/>
  <c r="Y184" i="17" s="1"/>
  <c r="Y195" i="17" a="1"/>
  <c r="Y195" i="17" s="1"/>
  <c r="AP93" i="17"/>
  <c r="Z23" i="17"/>
  <c r="AB23" i="17" s="1"/>
  <c r="AI23" i="17" s="1"/>
  <c r="Z119" i="17"/>
  <c r="AB119" i="17" s="1"/>
  <c r="AJ119" i="17" s="1"/>
  <c r="Z126" i="17"/>
  <c r="AB126" i="17" s="1"/>
  <c r="AP28" i="17"/>
  <c r="AP26" i="17"/>
  <c r="AP40" i="17"/>
  <c r="AP92" i="17"/>
  <c r="AP80" i="17"/>
  <c r="AP9" i="17"/>
  <c r="Z39" i="17"/>
  <c r="AB39" i="17" s="1"/>
  <c r="AI39" i="17" s="1"/>
  <c r="AP87" i="17"/>
  <c r="AP130" i="17"/>
  <c r="Z33" i="17"/>
  <c r="AB33" i="17" s="1"/>
  <c r="AI33" i="17" s="1"/>
  <c r="AP33" i="17"/>
  <c r="AP132" i="17"/>
  <c r="AP111" i="17"/>
  <c r="AP73" i="17"/>
  <c r="Z40" i="17"/>
  <c r="AB40" i="17" s="1"/>
  <c r="AG40" i="17" s="1"/>
  <c r="AP38" i="17"/>
  <c r="Z70" i="17"/>
  <c r="AB70" i="17" s="1"/>
  <c r="AG70" i="17" s="1"/>
  <c r="Z75" i="17"/>
  <c r="AB75" i="17" s="1"/>
  <c r="AI75" i="17" s="1"/>
  <c r="AP82" i="17"/>
  <c r="Z82" i="17"/>
  <c r="AB82" i="17" s="1"/>
  <c r="AP77" i="17"/>
  <c r="Z133" i="17"/>
  <c r="AB133" i="17" s="1"/>
  <c r="AG133" i="17" s="1"/>
  <c r="AP101" i="17"/>
  <c r="Z99" i="17"/>
  <c r="AB99" i="17" s="1"/>
  <c r="AI99" i="17" s="1"/>
  <c r="AP145" i="17"/>
  <c r="Z145" i="17"/>
  <c r="AB145" i="17" s="1"/>
  <c r="AG145" i="17" s="1"/>
  <c r="AP32" i="17"/>
  <c r="Z32" i="17"/>
  <c r="AB32" i="17" s="1"/>
  <c r="AI32" i="17" s="1"/>
  <c r="Z54" i="17"/>
  <c r="AB54" i="17" s="1"/>
  <c r="AH54" i="17" s="1"/>
  <c r="Z138" i="17"/>
  <c r="AB138" i="17" s="1"/>
  <c r="AG138" i="17" s="1"/>
  <c r="Z100" i="17"/>
  <c r="AB100" i="17" s="1"/>
  <c r="AG100" i="17" s="1"/>
  <c r="AP100" i="17"/>
  <c r="AP76" i="17"/>
  <c r="Z76" i="17"/>
  <c r="AB76" i="17" s="1"/>
  <c r="AH76" i="17" s="1"/>
  <c r="AP213" i="17"/>
  <c r="AP201" i="17"/>
  <c r="Z201" i="17"/>
  <c r="AB201" i="17" s="1"/>
  <c r="AP55" i="17"/>
  <c r="Z55" i="17"/>
  <c r="AB55" i="17" s="1"/>
  <c r="AH55" i="17" s="1"/>
  <c r="Z19" i="17"/>
  <c r="AB19" i="17" s="1"/>
  <c r="AG19" i="17" s="1"/>
  <c r="Z137" i="17"/>
  <c r="AB137" i="17" s="1"/>
  <c r="AP52" i="17"/>
  <c r="AP214" i="17"/>
  <c r="AP67" i="17"/>
  <c r="Z67" i="17"/>
  <c r="AB67" i="17" s="1"/>
  <c r="AJ67" i="17" s="1"/>
  <c r="Z68" i="17"/>
  <c r="AB68" i="17" s="1"/>
  <c r="AI68" i="17" s="1"/>
  <c r="Z93" i="17"/>
  <c r="AB93" i="17" s="1"/>
  <c r="AJ93" i="17" s="1"/>
  <c r="Z28" i="17"/>
  <c r="AB28" i="17" s="1"/>
  <c r="AJ28" i="17" s="1"/>
  <c r="AP13" i="17"/>
  <c r="Z41" i="17"/>
  <c r="AB41" i="17" s="1"/>
  <c r="AG41" i="17" s="1"/>
  <c r="AP41" i="17"/>
  <c r="AP123" i="17"/>
  <c r="Z123" i="17"/>
  <c r="AB123" i="17" s="1"/>
  <c r="AG123" i="17" s="1"/>
  <c r="AP136" i="17"/>
  <c r="Z136" i="17"/>
  <c r="AB136" i="17" s="1"/>
  <c r="AP91" i="17"/>
  <c r="Z91" i="17"/>
  <c r="AB91" i="17" s="1"/>
  <c r="AG91" i="17" s="1"/>
  <c r="Z113" i="17"/>
  <c r="AB113" i="17" s="1"/>
  <c r="AP113" i="17"/>
  <c r="AP141" i="17"/>
  <c r="Z141" i="17"/>
  <c r="AB141" i="17" s="1"/>
  <c r="Z12" i="17"/>
  <c r="AB12" i="17" s="1"/>
  <c r="AG12" i="17" s="1"/>
  <c r="Z22" i="17"/>
  <c r="AB22" i="17" s="1"/>
  <c r="AH22" i="17" s="1"/>
  <c r="AP62" i="17"/>
  <c r="AP47" i="17"/>
  <c r="AP14" i="17"/>
  <c r="AP8" i="17"/>
  <c r="Z11" i="17"/>
  <c r="AB11" i="17" s="1"/>
  <c r="AH11" i="17" s="1"/>
  <c r="AP99" i="17"/>
  <c r="Z59" i="17"/>
  <c r="AB59" i="17" s="1"/>
  <c r="AG59" i="17" s="1"/>
  <c r="AP53" i="17"/>
  <c r="AP46" i="17"/>
  <c r="AP60" i="17"/>
  <c r="AP103" i="17"/>
  <c r="AP70" i="17"/>
  <c r="Z77" i="17"/>
  <c r="AB77" i="17" s="1"/>
  <c r="AH77" i="17" s="1"/>
  <c r="Z87" i="17"/>
  <c r="AB87" i="17" s="1"/>
  <c r="AH87" i="17" s="1"/>
  <c r="AP54" i="17"/>
  <c r="AP138" i="17"/>
  <c r="AP16" i="17"/>
  <c r="Z30" i="17"/>
  <c r="AB30" i="17" s="1"/>
  <c r="AI30" i="17" s="1"/>
  <c r="Z62" i="17"/>
  <c r="AB62" i="17" s="1"/>
  <c r="AH62" i="17" s="1"/>
  <c r="AP23" i="17"/>
  <c r="AP30" i="17"/>
  <c r="AP68" i="17"/>
  <c r="AP128" i="17"/>
  <c r="AP120" i="17"/>
  <c r="Z117" i="17"/>
  <c r="AB117" i="17" s="1"/>
  <c r="AP126" i="17"/>
  <c r="Z21" i="17"/>
  <c r="AB21" i="17" s="1"/>
  <c r="AH21" i="17" s="1"/>
  <c r="Z132" i="17"/>
  <c r="AB132" i="17" s="1"/>
  <c r="Z46" i="17"/>
  <c r="AB46" i="17" s="1"/>
  <c r="AP75" i="17"/>
  <c r="AP39" i="17"/>
  <c r="AP137" i="17"/>
  <c r="AP135" i="17"/>
  <c r="AP21" i="17"/>
  <c r="Z13" i="17"/>
  <c r="AB13" i="17" s="1"/>
  <c r="AJ13" i="17" s="1"/>
  <c r="AP12" i="17"/>
  <c r="AP22" i="17"/>
  <c r="Z49" i="17"/>
  <c r="AB49" i="17" s="1"/>
  <c r="AG49" i="17" s="1"/>
  <c r="AP11" i="17"/>
  <c r="AP15" i="17"/>
  <c r="Z6" i="17"/>
  <c r="AB6" i="17" s="1"/>
  <c r="Z7" i="17"/>
  <c r="AB7" i="17" s="1"/>
  <c r="AH7" i="17" s="1"/>
  <c r="AP50" i="17"/>
  <c r="Z50" i="17"/>
  <c r="AB50" i="17" s="1"/>
  <c r="AJ50" i="17" s="1"/>
  <c r="Z14" i="17"/>
  <c r="AB14" i="17" s="1"/>
  <c r="AG14" i="17" s="1"/>
  <c r="AP6" i="17"/>
  <c r="Z9" i="17"/>
  <c r="AB9" i="17" s="1"/>
  <c r="AI9" i="17" s="1"/>
  <c r="Z15" i="17"/>
  <c r="AB15" i="17" s="1"/>
  <c r="AI15" i="17" s="1"/>
  <c r="Z38" i="17"/>
  <c r="AB38" i="17" s="1"/>
  <c r="AJ38" i="17" s="1"/>
  <c r="Z47" i="17"/>
  <c r="AB47" i="17" s="1"/>
  <c r="AG47" i="17" s="1"/>
  <c r="Z26" i="17"/>
  <c r="AB26" i="17" s="1"/>
  <c r="Z73" i="17"/>
  <c r="AB73" i="17" s="1"/>
  <c r="AG73" i="17" s="1"/>
  <c r="AP133" i="17"/>
  <c r="AP7" i="17"/>
  <c r="AP105" i="17"/>
  <c r="AP81" i="17"/>
  <c r="Z105" i="17"/>
  <c r="AB105" i="17" s="1"/>
  <c r="Z60" i="17"/>
  <c r="AB60" i="17" s="1"/>
  <c r="AI60" i="17" s="1"/>
  <c r="AP59" i="17"/>
  <c r="Z92" i="17"/>
  <c r="AB92" i="17" s="1"/>
  <c r="AI92" i="17" s="1"/>
  <c r="Z101" i="17"/>
  <c r="AB101" i="17" s="1"/>
  <c r="AH101" i="17" s="1"/>
  <c r="AP20" i="17"/>
  <c r="AP19" i="17"/>
  <c r="Z205" i="17" l="1"/>
  <c r="AB205" i="17" s="1"/>
  <c r="AJ205" i="17" s="1"/>
  <c r="AJ104" i="17"/>
  <c r="AI104" i="17"/>
  <c r="AH104" i="17"/>
  <c r="AG78" i="17"/>
  <c r="AH78" i="17"/>
  <c r="AH206" i="17"/>
  <c r="AI206" i="17"/>
  <c r="AG206" i="17"/>
  <c r="AJ206" i="17"/>
  <c r="Z182" i="17"/>
  <c r="AB182" i="17" s="1"/>
  <c r="AI182" i="17" s="1"/>
  <c r="Z170" i="17"/>
  <c r="AB170" i="17" s="1"/>
  <c r="AG170" i="17" s="1"/>
  <c r="Z169" i="17"/>
  <c r="AB169" i="17" s="1"/>
  <c r="AG169" i="17" s="1"/>
  <c r="Z162" i="17"/>
  <c r="AB162" i="17" s="1"/>
  <c r="AG162" i="17" s="1"/>
  <c r="AJ111" i="17"/>
  <c r="AG111" i="17"/>
  <c r="AJ78" i="17"/>
  <c r="AI111" i="17"/>
  <c r="Z172" i="17"/>
  <c r="AB172" i="17" s="1"/>
  <c r="AI172" i="17" s="1"/>
  <c r="Z164" i="17"/>
  <c r="AB164" i="17" s="1"/>
  <c r="AJ164" i="17" s="1"/>
  <c r="Z158" i="17"/>
  <c r="AB158" i="17" s="1"/>
  <c r="AG158" i="17" s="1"/>
  <c r="Z198" i="17"/>
  <c r="AB198" i="17" s="1"/>
  <c r="AG198" i="17" s="1"/>
  <c r="Z151" i="17"/>
  <c r="AB151" i="17" s="1"/>
  <c r="AG151" i="17" s="1"/>
  <c r="Z173" i="17"/>
  <c r="AB173" i="17" s="1"/>
  <c r="AJ173" i="17" s="1"/>
  <c r="Z193" i="17"/>
  <c r="AB193" i="17" s="1"/>
  <c r="AI193" i="17" s="1"/>
  <c r="Z175" i="17"/>
  <c r="AB175" i="17" s="1"/>
  <c r="AI175" i="17" s="1"/>
  <c r="Z167" i="17"/>
  <c r="AB167" i="17" s="1"/>
  <c r="AJ167" i="17" s="1"/>
  <c r="Z154" i="17"/>
  <c r="AB154" i="17" s="1"/>
  <c r="AH154" i="17" s="1"/>
  <c r="Z165" i="17"/>
  <c r="AB165" i="17" s="1"/>
  <c r="AH165" i="17" s="1"/>
  <c r="AG121" i="17"/>
  <c r="AI121" i="17"/>
  <c r="AJ121" i="17"/>
  <c r="E116" i="19"/>
  <c r="K10" i="24" s="1"/>
  <c r="D116" i="19"/>
  <c r="J10" i="24" s="1"/>
  <c r="C116" i="19"/>
  <c r="I10" i="24" s="1"/>
  <c r="B116" i="19"/>
  <c r="H10" i="24" s="1"/>
  <c r="E121" i="19"/>
  <c r="F11" i="24" s="1"/>
  <c r="D121" i="19"/>
  <c r="E11" i="24" s="1"/>
  <c r="C121" i="19"/>
  <c r="D11" i="24" s="1"/>
  <c r="B121" i="19"/>
  <c r="C11" i="24" s="1"/>
  <c r="E178" i="19"/>
  <c r="K16" i="24" s="1"/>
  <c r="D178" i="19"/>
  <c r="J16" i="24" s="1"/>
  <c r="C178" i="19"/>
  <c r="I16" i="24" s="1"/>
  <c r="B178" i="19"/>
  <c r="H16" i="24" s="1"/>
  <c r="E126" i="19"/>
  <c r="K11" i="24" s="1"/>
  <c r="D126" i="19"/>
  <c r="J11" i="24" s="1"/>
  <c r="C126" i="19"/>
  <c r="I11" i="24" s="1"/>
  <c r="B126" i="19"/>
  <c r="H11" i="24" s="1"/>
  <c r="AI103" i="17"/>
  <c r="E183" i="19"/>
  <c r="F17" i="24" s="1"/>
  <c r="D183" i="19"/>
  <c r="E17" i="24" s="1"/>
  <c r="C183" i="19"/>
  <c r="D17" i="24" s="1"/>
  <c r="B183" i="19"/>
  <c r="C17" i="24" s="1"/>
  <c r="E49" i="19"/>
  <c r="K6" i="24" s="1"/>
  <c r="D49" i="19"/>
  <c r="J6" i="24" s="1"/>
  <c r="C49" i="19"/>
  <c r="I6" i="24" s="1"/>
  <c r="B49" i="19"/>
  <c r="H6" i="24" s="1"/>
  <c r="E81" i="19"/>
  <c r="P7" i="24" s="1"/>
  <c r="D81" i="19"/>
  <c r="O7" i="24" s="1"/>
  <c r="C81" i="19"/>
  <c r="N7" i="24" s="1"/>
  <c r="B81" i="19"/>
  <c r="M7" i="24" s="1"/>
  <c r="E76" i="19"/>
  <c r="K7" i="24" s="1"/>
  <c r="D76" i="19"/>
  <c r="J7" i="24" s="1"/>
  <c r="C76" i="19"/>
  <c r="I7" i="24" s="1"/>
  <c r="B76" i="19"/>
  <c r="H7" i="24" s="1"/>
  <c r="AG126" i="17"/>
  <c r="Z191" i="17"/>
  <c r="AB191" i="17" s="1"/>
  <c r="AJ191" i="17" s="1"/>
  <c r="AP164" i="17"/>
  <c r="AJ124" i="17"/>
  <c r="AG124" i="17"/>
  <c r="AH124" i="17"/>
  <c r="AH118" i="17"/>
  <c r="AG118" i="17"/>
  <c r="AI118" i="17"/>
  <c r="AH80" i="17"/>
  <c r="AG80" i="17"/>
  <c r="AJ80" i="17"/>
  <c r="AP205" i="17"/>
  <c r="Z211" i="17"/>
  <c r="AB211" i="17" s="1"/>
  <c r="AG211" i="17" s="1"/>
  <c r="Z210" i="17"/>
  <c r="AB210" i="17" s="1"/>
  <c r="AJ210" i="17" s="1"/>
  <c r="Z209" i="17"/>
  <c r="AB209" i="17" s="1"/>
  <c r="AP189" i="17"/>
  <c r="AP187" i="17"/>
  <c r="AP186" i="17"/>
  <c r="Z185" i="17"/>
  <c r="AB185" i="17" s="1"/>
  <c r="AJ185" i="17" s="1"/>
  <c r="AP184" i="17"/>
  <c r="Z181" i="17"/>
  <c r="AB181" i="17" s="1"/>
  <c r="AG181" i="17" s="1"/>
  <c r="Z178" i="17"/>
  <c r="AB178" i="17" s="1"/>
  <c r="Z163" i="17"/>
  <c r="AB163" i="17" s="1"/>
  <c r="AG163" i="17" s="1"/>
  <c r="Z150" i="17"/>
  <c r="AB150" i="17" s="1"/>
  <c r="AG150" i="17" s="1"/>
  <c r="Z109" i="17"/>
  <c r="AB109" i="17" s="1"/>
  <c r="AP56" i="17"/>
  <c r="AP24" i="17"/>
  <c r="Z146" i="17"/>
  <c r="AB146" i="17" s="1"/>
  <c r="AI146" i="17" s="1"/>
  <c r="Z174" i="17"/>
  <c r="AB174" i="17" s="1"/>
  <c r="AJ174" i="17" s="1"/>
  <c r="AH16" i="17"/>
  <c r="Z199" i="17"/>
  <c r="AB199" i="17" s="1"/>
  <c r="AP10" i="17"/>
  <c r="AG52" i="17"/>
  <c r="AJ16" i="17"/>
  <c r="AH24" i="17"/>
  <c r="AJ24" i="17"/>
  <c r="AG16" i="17"/>
  <c r="AH126" i="17"/>
  <c r="Z44" i="17"/>
  <c r="AB44" i="17" s="1"/>
  <c r="AI44" i="17" s="1"/>
  <c r="Z171" i="17"/>
  <c r="AB171" i="17" s="1"/>
  <c r="AH171" i="17" s="1"/>
  <c r="AP37" i="17"/>
  <c r="Z18" i="17"/>
  <c r="AB18" i="17" s="1"/>
  <c r="AJ18" i="17" s="1"/>
  <c r="AP17" i="17"/>
  <c r="Z159" i="17"/>
  <c r="AB159" i="17" s="1"/>
  <c r="AG159" i="17" s="1"/>
  <c r="Z160" i="17"/>
  <c r="AB160" i="17" s="1"/>
  <c r="AH160" i="17" s="1"/>
  <c r="AP172" i="17"/>
  <c r="AI81" i="17"/>
  <c r="Z43" i="17"/>
  <c r="AB43" i="17" s="1"/>
  <c r="AI43" i="17" s="1"/>
  <c r="Z188" i="17"/>
  <c r="AB188" i="17" s="1"/>
  <c r="AI188" i="17" s="1"/>
  <c r="AP192" i="17"/>
  <c r="AP194" i="17"/>
  <c r="AI53" i="17"/>
  <c r="AP142" i="17"/>
  <c r="AJ8" i="17"/>
  <c r="Z122" i="17"/>
  <c r="AB122" i="17" s="1"/>
  <c r="AJ122" i="17" s="1"/>
  <c r="AP61" i="17"/>
  <c r="Z51" i="17"/>
  <c r="AB51" i="17" s="1"/>
  <c r="AG51" i="17" s="1"/>
  <c r="AH56" i="17"/>
  <c r="AG56" i="17"/>
  <c r="AI56" i="17"/>
  <c r="AJ56" i="17"/>
  <c r="AG53" i="17"/>
  <c r="AJ53" i="17"/>
  <c r="AH135" i="17"/>
  <c r="Z152" i="17"/>
  <c r="AB152" i="17" s="1"/>
  <c r="AJ152" i="17" s="1"/>
  <c r="AP151" i="17"/>
  <c r="Z215" i="17"/>
  <c r="AB215" i="17" s="1"/>
  <c r="AJ215" i="17" s="1"/>
  <c r="Z194" i="17"/>
  <c r="AB194" i="17" s="1"/>
  <c r="AI194" i="17" s="1"/>
  <c r="AP178" i="17"/>
  <c r="AP198" i="17"/>
  <c r="AH81" i="17"/>
  <c r="Z176" i="17"/>
  <c r="AB176" i="17" s="1"/>
  <c r="AJ176" i="17" s="1"/>
  <c r="AP173" i="17"/>
  <c r="AG81" i="17"/>
  <c r="Z149" i="17"/>
  <c r="AB149" i="17" s="1"/>
  <c r="AJ149" i="17" s="1"/>
  <c r="AP167" i="17"/>
  <c r="AP193" i="17"/>
  <c r="AP195" i="17"/>
  <c r="AP115" i="17"/>
  <c r="AG103" i="17"/>
  <c r="AJ103" i="17"/>
  <c r="AH103" i="17"/>
  <c r="Z114" i="17"/>
  <c r="AB114" i="17" s="1"/>
  <c r="AP154" i="17"/>
  <c r="AP175" i="17"/>
  <c r="Z168" i="17"/>
  <c r="AB168" i="17" s="1"/>
  <c r="AH168" i="17" s="1"/>
  <c r="AP148" i="17"/>
  <c r="AP165" i="17"/>
  <c r="AP166" i="17"/>
  <c r="Z153" i="17"/>
  <c r="AB153" i="17" s="1"/>
  <c r="AH153" i="17" s="1"/>
  <c r="Z107" i="17"/>
  <c r="AB107" i="17" s="1"/>
  <c r="AJ107" i="17" s="1"/>
  <c r="Z161" i="17"/>
  <c r="AB161" i="17" s="1"/>
  <c r="AG161" i="17" s="1"/>
  <c r="AH52" i="17"/>
  <c r="Z155" i="17"/>
  <c r="AB155" i="17" s="1"/>
  <c r="AH155" i="17" s="1"/>
  <c r="Z156" i="17"/>
  <c r="AB156" i="17" s="1"/>
  <c r="AH156" i="17" s="1"/>
  <c r="Z157" i="17"/>
  <c r="AB157" i="17" s="1"/>
  <c r="AG157" i="17" s="1"/>
  <c r="AP162" i="17"/>
  <c r="AI52" i="17"/>
  <c r="AI135" i="17"/>
  <c r="AP158" i="17"/>
  <c r="AP169" i="17"/>
  <c r="AP170" i="17"/>
  <c r="AP181" i="17"/>
  <c r="Z184" i="17"/>
  <c r="AB184" i="17" s="1"/>
  <c r="AG184" i="17" s="1"/>
  <c r="Z180" i="17"/>
  <c r="AB180" i="17" s="1"/>
  <c r="AG180" i="17" s="1"/>
  <c r="AP188" i="17"/>
  <c r="Z183" i="17"/>
  <c r="AB183" i="17" s="1"/>
  <c r="AJ183" i="17" s="1"/>
  <c r="Z192" i="17"/>
  <c r="AB192" i="17" s="1"/>
  <c r="AG192" i="17" s="1"/>
  <c r="AH8" i="17"/>
  <c r="AI8" i="17"/>
  <c r="AJ135" i="17"/>
  <c r="Z144" i="17"/>
  <c r="AB144" i="17" s="1"/>
  <c r="AP180" i="17"/>
  <c r="AG61" i="17"/>
  <c r="AH61" i="17"/>
  <c r="AJ37" i="17"/>
  <c r="AG37" i="17"/>
  <c r="AI37" i="17"/>
  <c r="AH37" i="17"/>
  <c r="AP79" i="17"/>
  <c r="Z29" i="17"/>
  <c r="AB29" i="17" s="1"/>
  <c r="AI29" i="17" s="1"/>
  <c r="Z189" i="17"/>
  <c r="AB189" i="17" s="1"/>
  <c r="AH115" i="17"/>
  <c r="AI115" i="17"/>
  <c r="AG115" i="17"/>
  <c r="AJ110" i="17"/>
  <c r="AI110" i="17"/>
  <c r="AH110" i="17"/>
  <c r="AG110" i="17"/>
  <c r="AP110" i="17"/>
  <c r="AP140" i="17"/>
  <c r="AI140" i="17"/>
  <c r="AG140" i="17"/>
  <c r="AH140" i="17"/>
  <c r="AJ140" i="17"/>
  <c r="AP64" i="17"/>
  <c r="AP191" i="17"/>
  <c r="Z83" i="17"/>
  <c r="AB83" i="17" s="1"/>
  <c r="AJ10" i="17"/>
  <c r="AH10" i="17"/>
  <c r="AG10" i="17"/>
  <c r="AI10" i="17"/>
  <c r="AI24" i="17"/>
  <c r="AJ61" i="17"/>
  <c r="AI64" i="17"/>
  <c r="AH64" i="17"/>
  <c r="AJ64" i="17"/>
  <c r="AG64" i="17"/>
  <c r="AI79" i="17"/>
  <c r="AG79" i="17"/>
  <c r="AH79" i="17"/>
  <c r="AJ79" i="17"/>
  <c r="AI142" i="17"/>
  <c r="AJ142" i="17"/>
  <c r="AH142" i="17"/>
  <c r="AG142" i="17"/>
  <c r="AG23" i="17"/>
  <c r="AI119" i="17"/>
  <c r="AG119" i="17"/>
  <c r="AJ23" i="17"/>
  <c r="AH119" i="17"/>
  <c r="AH23" i="17"/>
  <c r="AI126" i="17"/>
  <c r="AJ126" i="17"/>
  <c r="Z130" i="17"/>
  <c r="AB130" i="17" s="1"/>
  <c r="AG39" i="17"/>
  <c r="AJ39" i="17"/>
  <c r="AH39" i="17"/>
  <c r="AG33" i="17"/>
  <c r="AJ33" i="17"/>
  <c r="AH33" i="17"/>
  <c r="AH213" i="17"/>
  <c r="AH137" i="17"/>
  <c r="AI97" i="17"/>
  <c r="AI72" i="17"/>
  <c r="AG75" i="17"/>
  <c r="AJ75" i="17"/>
  <c r="AH75" i="17"/>
  <c r="AH40" i="17"/>
  <c r="AI40" i="17"/>
  <c r="AJ40" i="17"/>
  <c r="AJ70" i="17"/>
  <c r="AH70" i="17"/>
  <c r="AI70" i="17"/>
  <c r="AI82" i="17"/>
  <c r="AJ82" i="17"/>
  <c r="AH82" i="17"/>
  <c r="AG82" i="17"/>
  <c r="AH133" i="17"/>
  <c r="AI133" i="17"/>
  <c r="AJ133" i="17"/>
  <c r="AP72" i="17"/>
  <c r="AG99" i="17"/>
  <c r="AJ99" i="17"/>
  <c r="AP69" i="17"/>
  <c r="AH99" i="17"/>
  <c r="AJ72" i="17"/>
  <c r="AG72" i="17"/>
  <c r="AH72" i="17"/>
  <c r="AH32" i="17"/>
  <c r="AJ32" i="17"/>
  <c r="AG32" i="17"/>
  <c r="AH145" i="17"/>
  <c r="AI145" i="17"/>
  <c r="AJ145" i="17"/>
  <c r="AI85" i="17"/>
  <c r="AG85" i="17"/>
  <c r="AH85" i="17"/>
  <c r="AP85" i="17"/>
  <c r="AJ54" i="17"/>
  <c r="AG54" i="17"/>
  <c r="AI54" i="17"/>
  <c r="AP58" i="17"/>
  <c r="AP31" i="17"/>
  <c r="AH67" i="17"/>
  <c r="AH95" i="17"/>
  <c r="AP34" i="17"/>
  <c r="AI93" i="17"/>
  <c r="AG95" i="17"/>
  <c r="AP95" i="17"/>
  <c r="AI196" i="17"/>
  <c r="Z179" i="17"/>
  <c r="AB179" i="17" s="1"/>
  <c r="AJ179" i="17" s="1"/>
  <c r="AJ95" i="17"/>
  <c r="AG97" i="17"/>
  <c r="AH97" i="17"/>
  <c r="AP97" i="17"/>
  <c r="AH100" i="17"/>
  <c r="AJ100" i="17"/>
  <c r="AI100" i="17"/>
  <c r="AH27" i="17"/>
  <c r="AI95" i="17"/>
  <c r="AJ97" i="17"/>
  <c r="AG55" i="17"/>
  <c r="AI213" i="17"/>
  <c r="AJ213" i="17"/>
  <c r="AH201" i="17"/>
  <c r="AG213" i="17"/>
  <c r="AJ214" i="17"/>
  <c r="AG141" i="17"/>
  <c r="AJ141" i="17"/>
  <c r="AH138" i="17"/>
  <c r="Z207" i="17"/>
  <c r="AB207" i="17" s="1"/>
  <c r="AG31" i="17"/>
  <c r="AI138" i="17"/>
  <c r="AJ138" i="17"/>
  <c r="AP27" i="17"/>
  <c r="Z195" i="17"/>
  <c r="AB195" i="17" s="1"/>
  <c r="AI28" i="17"/>
  <c r="AJ27" i="17"/>
  <c r="AI27" i="17"/>
  <c r="AI76" i="17"/>
  <c r="AI41" i="17"/>
  <c r="AI34" i="17"/>
  <c r="AJ34" i="17"/>
  <c r="AH34" i="17"/>
  <c r="AJ31" i="17"/>
  <c r="AI31" i="17"/>
  <c r="AJ203" i="17"/>
  <c r="AJ137" i="17"/>
  <c r="AG28" i="17"/>
  <c r="AH136" i="17"/>
  <c r="AJ196" i="17"/>
  <c r="AG22" i="17"/>
  <c r="AG93" i="17"/>
  <c r="AJ55" i="17"/>
  <c r="AG196" i="17"/>
  <c r="AI22" i="17"/>
  <c r="AH93" i="17"/>
  <c r="AJ22" i="17"/>
  <c r="AH68" i="17"/>
  <c r="AI201" i="17"/>
  <c r="AH203" i="17"/>
  <c r="AG203" i="17"/>
  <c r="AH41" i="17"/>
  <c r="AH141" i="17"/>
  <c r="AI141" i="17"/>
  <c r="Z127" i="17"/>
  <c r="AB127" i="17" s="1"/>
  <c r="AG76" i="17"/>
  <c r="AJ76" i="17"/>
  <c r="AI203" i="17"/>
  <c r="AI55" i="17"/>
  <c r="AJ41" i="17"/>
  <c r="Z148" i="17"/>
  <c r="AB148" i="17" s="1"/>
  <c r="AH19" i="17"/>
  <c r="AJ19" i="17"/>
  <c r="AI19" i="17"/>
  <c r="AG68" i="17"/>
  <c r="AJ136" i="17"/>
  <c r="AJ68" i="17"/>
  <c r="AH28" i="17"/>
  <c r="AH214" i="17"/>
  <c r="AH12" i="17"/>
  <c r="AI12" i="17"/>
  <c r="AG201" i="17"/>
  <c r="AJ201" i="17"/>
  <c r="AI137" i="17"/>
  <c r="AI136" i="17"/>
  <c r="AG214" i="17"/>
  <c r="AJ12" i="17"/>
  <c r="AG136" i="17"/>
  <c r="AI214" i="17"/>
  <c r="AG137" i="17"/>
  <c r="AG67" i="17"/>
  <c r="AH123" i="17"/>
  <c r="AI67" i="17"/>
  <c r="AH91" i="17"/>
  <c r="AJ123" i="17"/>
  <c r="AJ6" i="17"/>
  <c r="AI91" i="17"/>
  <c r="AI46" i="17"/>
  <c r="AH117" i="17"/>
  <c r="AH172" i="17"/>
  <c r="AI123" i="17"/>
  <c r="AJ91" i="17"/>
  <c r="AH26" i="17"/>
  <c r="AH113" i="17"/>
  <c r="AJ113" i="17"/>
  <c r="AI113" i="17"/>
  <c r="AG113" i="17"/>
  <c r="AP117" i="17"/>
  <c r="Z42" i="17"/>
  <c r="AB42" i="17" s="1"/>
  <c r="AJ30" i="17"/>
  <c r="AH17" i="17"/>
  <c r="AG17" i="17"/>
  <c r="AI11" i="17"/>
  <c r="AG11" i="17"/>
  <c r="AJ11" i="17"/>
  <c r="AH59" i="17"/>
  <c r="AI59" i="17"/>
  <c r="AJ59" i="17"/>
  <c r="AJ77" i="17"/>
  <c r="AI77" i="17"/>
  <c r="AH65" i="17"/>
  <c r="AJ65" i="17"/>
  <c r="AG65" i="17"/>
  <c r="AP65" i="17"/>
  <c r="AG77" i="17"/>
  <c r="Z74" i="17"/>
  <c r="AB74" i="17" s="1"/>
  <c r="AJ87" i="17"/>
  <c r="AG87" i="17"/>
  <c r="AI87" i="17"/>
  <c r="AG66" i="17"/>
  <c r="Z186" i="17"/>
  <c r="AB186" i="17" s="1"/>
  <c r="AH186" i="17" s="1"/>
  <c r="AH66" i="17"/>
  <c r="AP66" i="17"/>
  <c r="AI66" i="17"/>
  <c r="Z48" i="17"/>
  <c r="AB48" i="17" s="1"/>
  <c r="AJ48" i="17" s="1"/>
  <c r="AI69" i="17"/>
  <c r="AH69" i="17"/>
  <c r="AJ69" i="17"/>
  <c r="AG69" i="17"/>
  <c r="AG30" i="17"/>
  <c r="AH30" i="17"/>
  <c r="AJ62" i="17"/>
  <c r="AG62" i="17"/>
  <c r="AI62" i="17"/>
  <c r="Z128" i="17"/>
  <c r="AB128" i="17" s="1"/>
  <c r="Z120" i="17"/>
  <c r="AB120" i="17" s="1"/>
  <c r="AJ117" i="17"/>
  <c r="AG117" i="17"/>
  <c r="AI117" i="17"/>
  <c r="AJ21" i="17"/>
  <c r="AG21" i="17"/>
  <c r="AI21" i="17"/>
  <c r="AJ17" i="17"/>
  <c r="AG46" i="17"/>
  <c r="AH46" i="17"/>
  <c r="AJ46" i="17"/>
  <c r="AJ132" i="17"/>
  <c r="AG132" i="17"/>
  <c r="AH132" i="17"/>
  <c r="AI132" i="17"/>
  <c r="Z90" i="17"/>
  <c r="AB90" i="17" s="1"/>
  <c r="AG90" i="17" s="1"/>
  <c r="AP182" i="17"/>
  <c r="AG6" i="17"/>
  <c r="AI13" i="17"/>
  <c r="AG13" i="17"/>
  <c r="AH13" i="17"/>
  <c r="AG7" i="17"/>
  <c r="AI7" i="17"/>
  <c r="AH49" i="17"/>
  <c r="AI49" i="17"/>
  <c r="AJ49" i="17"/>
  <c r="AH6" i="17"/>
  <c r="AI6" i="17"/>
  <c r="AJ7" i="17"/>
  <c r="AG50" i="17"/>
  <c r="AI50" i="17"/>
  <c r="AH50" i="17"/>
  <c r="AI14" i="17"/>
  <c r="AJ14" i="17"/>
  <c r="AH14" i="17"/>
  <c r="AJ9" i="17"/>
  <c r="AG9" i="17"/>
  <c r="AH9" i="17"/>
  <c r="AG15" i="17"/>
  <c r="AH15" i="17"/>
  <c r="AJ15" i="17"/>
  <c r="AI26" i="17"/>
  <c r="AI47" i="17"/>
  <c r="AH47" i="17"/>
  <c r="AJ47" i="17"/>
  <c r="AJ73" i="17"/>
  <c r="AI73" i="17"/>
  <c r="AH38" i="17"/>
  <c r="AG38" i="17"/>
  <c r="AH73" i="17"/>
  <c r="AI38" i="17"/>
  <c r="AJ26" i="17"/>
  <c r="AG26" i="17"/>
  <c r="AH106" i="17"/>
  <c r="AI106" i="17"/>
  <c r="AP106" i="17"/>
  <c r="AJ106" i="17"/>
  <c r="AG106" i="17"/>
  <c r="AI98" i="17"/>
  <c r="AJ60" i="17"/>
  <c r="AP84" i="17"/>
  <c r="AH105" i="17"/>
  <c r="AJ105" i="17"/>
  <c r="AI105" i="17"/>
  <c r="AG105" i="17"/>
  <c r="Z187" i="17"/>
  <c r="AB187" i="17" s="1"/>
  <c r="AI187" i="17" s="1"/>
  <c r="AH92" i="17"/>
  <c r="AH60" i="17"/>
  <c r="AJ98" i="17"/>
  <c r="AG60" i="17"/>
  <c r="AH98" i="17"/>
  <c r="AP98" i="17"/>
  <c r="Z89" i="17"/>
  <c r="AB89" i="17" s="1"/>
  <c r="AG92" i="17"/>
  <c r="AJ92" i="17"/>
  <c r="AI58" i="17"/>
  <c r="AH58" i="17"/>
  <c r="AJ58" i="17"/>
  <c r="Z57" i="17"/>
  <c r="AB57" i="17" s="1"/>
  <c r="AG57" i="17" s="1"/>
  <c r="AJ86" i="17"/>
  <c r="AH86" i="17"/>
  <c r="AP86" i="17"/>
  <c r="AG86" i="17"/>
  <c r="AI101" i="17"/>
  <c r="AG101" i="17"/>
  <c r="AJ101" i="17"/>
  <c r="Z35" i="17"/>
  <c r="AB35" i="17" s="1"/>
  <c r="AI35" i="17" s="1"/>
  <c r="Z20" i="17"/>
  <c r="AB20" i="17" s="1"/>
  <c r="AI20" i="17" s="1"/>
  <c r="Z166" i="17"/>
  <c r="AB166" i="17" s="1"/>
  <c r="AP185" i="17"/>
  <c r="AP159" i="17"/>
  <c r="AP183" i="17"/>
  <c r="AJ84" i="17"/>
  <c r="AH84" i="17"/>
  <c r="AI84" i="17"/>
  <c r="AG84" i="17"/>
  <c r="AG205" i="17" l="1"/>
  <c r="B188" i="19"/>
  <c r="AH158" i="17"/>
  <c r="AI205" i="17"/>
  <c r="AH205" i="17"/>
  <c r="AJ162" i="17"/>
  <c r="AH169" i="17"/>
  <c r="AJ169" i="17"/>
  <c r="AI151" i="17"/>
  <c r="AI169" i="17"/>
  <c r="AI170" i="17"/>
  <c r="AJ170" i="17"/>
  <c r="AH164" i="17"/>
  <c r="AH170" i="17"/>
  <c r="AG172" i="17"/>
  <c r="AH182" i="17"/>
  <c r="AJ182" i="17"/>
  <c r="AG182" i="17"/>
  <c r="AI162" i="17"/>
  <c r="AH162" i="17"/>
  <c r="AG173" i="17"/>
  <c r="AI164" i="17"/>
  <c r="AG164" i="17"/>
  <c r="AJ154" i="17"/>
  <c r="AH193" i="17"/>
  <c r="AG193" i="17"/>
  <c r="AJ193" i="17"/>
  <c r="AJ172" i="17"/>
  <c r="AG154" i="17"/>
  <c r="AI154" i="17"/>
  <c r="AI158" i="17"/>
  <c r="AJ158" i="17"/>
  <c r="AJ198" i="17"/>
  <c r="B173" i="19"/>
  <c r="C16" i="24" s="1"/>
  <c r="AG175" i="17"/>
  <c r="AJ175" i="17"/>
  <c r="AH175" i="17"/>
  <c r="AI198" i="17"/>
  <c r="AH198" i="17"/>
  <c r="AI173" i="17"/>
  <c r="AG167" i="17"/>
  <c r="AH167" i="17"/>
  <c r="AI167" i="17"/>
  <c r="AH151" i="17"/>
  <c r="AJ151" i="17"/>
  <c r="AH173" i="17"/>
  <c r="AI165" i="17"/>
  <c r="AG165" i="17"/>
  <c r="AJ165" i="17"/>
  <c r="B59" i="19"/>
  <c r="M6" i="24" s="1"/>
  <c r="AI191" i="17"/>
  <c r="C106" i="19"/>
  <c r="N9" i="24" s="1"/>
  <c r="AG191" i="17"/>
  <c r="C28" i="19"/>
  <c r="N5" i="24" s="1"/>
  <c r="C86" i="19"/>
  <c r="D8" i="24" s="1"/>
  <c r="D106" i="19"/>
  <c r="O9" i="24" s="1"/>
  <c r="C59" i="19"/>
  <c r="N6" i="24" s="1"/>
  <c r="D173" i="19"/>
  <c r="E16" i="24" s="1"/>
  <c r="C101" i="19"/>
  <c r="D9" i="24" s="1"/>
  <c r="B101" i="19"/>
  <c r="C9" i="24" s="1"/>
  <c r="C198" i="19"/>
  <c r="D22" i="24" s="1"/>
  <c r="C5" i="19"/>
  <c r="D5" i="24" s="1"/>
  <c r="C96" i="19"/>
  <c r="N8" i="24" s="1"/>
  <c r="C188" i="19"/>
  <c r="I17" i="24" s="1"/>
  <c r="B16" i="19"/>
  <c r="H5" i="24" s="1"/>
  <c r="D28" i="19"/>
  <c r="O5" i="24" s="1"/>
  <c r="C38" i="19"/>
  <c r="D6" i="24" s="1"/>
  <c r="E136" i="19"/>
  <c r="F15" i="24" s="1"/>
  <c r="D136" i="19"/>
  <c r="E15" i="24" s="1"/>
  <c r="C136" i="19"/>
  <c r="D15" i="24" s="1"/>
  <c r="B136" i="19"/>
  <c r="C15" i="24" s="1"/>
  <c r="AH191" i="17"/>
  <c r="E165" i="19"/>
  <c r="P15" i="24" s="1"/>
  <c r="D165" i="19"/>
  <c r="O15" i="24" s="1"/>
  <c r="C165" i="19"/>
  <c r="N15" i="24" s="1"/>
  <c r="B165" i="19"/>
  <c r="M15" i="24" s="1"/>
  <c r="E173" i="19"/>
  <c r="F16" i="24" s="1"/>
  <c r="E28" i="19"/>
  <c r="P5" i="24" s="1"/>
  <c r="E106" i="19"/>
  <c r="P9" i="24" s="1"/>
  <c r="D198" i="19"/>
  <c r="E22" i="24" s="1"/>
  <c r="D101" i="19"/>
  <c r="E9" i="24" s="1"/>
  <c r="D38" i="19"/>
  <c r="E6" i="24" s="1"/>
  <c r="D5" i="19"/>
  <c r="E5" i="24" s="1"/>
  <c r="D96" i="19"/>
  <c r="O8" i="24" s="1"/>
  <c r="D188" i="19"/>
  <c r="J17" i="24" s="1"/>
  <c r="D59" i="19"/>
  <c r="O6" i="24" s="1"/>
  <c r="D86" i="19"/>
  <c r="E8" i="24" s="1"/>
  <c r="C16" i="19"/>
  <c r="I5" i="24" s="1"/>
  <c r="E131" i="19"/>
  <c r="P11" i="24" s="1"/>
  <c r="D131" i="19"/>
  <c r="O11" i="24" s="1"/>
  <c r="C131" i="19"/>
  <c r="N11" i="24" s="1"/>
  <c r="B131" i="19"/>
  <c r="M11" i="24" s="1"/>
  <c r="AH178" i="17"/>
  <c r="E154" i="19"/>
  <c r="K15" i="24" s="1"/>
  <c r="D154" i="19"/>
  <c r="J15" i="24" s="1"/>
  <c r="C154" i="19"/>
  <c r="I15" i="24" s="1"/>
  <c r="B154" i="19"/>
  <c r="H15" i="24" s="1"/>
  <c r="B28" i="19"/>
  <c r="M5" i="24" s="1"/>
  <c r="B106" i="19"/>
  <c r="M9" i="24" s="1"/>
  <c r="E198" i="19"/>
  <c r="F22" i="24" s="1"/>
  <c r="E101" i="19"/>
  <c r="F9" i="24" s="1"/>
  <c r="E38" i="19"/>
  <c r="F6" i="24" s="1"/>
  <c r="E5" i="19"/>
  <c r="F5" i="24" s="1"/>
  <c r="E96" i="19"/>
  <c r="P8" i="24" s="1"/>
  <c r="E188" i="19"/>
  <c r="K17" i="24" s="1"/>
  <c r="E59" i="19"/>
  <c r="P6" i="24" s="1"/>
  <c r="E86" i="19"/>
  <c r="F8" i="24" s="1"/>
  <c r="D16" i="19"/>
  <c r="E71" i="19"/>
  <c r="F7" i="24" s="1"/>
  <c r="D71" i="19"/>
  <c r="E7" i="24" s="1"/>
  <c r="C71" i="19"/>
  <c r="D7" i="24" s="1"/>
  <c r="B71" i="19"/>
  <c r="C7" i="24" s="1"/>
  <c r="E111" i="19"/>
  <c r="F10" i="24" s="1"/>
  <c r="D111" i="19"/>
  <c r="E10" i="24" s="1"/>
  <c r="C111" i="19"/>
  <c r="D10" i="24" s="1"/>
  <c r="B111" i="19"/>
  <c r="C10" i="24" s="1"/>
  <c r="E91" i="19"/>
  <c r="K8" i="24" s="1"/>
  <c r="D91" i="19"/>
  <c r="J8" i="24" s="1"/>
  <c r="C91" i="19"/>
  <c r="I8" i="24" s="1"/>
  <c r="B91" i="19"/>
  <c r="H8" i="24" s="1"/>
  <c r="AJ209" i="17"/>
  <c r="E193" i="19"/>
  <c r="F21" i="24" s="1"/>
  <c r="D193" i="19"/>
  <c r="E21" i="24" s="1"/>
  <c r="C193" i="19"/>
  <c r="D21" i="24" s="1"/>
  <c r="B193" i="19"/>
  <c r="C21" i="24" s="1"/>
  <c r="C173" i="19"/>
  <c r="D16" i="24" s="1"/>
  <c r="B198" i="19"/>
  <c r="C22" i="24" s="1"/>
  <c r="B38" i="19"/>
  <c r="C6" i="24" s="1"/>
  <c r="B5" i="19"/>
  <c r="C5" i="24" s="1"/>
  <c r="B96" i="19"/>
  <c r="M8" i="24" s="1"/>
  <c r="B86" i="19"/>
  <c r="C8" i="24" s="1"/>
  <c r="E16" i="19"/>
  <c r="K5" i="24" s="1"/>
  <c r="AI163" i="17"/>
  <c r="AG210" i="17"/>
  <c r="AI210" i="17"/>
  <c r="AI211" i="17"/>
  <c r="AH211" i="17"/>
  <c r="AJ211" i="17"/>
  <c r="AH210" i="17"/>
  <c r="AH209" i="17"/>
  <c r="AG209" i="17"/>
  <c r="AI209" i="17"/>
  <c r="AJ194" i="17"/>
  <c r="AI185" i="17"/>
  <c r="AH185" i="17"/>
  <c r="AG185" i="17"/>
  <c r="AI181" i="17"/>
  <c r="AH181" i="17"/>
  <c r="AJ181" i="17"/>
  <c r="AI178" i="17"/>
  <c r="AG178" i="17"/>
  <c r="AJ178" i="17"/>
  <c r="AH163" i="17"/>
  <c r="AJ163" i="17"/>
  <c r="AJ150" i="17"/>
  <c r="AH150" i="17"/>
  <c r="AI150" i="17"/>
  <c r="AJ146" i="17"/>
  <c r="AH146" i="17"/>
  <c r="AG146" i="17"/>
  <c r="AJ109" i="17"/>
  <c r="AI109" i="17"/>
  <c r="AG109" i="17"/>
  <c r="AH109" i="17"/>
  <c r="AG199" i="17"/>
  <c r="AJ44" i="17"/>
  <c r="AH174" i="17"/>
  <c r="AG171" i="17"/>
  <c r="AJ171" i="17"/>
  <c r="AH215" i="17"/>
  <c r="AH152" i="17"/>
  <c r="AI152" i="17"/>
  <c r="AG152" i="17"/>
  <c r="AG174" i="17"/>
  <c r="AI174" i="17"/>
  <c r="AH114" i="17"/>
  <c r="AI114" i="17"/>
  <c r="AI199" i="17"/>
  <c r="AH199" i="17"/>
  <c r="AJ199" i="17"/>
  <c r="AH44" i="17"/>
  <c r="AG44" i="17"/>
  <c r="AI171" i="17"/>
  <c r="AG160" i="17"/>
  <c r="AH159" i="17"/>
  <c r="AI159" i="17"/>
  <c r="AJ160" i="17"/>
  <c r="AJ159" i="17"/>
  <c r="AI160" i="17"/>
  <c r="AH188" i="17"/>
  <c r="AG188" i="17"/>
  <c r="AJ188" i="17"/>
  <c r="AI18" i="17"/>
  <c r="AG149" i="17"/>
  <c r="AG18" i="17"/>
  <c r="AH18" i="17"/>
  <c r="AJ156" i="17"/>
  <c r="AG156" i="17"/>
  <c r="AI156" i="17"/>
  <c r="AH51" i="17"/>
  <c r="AJ51" i="17"/>
  <c r="AI51" i="17"/>
  <c r="AG43" i="17"/>
  <c r="AH43" i="17"/>
  <c r="AJ43" i="17"/>
  <c r="AH176" i="17"/>
  <c r="AI122" i="17"/>
  <c r="AI180" i="17"/>
  <c r="AG122" i="17"/>
  <c r="AH122" i="17"/>
  <c r="AI215" i="17"/>
  <c r="AG176" i="17"/>
  <c r="AG155" i="17"/>
  <c r="AG114" i="17"/>
  <c r="AG215" i="17"/>
  <c r="AI176" i="17"/>
  <c r="AJ155" i="17"/>
  <c r="AI155" i="17"/>
  <c r="AG194" i="17"/>
  <c r="AH194" i="17"/>
  <c r="AI149" i="17"/>
  <c r="AJ114" i="17"/>
  <c r="AI107" i="17"/>
  <c r="AI161" i="17"/>
  <c r="AH107" i="17"/>
  <c r="AG107" i="17"/>
  <c r="AH192" i="17"/>
  <c r="AI192" i="17"/>
  <c r="AJ157" i="17"/>
  <c r="AH184" i="17"/>
  <c r="AH183" i="17"/>
  <c r="AJ184" i="17"/>
  <c r="AG183" i="17"/>
  <c r="AI183" i="17"/>
  <c r="AJ168" i="17"/>
  <c r="AI168" i="17"/>
  <c r="AG168" i="17"/>
  <c r="AG153" i="17"/>
  <c r="AI153" i="17"/>
  <c r="AJ153" i="17"/>
  <c r="AI157" i="17"/>
  <c r="AH180" i="17"/>
  <c r="AH157" i="17"/>
  <c r="AH161" i="17"/>
  <c r="AI184" i="17"/>
  <c r="AJ192" i="17"/>
  <c r="AJ180" i="17"/>
  <c r="AJ161" i="17"/>
  <c r="AI144" i="17"/>
  <c r="AJ144" i="17"/>
  <c r="AH144" i="17"/>
  <c r="AG144" i="17"/>
  <c r="AH29" i="17"/>
  <c r="AG29" i="17"/>
  <c r="AJ29" i="17"/>
  <c r="AH189" i="17"/>
  <c r="AG189" i="17"/>
  <c r="AI189" i="17"/>
  <c r="AJ189" i="17"/>
  <c r="AG83" i="17"/>
  <c r="AI83" i="17"/>
  <c r="AJ83" i="17"/>
  <c r="AH83" i="17"/>
  <c r="AJ130" i="17"/>
  <c r="AH130" i="17"/>
  <c r="AI130" i="17"/>
  <c r="AG130" i="17"/>
  <c r="H17" i="24"/>
  <c r="AJ148" i="17"/>
  <c r="AJ127" i="17"/>
  <c r="AI179" i="17"/>
  <c r="AG179" i="17"/>
  <c r="AH179" i="17"/>
  <c r="AG207" i="17"/>
  <c r="AH207" i="17"/>
  <c r="AI195" i="17"/>
  <c r="AJ195" i="17"/>
  <c r="AH195" i="17"/>
  <c r="AJ207" i="17"/>
  <c r="AI207" i="17"/>
  <c r="AG127" i="17"/>
  <c r="F126" i="19"/>
  <c r="AG195" i="17"/>
  <c r="F76" i="19"/>
  <c r="F183" i="19"/>
  <c r="F178" i="19"/>
  <c r="AI127" i="17"/>
  <c r="AH127" i="17"/>
  <c r="AH148" i="17"/>
  <c r="AI148" i="17"/>
  <c r="AG148" i="17"/>
  <c r="F121" i="19"/>
  <c r="AG128" i="17"/>
  <c r="AH74" i="17"/>
  <c r="AJ89" i="17"/>
  <c r="AJ42" i="17"/>
  <c r="AH42" i="17"/>
  <c r="AI42" i="17"/>
  <c r="AG42" i="17"/>
  <c r="AJ74" i="17"/>
  <c r="AI74" i="17"/>
  <c r="AG74" i="17"/>
  <c r="AG48" i="17"/>
  <c r="AJ186" i="17"/>
  <c r="AG186" i="17"/>
  <c r="AI186" i="17"/>
  <c r="AH48" i="17"/>
  <c r="AI48" i="17"/>
  <c r="F49" i="19"/>
  <c r="AJ128" i="17"/>
  <c r="AH128" i="17"/>
  <c r="AI128" i="17"/>
  <c r="AH120" i="17"/>
  <c r="AG120" i="17"/>
  <c r="AJ120" i="17"/>
  <c r="AI120" i="17"/>
  <c r="F116" i="19"/>
  <c r="AI90" i="17"/>
  <c r="AJ90" i="17"/>
  <c r="AH90" i="17"/>
  <c r="AG187" i="17"/>
  <c r="AH187" i="17"/>
  <c r="AJ187" i="17"/>
  <c r="W22" i="24"/>
  <c r="AH89" i="17"/>
  <c r="AI89" i="17"/>
  <c r="AG89" i="17"/>
  <c r="AJ57" i="17"/>
  <c r="AI57" i="17"/>
  <c r="AH57" i="17"/>
  <c r="V21" i="24"/>
  <c r="F81" i="19"/>
  <c r="X21" i="24"/>
  <c r="AG35" i="17"/>
  <c r="AH20" i="17"/>
  <c r="AH35" i="17"/>
  <c r="U22" i="24"/>
  <c r="AJ35" i="17"/>
  <c r="W21" i="24"/>
  <c r="W24" i="24"/>
  <c r="V23" i="24"/>
  <c r="W23" i="24"/>
  <c r="U21" i="24"/>
  <c r="V22" i="24"/>
  <c r="V24" i="24"/>
  <c r="U24" i="24"/>
  <c r="X23" i="24"/>
  <c r="X22" i="24"/>
  <c r="AJ20" i="17"/>
  <c r="X24" i="24"/>
  <c r="U23" i="24"/>
  <c r="AG20" i="17"/>
  <c r="AH166" i="17"/>
  <c r="AI166" i="17"/>
  <c r="AG166" i="17"/>
  <c r="AJ166" i="17"/>
  <c r="F193" i="19" l="1"/>
  <c r="F173" i="19"/>
  <c r="F91" i="19"/>
  <c r="F96" i="19"/>
  <c r="F198" i="19"/>
  <c r="F86" i="19"/>
  <c r="F131" i="19"/>
  <c r="F111" i="19"/>
  <c r="F188" i="19"/>
  <c r="F165" i="19"/>
  <c r="F28" i="19"/>
  <c r="H25" i="24"/>
  <c r="N25" i="24"/>
  <c r="M25" i="24"/>
  <c r="O25" i="24"/>
  <c r="P25" i="24"/>
  <c r="F59" i="19"/>
  <c r="F101" i="19"/>
  <c r="F106" i="19"/>
  <c r="G28" i="25"/>
  <c r="F154" i="19"/>
  <c r="K25" i="24"/>
  <c r="I25" i="24"/>
  <c r="E30" i="25"/>
  <c r="E12" i="25"/>
  <c r="E7" i="25"/>
  <c r="G19" i="25"/>
  <c r="G9" i="25"/>
  <c r="G4" i="25"/>
  <c r="E27" i="25"/>
  <c r="G7" i="25"/>
  <c r="G10" i="25"/>
  <c r="G20" i="25"/>
  <c r="G30" i="25"/>
  <c r="G25" i="25"/>
  <c r="C25" i="24"/>
  <c r="G26" i="25"/>
  <c r="G12" i="25"/>
  <c r="G3" i="25"/>
  <c r="G13" i="25"/>
  <c r="G34" i="25"/>
  <c r="E29" i="25"/>
  <c r="G27" i="25"/>
  <c r="G23" i="25"/>
  <c r="G24" i="25"/>
  <c r="G17" i="25"/>
  <c r="G15" i="25"/>
  <c r="G8" i="25"/>
  <c r="G29" i="25"/>
  <c r="G14" i="25"/>
  <c r="G5" i="25"/>
  <c r="G6" i="25"/>
  <c r="G11" i="25"/>
  <c r="B204" i="19"/>
  <c r="F11" i="25"/>
  <c r="G21" i="25"/>
  <c r="F25" i="24"/>
  <c r="G16" i="25"/>
  <c r="G32" i="25"/>
  <c r="G35" i="25"/>
  <c r="G33" i="25"/>
  <c r="G18" i="25"/>
  <c r="E4" i="25"/>
  <c r="G22" i="25"/>
  <c r="H16" i="25"/>
  <c r="E3" i="25"/>
  <c r="F25" i="25"/>
  <c r="H15" i="25"/>
  <c r="H6" i="25"/>
  <c r="H25" i="25"/>
  <c r="H5" i="25"/>
  <c r="H21" i="25"/>
  <c r="H17" i="25"/>
  <c r="F9" i="25"/>
  <c r="F16" i="25"/>
  <c r="H27" i="25"/>
  <c r="H12" i="25"/>
  <c r="F20" i="25"/>
  <c r="F17" i="25"/>
  <c r="H33" i="25"/>
  <c r="H10" i="25"/>
  <c r="F7" i="25"/>
  <c r="F5" i="25"/>
  <c r="H9" i="25"/>
  <c r="F13" i="25"/>
  <c r="F28" i="25"/>
  <c r="F22" i="25"/>
  <c r="H3" i="25"/>
  <c r="H8" i="25"/>
  <c r="H28" i="25"/>
  <c r="F8" i="25"/>
  <c r="H22" i="25"/>
  <c r="F12" i="25"/>
  <c r="F29" i="25"/>
  <c r="H11" i="25"/>
  <c r="F24" i="25"/>
  <c r="H7" i="25"/>
  <c r="F32" i="25"/>
  <c r="D25" i="24"/>
  <c r="E19" i="25"/>
  <c r="D204" i="19"/>
  <c r="U28" i="24"/>
  <c r="E8" i="25"/>
  <c r="E32" i="25"/>
  <c r="E18" i="25"/>
  <c r="E15" i="25"/>
  <c r="E20" i="25"/>
  <c r="E33" i="25"/>
  <c r="E22" i="25"/>
  <c r="E35" i="25"/>
  <c r="E23" i="25"/>
  <c r="E25" i="25"/>
  <c r="E34" i="25"/>
  <c r="E5" i="25"/>
  <c r="E28" i="25"/>
  <c r="E6" i="25"/>
  <c r="E17" i="25"/>
  <c r="E9" i="25"/>
  <c r="F71" i="19"/>
  <c r="E14" i="25"/>
  <c r="E11" i="25"/>
  <c r="E31" i="25"/>
  <c r="E13" i="25"/>
  <c r="E16" i="25"/>
  <c r="E21" i="25"/>
  <c r="E24" i="25"/>
  <c r="E10" i="25"/>
  <c r="C204" i="19"/>
  <c r="F38" i="19"/>
  <c r="G31" i="25"/>
  <c r="F26" i="25"/>
  <c r="F27" i="25"/>
  <c r="F4" i="25"/>
  <c r="F10" i="25"/>
  <c r="F23" i="25"/>
  <c r="H30" i="25"/>
  <c r="F35" i="25"/>
  <c r="H13" i="25"/>
  <c r="F31" i="25"/>
  <c r="F6" i="25"/>
  <c r="F19" i="25"/>
  <c r="F3" i="25"/>
  <c r="H31" i="25"/>
  <c r="H23" i="25"/>
  <c r="H26" i="25"/>
  <c r="H14" i="25"/>
  <c r="H29" i="25"/>
  <c r="E204" i="19"/>
  <c r="F14" i="25"/>
  <c r="F34" i="25"/>
  <c r="F21" i="25"/>
  <c r="F33" i="25"/>
  <c r="H35" i="25"/>
  <c r="F30" i="25"/>
  <c r="E25" i="24"/>
  <c r="F15" i="25"/>
  <c r="F18" i="25"/>
  <c r="H32" i="25"/>
  <c r="J5" i="24"/>
  <c r="F16" i="19"/>
  <c r="F5" i="19"/>
  <c r="E26" i="25"/>
  <c r="H19" i="25"/>
  <c r="H34" i="25"/>
  <c r="H4" i="25"/>
  <c r="H20" i="25"/>
  <c r="H24" i="25"/>
  <c r="H18" i="25"/>
  <c r="F136" i="19"/>
  <c r="G37" i="25" l="1"/>
  <c r="E37" i="25"/>
  <c r="F37" i="25"/>
  <c r="F204" i="19"/>
  <c r="B26" i="24"/>
  <c r="J25" i="24"/>
  <c r="D38" i="25"/>
  <c r="H3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200-000001000000}">
      <text>
        <r>
          <rPr>
            <sz val="9"/>
            <color indexed="81"/>
            <rFont val="Tahoma"/>
            <family val="2"/>
          </rPr>
          <t>Exclusion si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300-000001000000}">
      <text>
        <r>
          <rPr>
            <sz val="9"/>
            <color indexed="81"/>
            <rFont val="Tahoma"/>
            <family val="2"/>
          </rPr>
          <t>Exclusion si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H1" authorId="0" shapeId="0" xr:uid="{00000000-0006-0000-0400-000001000000}">
      <text>
        <r>
          <rPr>
            <sz val="9"/>
            <color indexed="81"/>
            <rFont val="Tahoma"/>
            <family val="2"/>
          </rPr>
          <t>Pour désélectionner un actif, mettre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roule</author>
  </authors>
  <commentList>
    <comment ref="H2" authorId="0" shapeId="0" xr:uid="{00000000-0006-0000-1000-000001000000}">
      <text>
        <r>
          <rPr>
            <b/>
            <sz val="9"/>
            <color indexed="81"/>
            <rFont val="Tahoma"/>
            <family val="2"/>
          </rPr>
          <t>1= considérer
0= omettre dans les calculs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Jean-Philippe Jouas</author>
    <author>jp.jouas@free.fr</author>
  </authors>
  <commentList>
    <comment ref="AP4" authorId="0" shapeId="0" xr:uid="{00000000-0006-0000-1100-000005000000}">
      <text>
        <r>
          <rPr>
            <sz val="9"/>
            <color indexed="81"/>
            <rFont val="Tahoma"/>
            <family val="2"/>
          </rPr>
          <t>L'impact et la potentialité dépendent du choix fait dans Risk%actifs : intrinsèques, actuels ou projetés
Le calcul n'est fait que pour les scénarios sélectionnés et qui n'ont pas été marqués comme "acceptés"</t>
        </r>
      </text>
    </comment>
    <comment ref="AC6" authorId="1" shapeId="0" xr:uid="{ACA18503-C3E2-4EE4-8F49-B12BAFD08324}">
      <text>
        <r>
          <rPr>
            <sz val="9"/>
            <color indexed="81"/>
            <rFont val="Tahoma"/>
            <family val="2"/>
          </rPr>
          <t xml:space="preserve">3A08 : Surveillance des actions effectuées avec des droits privilégiés
4A11 : Journalisation et contrôle des journaux
</t>
        </r>
      </text>
    </comment>
    <comment ref="AF6" authorId="1" shapeId="0" xr:uid="{9872F95C-DE35-46E9-82F7-D40F60D4A4AF}">
      <text>
        <r>
          <rPr>
            <sz val="9"/>
            <color indexed="81"/>
            <rFont val="Tahoma"/>
            <family val="2"/>
          </rPr>
          <t xml:space="preserve">4A03 : Sauvegardes des données et configurations
</t>
        </r>
      </text>
    </comment>
    <comment ref="AD7" authorId="1" shapeId="0" xr:uid="{85511023-0FC9-41E8-8327-95B65FE73803}">
      <text>
        <r>
          <rPr>
            <sz val="9"/>
            <color indexed="81"/>
            <rFont val="Tahoma"/>
            <family val="2"/>
          </rPr>
          <t xml:space="preserve">3A04 : Contrôle d'accès aux systèmes et applications
3A07 : Contrôle des accès privilégiés
</t>
        </r>
      </text>
    </comment>
    <comment ref="AF7" authorId="1" shapeId="0" xr:uid="{D5F44ECE-461A-4DE8-872B-91EC0366899E}">
      <text>
        <r>
          <rPr>
            <sz val="9"/>
            <color indexed="81"/>
            <rFont val="Tahoma"/>
            <family val="2"/>
          </rPr>
          <t xml:space="preserve">4A03 : Sauvegardes des données et configurations
</t>
        </r>
      </text>
    </comment>
    <comment ref="AF8" authorId="1" shapeId="0" xr:uid="{0D90C617-5934-4FE6-9997-53A0C30DBB01}">
      <text>
        <r>
          <rPr>
            <sz val="9"/>
            <color indexed="81"/>
            <rFont val="Tahoma"/>
            <family val="2"/>
          </rPr>
          <t xml:space="preserve">4A03 : Sauvegardes des données et configurations
</t>
        </r>
      </text>
    </comment>
    <comment ref="AC9" authorId="1" shapeId="0" xr:uid="{CB9FF2FE-6DC0-4E9A-828E-BBD702625383}">
      <text>
        <r>
          <rPr>
            <sz val="9"/>
            <color indexed="81"/>
            <rFont val="Tahoma"/>
            <family val="2"/>
          </rPr>
          <t xml:space="preserve">3A08 : Surveillance des actions effectuées avec des droits privilégiés
</t>
        </r>
      </text>
    </comment>
    <comment ref="AD10" authorId="1" shapeId="0" xr:uid="{6E3D5941-136E-4EAA-BC5A-4384E9010D4C}">
      <text>
        <r>
          <rPr>
            <sz val="9"/>
            <color indexed="81"/>
            <rFont val="Tahoma"/>
            <family val="2"/>
          </rPr>
          <t xml:space="preserve">5C01 : Gestion des moyens d'accès aux fichiers de données ou de programme
</t>
        </r>
      </text>
    </comment>
    <comment ref="AD11" authorId="1" shapeId="0" xr:uid="{5A02770A-9C84-4905-AB3E-34435A6F4201}">
      <text>
        <r>
          <rPr>
            <sz val="9"/>
            <color indexed="81"/>
            <rFont val="Tahoma"/>
            <family val="2"/>
          </rPr>
          <t xml:space="preserve">4A09 : Contrôle des opérations de maintenance 
7B09 : Maintenance à chaud 
</t>
        </r>
      </text>
    </comment>
    <comment ref="AF11" authorId="1" shapeId="0" xr:uid="{4A16EC15-C60B-4ECD-83D9-E16F0EDC10B0}">
      <text>
        <r>
          <rPr>
            <sz val="9"/>
            <color indexed="81"/>
            <rFont val="Tahoma"/>
            <family val="2"/>
          </rPr>
          <t xml:space="preserve">4A03 : Sauvegardes des données et configurations
</t>
        </r>
      </text>
    </comment>
    <comment ref="AD12" authorId="1" shapeId="0" xr:uid="{4F231AFF-CAB8-4ADF-BB01-8A155FB1AAD1}">
      <text>
        <r>
          <rPr>
            <sz val="9"/>
            <color indexed="81"/>
            <rFont val="Tahoma"/>
            <family val="2"/>
          </rPr>
          <t xml:space="preserve">4C02 : Procédures et plans de reprise des applications sur incidents
</t>
        </r>
      </text>
    </comment>
    <comment ref="AF12" authorId="1" shapeId="0" xr:uid="{2E0F4437-EA2D-4105-A4CD-CD4FC872FC1A}">
      <text>
        <r>
          <rPr>
            <sz val="9"/>
            <color indexed="81"/>
            <rFont val="Tahoma"/>
            <family val="2"/>
          </rPr>
          <t xml:space="preserve">4A03 : Sauvegardes des données et configurations
</t>
        </r>
      </text>
    </comment>
    <comment ref="AD13" authorId="1" shapeId="0" xr:uid="{B3849CF7-719A-43FE-BEDD-54F09DFED2F1}">
      <text>
        <r>
          <rPr>
            <sz val="9"/>
            <color indexed="81"/>
            <rFont val="Tahoma"/>
            <family val="2"/>
          </rPr>
          <t xml:space="preserve">4A09 : Contrôle des opérations de maintenance 
7B09 : Maintenance à chaud 
</t>
        </r>
      </text>
    </comment>
    <comment ref="AF13" authorId="1" shapeId="0" xr:uid="{B0A7C1BC-4D55-4EF5-9615-BA0FF2635F94}">
      <text>
        <r>
          <rPr>
            <sz val="9"/>
            <color indexed="81"/>
            <rFont val="Tahoma"/>
            <family val="2"/>
          </rPr>
          <t xml:space="preserve">4A03 : Sauvegardes des données et configurations
</t>
        </r>
      </text>
    </comment>
    <comment ref="AC14" authorId="1" shapeId="0" xr:uid="{C68143B4-5637-4B77-8B74-CCE1D6B49998}">
      <text>
        <r>
          <rPr>
            <sz val="9"/>
            <color indexed="81"/>
            <rFont val="Tahoma"/>
            <family val="2"/>
          </rPr>
          <t xml:space="preserve">3A08 : Surveillance des actions effectuées avec des droits privilégiés
4A11 : Journalisation et contrôle des journaux
</t>
        </r>
      </text>
    </comment>
    <comment ref="AF14" authorId="1" shapeId="0" xr:uid="{F4C41E18-BFAE-4135-AC86-54D190E3CDDC}">
      <text>
        <r>
          <rPr>
            <sz val="9"/>
            <color indexed="81"/>
            <rFont val="Tahoma"/>
            <family val="2"/>
          </rPr>
          <t xml:space="preserve">4A03 : Sauvegardes des données et configurations
</t>
        </r>
      </text>
    </comment>
    <comment ref="AD15" authorId="1" shapeId="0" xr:uid="{16024477-67DA-4026-B4F0-D6D4ECF29A55}">
      <text>
        <r>
          <rPr>
            <sz val="9"/>
            <color indexed="81"/>
            <rFont val="Tahoma"/>
            <family val="2"/>
          </rPr>
          <t xml:space="preserve">3A04 : Contrôle d'accès aux systèmes et applications
3A07 : Contrôle des accès privilégiés
</t>
        </r>
      </text>
    </comment>
    <comment ref="AF15" authorId="1" shapeId="0" xr:uid="{91EDAC1D-922F-4562-A7C4-13726A8F1B0F}">
      <text>
        <r>
          <rPr>
            <sz val="9"/>
            <color indexed="81"/>
            <rFont val="Tahoma"/>
            <family val="2"/>
          </rPr>
          <t xml:space="preserve">4A03 : Sauvegardes des données et configurations
</t>
        </r>
      </text>
    </comment>
    <comment ref="AF16" authorId="1" shapeId="0" xr:uid="{82893FF7-B1ED-456E-A870-F0BC05F3E1AC}">
      <text>
        <r>
          <rPr>
            <sz val="9"/>
            <color indexed="81"/>
            <rFont val="Tahoma"/>
            <family val="2"/>
          </rPr>
          <t xml:space="preserve">5E04 : Contrôle de la transmission des données
</t>
        </r>
      </text>
    </comment>
    <comment ref="AD17" authorId="1" shapeId="0" xr:uid="{A9533B3B-F340-47F8-B2F7-26FF4B9DE113}">
      <text>
        <r>
          <rPr>
            <sz val="9"/>
            <color indexed="81"/>
            <rFont val="Tahoma"/>
            <family val="2"/>
          </rPr>
          <t xml:space="preserve">4E01 : Gestion des supports amovibles
</t>
        </r>
      </text>
    </comment>
    <comment ref="AF18" authorId="1" shapeId="0" xr:uid="{9DE45FF3-BAB7-4034-911E-846D5EBD884A}">
      <text>
        <r>
          <rPr>
            <sz val="9"/>
            <color indexed="81"/>
            <rFont val="Tahoma"/>
            <family val="2"/>
          </rPr>
          <t xml:space="preserve">4A03 : Sauvegardes des données et configurations
</t>
        </r>
      </text>
    </comment>
    <comment ref="AC19" authorId="1" shapeId="0" xr:uid="{5C253049-1237-4059-A4B4-023A51C1724B}">
      <text>
        <r>
          <rPr>
            <sz val="9"/>
            <color indexed="81"/>
            <rFont val="Tahoma"/>
            <family val="2"/>
          </rPr>
          <t xml:space="preserve">2B03 : Surveillance des locaux sensibles
</t>
        </r>
      </text>
    </comment>
    <comment ref="AF19" authorId="1" shapeId="0" xr:uid="{7DA31140-88A6-4E3F-943C-5D475D613991}">
      <text>
        <r>
          <rPr>
            <sz val="9"/>
            <color indexed="81"/>
            <rFont val="Tahoma"/>
            <family val="2"/>
          </rPr>
          <t xml:space="preserve">4A03 : Sauvegardes des données et configurations
</t>
        </r>
      </text>
    </comment>
    <comment ref="AD20" authorId="1" shapeId="0" xr:uid="{D0A99F3B-D919-47B1-939E-4E307B8CB179}">
      <text>
        <r>
          <rPr>
            <sz val="9"/>
            <color indexed="81"/>
            <rFont val="Tahoma"/>
            <family val="2"/>
          </rPr>
          <t xml:space="preserve">2B01 : Contrôle des accès aux locaux sensibles
2B02 : Détection des intrusions dans les locaux sensibles 
</t>
        </r>
      </text>
    </comment>
    <comment ref="AF20" authorId="1" shapeId="0" xr:uid="{04ADF157-3EE3-41C4-831E-C32B0C89C20F}">
      <text>
        <r>
          <rPr>
            <sz val="9"/>
            <color indexed="81"/>
            <rFont val="Tahoma"/>
            <family val="2"/>
          </rPr>
          <t xml:space="preserve">4A03 : Sauvegardes des données et configurations
</t>
        </r>
      </text>
    </comment>
    <comment ref="AD21" authorId="1" shapeId="0" xr:uid="{EC378723-5BD5-4DEC-ACD3-A842E589CF5B}">
      <text>
        <r>
          <rPr>
            <sz val="9"/>
            <color indexed="81"/>
            <rFont val="Tahoma"/>
            <family val="2"/>
          </rPr>
          <t xml:space="preserve">4E02 : Sécurité physique des medias
</t>
        </r>
      </text>
    </comment>
    <comment ref="AF21" authorId="1" shapeId="0" xr:uid="{06B48138-5E4E-4424-8AEA-D390F51D8A2D}">
      <text>
        <r>
          <rPr>
            <sz val="9"/>
            <color indexed="81"/>
            <rFont val="Tahoma"/>
            <family val="2"/>
          </rPr>
          <t xml:space="preserve">4A03 : Sauvegardes des données et configurations
</t>
        </r>
      </text>
    </comment>
    <comment ref="AD22" authorId="1" shapeId="0" xr:uid="{151EC3CD-0226-49E8-8E75-A65792CEE4CC}">
      <text>
        <r>
          <rPr>
            <sz val="9"/>
            <color indexed="81"/>
            <rFont val="Tahoma"/>
            <family val="2"/>
          </rPr>
          <t xml:space="preserve">4E02 : Sécurité physique des medias
</t>
        </r>
      </text>
    </comment>
    <comment ref="AE22" authorId="1" shapeId="0" xr:uid="{F90B1363-C0BF-4C6E-8C2F-4CF60670FFF2}">
      <text>
        <r>
          <rPr>
            <sz val="9"/>
            <color indexed="81"/>
            <rFont val="Tahoma"/>
            <family val="2"/>
          </rPr>
          <t xml:space="preserve">2A03 : Protection contre les risques environnementaux divers
</t>
        </r>
      </text>
    </comment>
    <comment ref="AF22" authorId="1" shapeId="0" xr:uid="{2DDAFF78-6E46-4546-9E46-42D1B8901FD9}">
      <text>
        <r>
          <rPr>
            <sz val="9"/>
            <color indexed="81"/>
            <rFont val="Tahoma"/>
            <family val="2"/>
          </rPr>
          <t xml:space="preserve">4A03 : Sauvegardes des données et configurations
</t>
        </r>
      </text>
    </comment>
    <comment ref="AD23" authorId="1" shapeId="0" xr:uid="{3C378E6F-BE94-4FCB-A907-55DE27B227BA}">
      <text>
        <r>
          <rPr>
            <sz val="9"/>
            <color indexed="81"/>
            <rFont val="Tahoma"/>
            <family val="2"/>
          </rPr>
          <t xml:space="preserve">5C01 : Gestion des moyens d'accès aux fichiers de données ou de programme
</t>
        </r>
      </text>
    </comment>
    <comment ref="AD24" authorId="1" shapeId="0" xr:uid="{9D3EB698-5A08-439E-8BFA-8E7F222BEF85}">
      <text>
        <r>
          <rPr>
            <sz val="9"/>
            <color indexed="81"/>
            <rFont val="Tahoma"/>
            <family val="2"/>
          </rPr>
          <t xml:space="preserve">5C01 : Gestion des moyens d'accès aux fichiers de données ou de programme
</t>
        </r>
      </text>
    </comment>
    <comment ref="AD26" authorId="1" shapeId="0" xr:uid="{8CA8D585-5809-47F6-824F-29EBC2B89B10}">
      <text>
        <r>
          <rPr>
            <sz val="9"/>
            <color indexed="81"/>
            <rFont val="Tahoma"/>
            <family val="2"/>
          </rPr>
          <t xml:space="preserve">3A04 : Contrôle d'accès aux systèmes et applications
3A07 : Contrôle des accès privilégiés
5A02 : Protection de l'intégrité des fichiers de données applicatives sensibles
5B02 : Chiffrement des données applicatives stockées
</t>
        </r>
      </text>
    </comment>
    <comment ref="AE26" authorId="1" shapeId="0" xr:uid="{B6BFA2B3-D940-4DA4-B73D-4B3326A61E5E}">
      <text>
        <r>
          <rPr>
            <sz val="9"/>
            <color indexed="81"/>
            <rFont val="Tahoma"/>
            <family val="2"/>
          </rPr>
          <t xml:space="preserve">5A03 : Contrôles permanents  (vraisemblance, ...) sur les données et traitements
</t>
        </r>
      </text>
    </comment>
    <comment ref="AC27" authorId="1" shapeId="0" xr:uid="{A7A73A6D-9DE3-4EB4-98A9-EEEDDF2E778B}">
      <text>
        <r>
          <rPr>
            <sz val="9"/>
            <color indexed="81"/>
            <rFont val="Tahoma"/>
            <family val="2"/>
          </rPr>
          <t xml:space="preserve">3A08 : Surveillance des actions effectuées avec des droits privilégiés
4A11 : Journalisation et contrôle des journaux
</t>
        </r>
      </text>
    </comment>
    <comment ref="AD27" authorId="1" shapeId="0" xr:uid="{71FE54FC-95DA-4126-8E05-4846E001AAC6}">
      <text>
        <r>
          <rPr>
            <sz val="9"/>
            <color indexed="81"/>
            <rFont val="Tahoma"/>
            <family val="2"/>
          </rPr>
          <t xml:space="preserve">5A02 : Protection de l'intégrité des fichiers de données applicatives sensibles
</t>
        </r>
      </text>
    </comment>
    <comment ref="AE27" authorId="1" shapeId="0" xr:uid="{6C1B8BEC-4B97-4A98-AF07-D010264DB2C8}">
      <text>
        <r>
          <rPr>
            <sz val="9"/>
            <color indexed="81"/>
            <rFont val="Tahoma"/>
            <family val="2"/>
          </rPr>
          <t xml:space="preserve">5A03 : Contrôles permanents  (vraisemblance, ...) sur les données et traitements
</t>
        </r>
      </text>
    </comment>
    <comment ref="AD28" authorId="1" shapeId="0" xr:uid="{2B6DAC8F-5A91-46AE-A361-4E6C15A25585}">
      <text>
        <r>
          <rPr>
            <sz val="9"/>
            <color indexed="81"/>
            <rFont val="Tahoma"/>
            <family val="2"/>
          </rPr>
          <t xml:space="preserve">4A09 : Contrôle des opérations de maintenance 
7B09 : Maintenance à chaud 
</t>
        </r>
      </text>
    </comment>
    <comment ref="AE28" authorId="1" shapeId="0" xr:uid="{532BBC9B-A8E7-4970-953F-72D844CE28C4}">
      <text>
        <r>
          <rPr>
            <sz val="9"/>
            <color indexed="81"/>
            <rFont val="Tahoma"/>
            <family val="2"/>
          </rPr>
          <t xml:space="preserve">5A03 : Contrôles permanents  (vraisemblance, ...) sur les données et traitements
</t>
        </r>
      </text>
    </comment>
    <comment ref="AD29" authorId="1" shapeId="0" xr:uid="{3244EE8D-CDC7-4B72-97ED-3D4F654A036A}">
      <text>
        <r>
          <rPr>
            <sz val="9"/>
            <color indexed="81"/>
            <rFont val="Tahoma"/>
            <family val="2"/>
          </rPr>
          <t xml:space="preserve">5A02 : Protection de l'intégrité des fichiers de données applicatives sensibles
</t>
        </r>
      </text>
    </comment>
    <comment ref="AE29" authorId="1" shapeId="0" xr:uid="{C67C43BF-2D2D-4125-A48D-C9298C740C4F}">
      <text>
        <r>
          <rPr>
            <sz val="9"/>
            <color indexed="81"/>
            <rFont val="Tahoma"/>
            <family val="2"/>
          </rPr>
          <t xml:space="preserve">5A03 : Contrôles permanents  (vraisemblance, ...) sur les données et traitements
</t>
        </r>
      </text>
    </comment>
    <comment ref="AD30" authorId="1" shapeId="0" xr:uid="{10ED87AC-C3EE-403F-9188-6FE542CDED30}">
      <text>
        <r>
          <rPr>
            <sz val="9"/>
            <color indexed="81"/>
            <rFont val="Tahoma"/>
            <family val="2"/>
          </rPr>
          <t xml:space="preserve">5A01 : Protection de l'intégrité des données applicatives échangées 
5B01 : Chiffrement des échanges de données applicatives 
</t>
        </r>
      </text>
    </comment>
    <comment ref="AF30" authorId="1" shapeId="0" xr:uid="{C6E1D95C-5AC8-4E3B-A86D-FDAED9FD3082}">
      <text>
        <r>
          <rPr>
            <sz val="9"/>
            <color indexed="81"/>
            <rFont val="Tahoma"/>
            <family val="2"/>
          </rPr>
          <t xml:space="preserve">5E04 : Contrôle de la transmission des données
</t>
        </r>
      </text>
    </comment>
    <comment ref="AC31" authorId="1" shapeId="0" xr:uid="{3232B91F-03BD-4B8C-A8D7-425A668BCE36}">
      <text>
        <r>
          <rPr>
            <sz val="9"/>
            <color indexed="81"/>
            <rFont val="Tahoma"/>
            <family val="2"/>
          </rPr>
          <t xml:space="preserve">3A08 : Surveillance des actions effectuées avec des droits privilégiés
</t>
        </r>
      </text>
    </comment>
    <comment ref="AD31" authorId="1" shapeId="0" xr:uid="{7CE90276-9D3F-47C0-875A-FC5A76B3DAC4}">
      <text>
        <r>
          <rPr>
            <sz val="9"/>
            <color indexed="81"/>
            <rFont val="Tahoma"/>
            <family val="2"/>
          </rPr>
          <t xml:space="preserve">5A01 : Protection de l'intégrité des données applicatives échangées 
5B01 : Chiffrement des échanges de données applicatives 
</t>
        </r>
      </text>
    </comment>
    <comment ref="AF31" authorId="1" shapeId="0" xr:uid="{D5E98AC9-162A-4F81-B983-160B449A2B49}">
      <text>
        <r>
          <rPr>
            <sz val="9"/>
            <color indexed="81"/>
            <rFont val="Tahoma"/>
            <family val="2"/>
          </rPr>
          <t xml:space="preserve">5E04 : Contrôle de la transmission des données
</t>
        </r>
      </text>
    </comment>
    <comment ref="AD32" authorId="1" shapeId="0" xr:uid="{28814A27-4EBF-4812-BFFF-A2F2BB0C1B22}">
      <text>
        <r>
          <rPr>
            <sz val="9"/>
            <color indexed="81"/>
            <rFont val="Tahoma"/>
            <family val="2"/>
          </rPr>
          <t xml:space="preserve">5E02 : Individualisation des messages empêchant leur duplication (numérotation, séquencement,...)
</t>
        </r>
      </text>
    </comment>
    <comment ref="AD33" authorId="1" shapeId="0" xr:uid="{475D1296-FFEA-4A1A-9773-3E0D235837DB}">
      <text>
        <r>
          <rPr>
            <sz val="9"/>
            <color indexed="81"/>
            <rFont val="Tahoma"/>
            <family val="2"/>
          </rPr>
          <t xml:space="preserve">5A04 : Contrôle de la saisie des données
</t>
        </r>
      </text>
    </comment>
    <comment ref="AE33" authorId="1" shapeId="0" xr:uid="{2B7995BD-9492-4CDC-AE15-F8BFC0B3E591}">
      <text>
        <r>
          <rPr>
            <sz val="9"/>
            <color indexed="81"/>
            <rFont val="Tahoma"/>
            <family val="2"/>
          </rPr>
          <t xml:space="preserve">5A03 : Contrôles permanents  (vraisemblance, ...) sur les données et traitements
</t>
        </r>
      </text>
    </comment>
    <comment ref="AC34" authorId="1" shapeId="0" xr:uid="{321BBB9D-24FB-4ECE-AE01-436827021E3F}">
      <text>
        <r>
          <rPr>
            <sz val="9"/>
            <color indexed="81"/>
            <rFont val="Tahoma"/>
            <family val="2"/>
          </rPr>
          <t xml:space="preserve">2B03 : Surveillance des locaux sensibles
</t>
        </r>
      </text>
    </comment>
    <comment ref="AD34" authorId="1" shapeId="0" xr:uid="{D8F77C4C-9FCD-47FB-8A8E-7D953C2830C7}">
      <text>
        <r>
          <rPr>
            <sz val="9"/>
            <color indexed="81"/>
            <rFont val="Tahoma"/>
            <family val="2"/>
          </rPr>
          <t xml:space="preserve">5A02 : Protection de l'intégrité des fichiers de données applicatives sensibles
5B02 : Chiffrement des données applicatives stockées
</t>
        </r>
      </text>
    </comment>
    <comment ref="AE34" authorId="1" shapeId="0" xr:uid="{DAD0C7BC-2336-4DEB-A68B-994BD4911F80}">
      <text>
        <r>
          <rPr>
            <sz val="9"/>
            <color indexed="81"/>
            <rFont val="Tahoma"/>
            <family val="2"/>
          </rPr>
          <t xml:space="preserve">5A03 : Contrôles permanents  (vraisemblance, ...) sur les données et traitements
</t>
        </r>
      </text>
    </comment>
    <comment ref="AC35" authorId="1" shapeId="0" xr:uid="{1DC416B7-BA91-41FB-AB5A-F813D1BCE673}">
      <text>
        <r>
          <rPr>
            <sz val="9"/>
            <color indexed="81"/>
            <rFont val="Tahoma"/>
            <family val="2"/>
          </rPr>
          <t xml:space="preserve">2B03 : Surveillance des locaux sensibles
</t>
        </r>
      </text>
    </comment>
    <comment ref="AD35" authorId="1" shapeId="0" xr:uid="{6E89E171-15AE-4AEA-AFDF-E0FB4AF82AD0}">
      <text>
        <r>
          <rPr>
            <sz val="9"/>
            <color indexed="81"/>
            <rFont val="Tahoma"/>
            <family val="2"/>
          </rPr>
          <t xml:space="preserve">2B01 : Contrôle des accès aux locaux sensibles
5A02 : Protection de l'intégrité des fichiers de données applicatives sensibles
5B02 : Chiffrement des données applicatives stockées
</t>
        </r>
      </text>
    </comment>
    <comment ref="AE35" authorId="1" shapeId="0" xr:uid="{EF03BAD1-3C01-4A40-BB14-A8C8FF242384}">
      <text>
        <r>
          <rPr>
            <sz val="9"/>
            <color indexed="81"/>
            <rFont val="Tahoma"/>
            <family val="2"/>
          </rPr>
          <t xml:space="preserve">5A03 : Contrôles permanents  (vraisemblance, ...) sur les données et traitements
</t>
        </r>
      </text>
    </comment>
    <comment ref="AC37" authorId="1" shapeId="0" xr:uid="{81AEB85A-7C28-4D66-875F-1579F0D17C4C}">
      <text>
        <r>
          <rPr>
            <sz val="9"/>
            <color indexed="81"/>
            <rFont val="Tahoma"/>
            <family val="2"/>
          </rPr>
          <t xml:space="preserve">3A08 : Surveillance des actions effectuées avec des droits privilégiés
4A11 : Journalisation et contrôle des journaux
</t>
        </r>
      </text>
    </comment>
    <comment ref="AD38" authorId="1" shapeId="0" xr:uid="{F8813699-DED2-42CD-8383-B4DA2A8824BF}">
      <text>
        <r>
          <rPr>
            <sz val="9"/>
            <color indexed="81"/>
            <rFont val="Tahoma"/>
            <family val="2"/>
          </rPr>
          <t xml:space="preserve">3A04 : Contrôle d'accès aux systèmes et applications
3A07 : Contrôle des accès privilégiés
5B02 : Chiffrement des données applicatives stockées
</t>
        </r>
      </text>
    </comment>
    <comment ref="AD39" authorId="1" shapeId="0" xr:uid="{869526CE-2F3D-4A16-9FC3-F2CF807C8554}">
      <text>
        <r>
          <rPr>
            <sz val="9"/>
            <color indexed="81"/>
            <rFont val="Tahoma"/>
            <family val="2"/>
          </rPr>
          <t xml:space="preserve">4A09 : Contrôle des opérations de maintenance 
5B02 : Chiffrement des données applicatives stockées
</t>
        </r>
      </text>
    </comment>
    <comment ref="AD40" authorId="1" shapeId="0" xr:uid="{DDA34FB8-AC74-4205-B41B-AF95FC19883B}">
      <text>
        <r>
          <rPr>
            <sz val="9"/>
            <color indexed="81"/>
            <rFont val="Tahoma"/>
            <family val="2"/>
          </rPr>
          <t xml:space="preserve">5B01 : Chiffrement des échanges de données applicatives 
</t>
        </r>
      </text>
    </comment>
    <comment ref="AD41" authorId="1" shapeId="0" xr:uid="{60428FAA-B5DD-4BF4-B608-60908AEDE558}">
      <text>
        <r>
          <rPr>
            <sz val="9"/>
            <color indexed="81"/>
            <rFont val="Tahoma"/>
            <family val="2"/>
          </rPr>
          <t xml:space="preserve">2D05 : Protection des écrans dse poste de travail contre les captations visuelles
</t>
        </r>
      </text>
    </comment>
    <comment ref="AC42" authorId="1" shapeId="0" xr:uid="{C1E4B8E7-BCCD-4543-9FD5-7B5818DFF422}">
      <text>
        <r>
          <rPr>
            <sz val="9"/>
            <color indexed="81"/>
            <rFont val="Tahoma"/>
            <family val="2"/>
          </rPr>
          <t xml:space="preserve">2B03 : Surveillance des locaux sensibles
</t>
        </r>
      </text>
    </comment>
    <comment ref="AD42" authorId="1" shapeId="0" xr:uid="{0902000B-FDDA-4D50-B064-E1EEEA66E17A}">
      <text>
        <r>
          <rPr>
            <sz val="9"/>
            <color indexed="81"/>
            <rFont val="Tahoma"/>
            <family val="2"/>
          </rPr>
          <t xml:space="preserve">5B02 : Chiffrement des données applicatives stockées
</t>
        </r>
      </text>
    </comment>
    <comment ref="AD43" authorId="1" shapeId="0" xr:uid="{89E1133C-99DE-4FFC-896A-4DC6DBB56658}">
      <text>
        <r>
          <rPr>
            <sz val="9"/>
            <color indexed="81"/>
            <rFont val="Tahoma"/>
            <family val="2"/>
          </rPr>
          <t xml:space="preserve">2B01 : Contrôle des accès aux locaux sensibles
2B02 : Détection des intrusions dans les locaux sensibles 
5B02 : Chiffrement des données applicatives stockées
</t>
        </r>
      </text>
    </comment>
    <comment ref="AD44" authorId="1" shapeId="0" xr:uid="{BC703294-0423-4186-8E6E-AC4430675A2C}">
      <text>
        <r>
          <rPr>
            <sz val="9"/>
            <color indexed="81"/>
            <rFont val="Tahoma"/>
            <family val="2"/>
          </rPr>
          <t xml:space="preserve">4E03 : Sécurité des médias réaffectés ou mis au rebut
5B02 : Chiffrement des données applicatives stockées
</t>
        </r>
      </text>
    </comment>
    <comment ref="AC46" authorId="1" shapeId="0" xr:uid="{5EBD66AF-1B59-4504-8CEF-629FF769900C}">
      <text>
        <r>
          <rPr>
            <sz val="9"/>
            <color indexed="81"/>
            <rFont val="Tahoma"/>
            <family val="2"/>
          </rPr>
          <t xml:space="preserve">3A08 : Surveillance des actions effectuées avec des droits privilégiés
4A11 : Journalisation et contrôle des journaux
</t>
        </r>
      </text>
    </comment>
    <comment ref="AF46" authorId="1" shapeId="0" xr:uid="{2C74E99A-35B6-4B06-BE16-72B2C2BB96D0}">
      <text>
        <r>
          <rPr>
            <sz val="9"/>
            <color indexed="81"/>
            <rFont val="Tahoma"/>
            <family val="2"/>
          </rPr>
          <t xml:space="preserve">6B04 : Sauvegarde des données utilisateurs stockées sur les postes de travail
</t>
        </r>
      </text>
    </comment>
    <comment ref="AD47" authorId="1" shapeId="0" xr:uid="{AF0F6720-E03B-41EA-B79F-061FF79C0768}">
      <text>
        <r>
          <rPr>
            <sz val="9"/>
            <color indexed="81"/>
            <rFont val="Tahoma"/>
            <family val="2"/>
          </rPr>
          <t xml:space="preserve">3A04 : Contrôle d'accès aux systèmes et applications
3A07 : Contrôle des accès privilégiés
</t>
        </r>
      </text>
    </comment>
    <comment ref="AF47" authorId="1" shapeId="0" xr:uid="{6EF464DC-7A04-44D4-B5F5-DBC7B8F9D748}">
      <text>
        <r>
          <rPr>
            <sz val="9"/>
            <color indexed="81"/>
            <rFont val="Tahoma"/>
            <family val="2"/>
          </rPr>
          <t xml:space="preserve">4A03 : Sauvegardes des données et configurations
</t>
        </r>
      </text>
    </comment>
    <comment ref="AC48" authorId="1" shapeId="0" xr:uid="{97FE7FBB-1B78-41F4-B59D-C3089F20A4FD}">
      <text>
        <r>
          <rPr>
            <sz val="9"/>
            <color indexed="81"/>
            <rFont val="Tahoma"/>
            <family val="2"/>
          </rPr>
          <t xml:space="preserve">2D03 : Surveillance des zones de bureaux protégées
</t>
        </r>
      </text>
    </comment>
    <comment ref="AD48" authorId="1" shapeId="0" xr:uid="{C15395D4-125E-4E64-A2D2-4789DAAB08DB}">
      <text>
        <r>
          <rPr>
            <sz val="9"/>
            <color indexed="81"/>
            <rFont val="Tahoma"/>
            <family val="2"/>
          </rPr>
          <t xml:space="preserve">6A01 : Protection du poste de travail
</t>
        </r>
      </text>
    </comment>
    <comment ref="AF48" authorId="1" shapeId="0" xr:uid="{E7860A4D-9370-46AD-A79C-434831D62463}">
      <text>
        <r>
          <rPr>
            <sz val="9"/>
            <color indexed="81"/>
            <rFont val="Tahoma"/>
            <family val="2"/>
          </rPr>
          <t xml:space="preserve">6B04 : Sauvegarde des données utilisateurs stockées sur les postes de travail
</t>
        </r>
      </text>
    </comment>
    <comment ref="AF49" authorId="1" shapeId="0" xr:uid="{DF11ECAF-E90F-4EEE-90B1-227FA8CA5802}">
      <text>
        <r>
          <rPr>
            <sz val="9"/>
            <color indexed="81"/>
            <rFont val="Tahoma"/>
            <family val="2"/>
          </rPr>
          <t xml:space="preserve">4A03 : Sauvegardes des données et configurations
6B04 : Sauvegarde des données utilisateurs stockées sur les postes de travail
</t>
        </r>
      </text>
    </comment>
    <comment ref="AD50" authorId="1" shapeId="0" xr:uid="{AC20C84F-FDCC-46EB-8194-F7D3475766D4}">
      <text>
        <r>
          <rPr>
            <sz val="9"/>
            <color indexed="81"/>
            <rFont val="Tahoma"/>
            <family val="2"/>
          </rPr>
          <t xml:space="preserve">4A02 : Protection contre les malwares
</t>
        </r>
      </text>
    </comment>
    <comment ref="AF50" authorId="1" shapeId="0" xr:uid="{7D5705A2-1F09-4997-96CA-85B229296F5E}">
      <text>
        <r>
          <rPr>
            <sz val="9"/>
            <color indexed="81"/>
            <rFont val="Tahoma"/>
            <family val="2"/>
          </rPr>
          <t xml:space="preserve">4A03 : Sauvegardes des données et configurations
6B04 : Sauvegarde des données utilisateurs stockées sur les postes de travail
</t>
        </r>
      </text>
    </comment>
    <comment ref="AC51" authorId="1" shapeId="0" xr:uid="{8987C5CD-1683-4695-92F0-E3C23D84FDD7}">
      <text>
        <r>
          <rPr>
            <sz val="9"/>
            <color indexed="81"/>
            <rFont val="Tahoma"/>
            <family val="2"/>
          </rPr>
          <t xml:space="preserve">3A08 : Surveillance des actions effectuées avec des droits privilégiés
</t>
        </r>
      </text>
    </comment>
    <comment ref="AF52" authorId="1" shapeId="0" xr:uid="{FD896660-7683-4D9F-83B1-AEBBF0584877}">
      <text>
        <r>
          <rPr>
            <sz val="9"/>
            <color indexed="81"/>
            <rFont val="Tahoma"/>
            <family val="2"/>
          </rPr>
          <t xml:space="preserve">5C01 : Gestion des moyens d'accès aux fichiers de données ou de programme
</t>
        </r>
      </text>
    </comment>
    <comment ref="AF53" authorId="1" shapeId="0" xr:uid="{B975637E-907D-4243-B269-47275B33017E}">
      <text>
        <r>
          <rPr>
            <sz val="9"/>
            <color indexed="81"/>
            <rFont val="Tahoma"/>
            <family val="2"/>
          </rPr>
          <t xml:space="preserve">4A03 : Sauvegardes des données et configurations
6B04 : Sauvegarde des données utilisateurs stockées sur les postes de travail
</t>
        </r>
      </text>
    </comment>
    <comment ref="AD54" authorId="1" shapeId="0" xr:uid="{DA43D44B-EBFF-4967-B115-DC8AD9789AAC}">
      <text>
        <r>
          <rPr>
            <sz val="9"/>
            <color indexed="81"/>
            <rFont val="Tahoma"/>
            <family val="2"/>
          </rPr>
          <t xml:space="preserve">5E04 : Contrôle de la transmission des données
</t>
        </r>
      </text>
    </comment>
    <comment ref="AD55" authorId="1" shapeId="0" xr:uid="{4EA2A572-F4CC-40AC-A2FA-9366D380F2DE}">
      <text>
        <r>
          <rPr>
            <sz val="9"/>
            <color indexed="81"/>
            <rFont val="Tahoma"/>
            <family val="2"/>
          </rPr>
          <t xml:space="preserve">4E01 : Gestion des supports amovibles
</t>
        </r>
      </text>
    </comment>
    <comment ref="AF56" authorId="1" shapeId="0" xr:uid="{5563CA03-0A18-4C33-ABDC-3A60E3EE7D73}">
      <text>
        <r>
          <rPr>
            <sz val="9"/>
            <color indexed="81"/>
            <rFont val="Tahoma"/>
            <family val="2"/>
          </rPr>
          <t xml:space="preserve">6B04 : Sauvegarde des données utilisateurs stockées sur les postes de travail
</t>
        </r>
      </text>
    </comment>
    <comment ref="AC57" authorId="1" shapeId="0" xr:uid="{E8D7EDA0-9FD1-4F76-95D5-2EE9CF926245}">
      <text>
        <r>
          <rPr>
            <sz val="9"/>
            <color indexed="81"/>
            <rFont val="Tahoma"/>
            <family val="2"/>
          </rPr>
          <t xml:space="preserve">2D03 : Surveillance des zones de bureaux protégées
</t>
        </r>
      </text>
    </comment>
    <comment ref="AD57" authorId="1" shapeId="0" xr:uid="{4AB8AFA0-1BFE-47A4-BB9E-8FFF0298783D}">
      <text>
        <r>
          <rPr>
            <sz val="9"/>
            <color indexed="81"/>
            <rFont val="Tahoma"/>
            <family val="2"/>
          </rPr>
          <t xml:space="preserve">2E01 : Conservation et protection des documents et supports amovibles importants
2D01 : Contrôle d'accès physique aux zones de bureaux sensibles
2D02 : Détection des intrusions dans les zones de bureaux protégées
</t>
        </r>
      </text>
    </comment>
    <comment ref="AF57" authorId="1" shapeId="0" xr:uid="{E5EA8F24-5647-496E-8290-1022BCA25FA0}">
      <text>
        <r>
          <rPr>
            <sz val="9"/>
            <color indexed="81"/>
            <rFont val="Tahoma"/>
            <family val="2"/>
          </rPr>
          <t xml:space="preserve">6B04 : Sauvegarde des données utilisateurs stockées sur les postes de travail
</t>
        </r>
      </text>
    </comment>
    <comment ref="AC58" authorId="1" shapeId="0" xr:uid="{44483E0A-89C9-40C9-AD7A-66D2173723DF}">
      <text>
        <r>
          <rPr>
            <sz val="9"/>
            <color indexed="81"/>
            <rFont val="Tahoma"/>
            <family val="2"/>
          </rPr>
          <t xml:space="preserve">2D03 : Surveillance des zones de bureaux protégées
</t>
        </r>
      </text>
    </comment>
    <comment ref="AD58" authorId="1" shapeId="0" xr:uid="{158726D2-6F21-4B9A-9EE8-6A4BD3C0D88D}">
      <text>
        <r>
          <rPr>
            <sz val="9"/>
            <color indexed="81"/>
            <rFont val="Tahoma"/>
            <family val="2"/>
          </rPr>
          <t xml:space="preserve">2E01 : Conservation et protection des documents et supports amovibles importants
</t>
        </r>
      </text>
    </comment>
    <comment ref="AF58" authorId="1" shapeId="0" xr:uid="{85CB9DD4-276A-4F2E-86A9-6ECB71BBF416}">
      <text>
        <r>
          <rPr>
            <sz val="9"/>
            <color indexed="81"/>
            <rFont val="Tahoma"/>
            <family val="2"/>
          </rPr>
          <t xml:space="preserve">6B04 : Sauvegarde des données utilisateurs stockées sur les postes de travail
</t>
        </r>
      </text>
    </comment>
    <comment ref="AD59" authorId="1" shapeId="0" xr:uid="{F46938C2-20F3-4A1F-9280-8764489C6769}">
      <text>
        <r>
          <rPr>
            <sz val="9"/>
            <color indexed="81"/>
            <rFont val="Tahoma"/>
            <family val="2"/>
          </rPr>
          <t xml:space="preserve">2E01 : Conservation et protection des documents et supports amovibles importants
</t>
        </r>
      </text>
    </comment>
    <comment ref="AE59" authorId="1" shapeId="0" xr:uid="{90E0A8C1-3DB0-4B22-8C89-3A8F4BC766E6}">
      <text>
        <r>
          <rPr>
            <sz val="9"/>
            <color indexed="81"/>
            <rFont val="Tahoma"/>
            <family val="2"/>
          </rPr>
          <t xml:space="preserve">2A03 : Protection contre les risques environnementaux divers
</t>
        </r>
      </text>
    </comment>
    <comment ref="AF59" authorId="1" shapeId="0" xr:uid="{FE6991C4-3A50-4D10-8FD6-3E9D505EFC88}">
      <text>
        <r>
          <rPr>
            <sz val="9"/>
            <color indexed="81"/>
            <rFont val="Tahoma"/>
            <family val="2"/>
          </rPr>
          <t xml:space="preserve">6B04 : Sauvegarde des données utilisateurs stockées sur les postes de travail
</t>
        </r>
      </text>
    </comment>
    <comment ref="AD60" authorId="1" shapeId="0" xr:uid="{1CE34EAA-04AC-49DA-9DE0-81CD9F53D093}">
      <text>
        <r>
          <rPr>
            <sz val="9"/>
            <color indexed="81"/>
            <rFont val="Tahoma"/>
            <family val="2"/>
          </rPr>
          <t xml:space="preserve">2E01 : Conservation et protection des documents et supports amovibles importants
</t>
        </r>
      </text>
    </comment>
    <comment ref="AF60" authorId="1" shapeId="0" xr:uid="{C6D8CA08-DE2E-44DC-9121-F94F5AD81A55}">
      <text>
        <r>
          <rPr>
            <sz val="9"/>
            <color indexed="81"/>
            <rFont val="Tahoma"/>
            <family val="2"/>
          </rPr>
          <t xml:space="preserve">6B04 : Sauvegarde des données utilisateurs stockées sur les postes de travail
</t>
        </r>
      </text>
    </comment>
    <comment ref="AD61" authorId="1" shapeId="0" xr:uid="{C2FAA3EC-2553-4D04-8338-910846211D8D}">
      <text>
        <r>
          <rPr>
            <sz val="9"/>
            <color indexed="81"/>
            <rFont val="Tahoma"/>
            <family val="2"/>
          </rPr>
          <t xml:space="preserve">5C01 : Gestion des moyens d'accès aux fichiers de données ou de programme
</t>
        </r>
      </text>
    </comment>
    <comment ref="AD62" authorId="1" shapeId="0" xr:uid="{1F6BBFDF-A7FD-4125-B60C-1F5D6C291D8A}">
      <text>
        <r>
          <rPr>
            <sz val="9"/>
            <color indexed="81"/>
            <rFont val="Tahoma"/>
            <family val="2"/>
          </rPr>
          <t xml:space="preserve">5C01 : Gestion des moyens d'accès aux fichiers de données ou de programme
</t>
        </r>
      </text>
    </comment>
    <comment ref="AD64" authorId="1" shapeId="0" xr:uid="{2BBE211C-3179-4D0F-A196-614BA0F6E462}">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5" authorId="1" shapeId="0" xr:uid="{80FCA74D-2CE5-441E-A889-87F192CBA546}">
      <text>
        <r>
          <rPr>
            <sz val="9"/>
            <color indexed="81"/>
            <rFont val="Tahoma"/>
            <family val="2"/>
          </rPr>
          <t xml:space="preserve">3A08 : Surveillance des actions effectuées avec des droits privilégiés
4A11 : Journalisation et contrôle des journaux
</t>
        </r>
      </text>
    </comment>
    <comment ref="AD65" authorId="1" shapeId="0" xr:uid="{532D2ED6-1F78-443D-ABEE-7111695C6D43}">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6" authorId="1" shapeId="0" xr:uid="{866ABA90-9B79-45A7-9B6E-947EFA4B6B43}">
      <text>
        <r>
          <rPr>
            <sz val="9"/>
            <color indexed="81"/>
            <rFont val="Tahoma"/>
            <family val="2"/>
          </rPr>
          <t xml:space="preserve">2D03 : Surveillance des zones de bureaux protégées
</t>
        </r>
      </text>
    </comment>
    <comment ref="AD66" authorId="1" shapeId="0" xr:uid="{20458771-C6A2-42DF-9044-B76218291A95}">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D67" authorId="1" shapeId="0" xr:uid="{D3215888-772C-4678-9795-0BF431C07178}">
      <text>
        <r>
          <rPr>
            <sz val="9"/>
            <color indexed="81"/>
            <rFont val="Tahoma"/>
            <family val="2"/>
          </rPr>
          <t xml:space="preserve">6B02 : Protection de l'intégrité des fichiers contenus sur le poste de travail ou sur un serveur de données (disque logique pour le poste de travail)
</t>
        </r>
      </text>
    </comment>
    <comment ref="AD68" authorId="1" shapeId="0" xr:uid="{3CB994AC-DC86-4453-95B4-163DC809F452}">
      <text>
        <r>
          <rPr>
            <sz val="9"/>
            <color indexed="81"/>
            <rFont val="Tahoma"/>
            <family val="2"/>
          </rPr>
          <t xml:space="preserve">5A01 : Protection de l'intégrité des données applicatives échangées 
5B01 : Chiffrement des échanges de données applicatives 
</t>
        </r>
      </text>
    </comment>
    <comment ref="AF68" authorId="1" shapeId="0" xr:uid="{4A95F73F-A2A9-494D-B2F1-E163EF950288}">
      <text>
        <r>
          <rPr>
            <sz val="9"/>
            <color indexed="81"/>
            <rFont val="Tahoma"/>
            <family val="2"/>
          </rPr>
          <t xml:space="preserve">5E04 : Contrôle de la transmission des données
</t>
        </r>
      </text>
    </comment>
    <comment ref="AC69" authorId="1" shapeId="0" xr:uid="{586D6BA6-5572-46A7-86F8-2C98FCF81170}">
      <text>
        <r>
          <rPr>
            <sz val="9"/>
            <color indexed="81"/>
            <rFont val="Tahoma"/>
            <family val="2"/>
          </rPr>
          <t xml:space="preserve">3A08 : Surveillance des actions effectuées avec des droits privilégiés
</t>
        </r>
      </text>
    </comment>
    <comment ref="AD69" authorId="1" shapeId="0" xr:uid="{86FDA1D6-CF3F-4E25-8749-3ABA1BB7DFD4}">
      <text>
        <r>
          <rPr>
            <sz val="9"/>
            <color indexed="81"/>
            <rFont val="Tahoma"/>
            <family val="2"/>
          </rPr>
          <t xml:space="preserve">5A01 : Protection de l'intégrité des données applicatives échangées 
5B01 : Chiffrement des échanges de données applicatives 
</t>
        </r>
      </text>
    </comment>
    <comment ref="AF69" authorId="1" shapeId="0" xr:uid="{7D85AD13-D59E-4951-B831-7BAED9F6588D}">
      <text>
        <r>
          <rPr>
            <sz val="9"/>
            <color indexed="81"/>
            <rFont val="Tahoma"/>
            <family val="2"/>
          </rPr>
          <t xml:space="preserve">5E04 : Contrôle de la transmission des données
</t>
        </r>
      </text>
    </comment>
    <comment ref="AD70" authorId="1" shapeId="0" xr:uid="{B6D8BEA0-3B51-4F70-869D-03E0F0C6AF87}">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72" authorId="1" shapeId="0" xr:uid="{1EA2316C-F9DA-42E9-8F62-92D077644402}">
      <text>
        <r>
          <rPr>
            <sz val="9"/>
            <color indexed="81"/>
            <rFont val="Tahoma"/>
            <family val="2"/>
          </rPr>
          <t xml:space="preserve">3A08 : Surveillance des actions effectuées avec des droits privilégiés
4A11 : Journalisation et contrôle des journaux
</t>
        </r>
      </text>
    </comment>
    <comment ref="AD72" authorId="1" shapeId="0" xr:uid="{56B6401B-2A5F-407C-A7E2-28E012F69BFB}">
      <text>
        <r>
          <rPr>
            <sz val="9"/>
            <color indexed="81"/>
            <rFont val="Tahoma"/>
            <family val="2"/>
          </rPr>
          <t xml:space="preserve">6B01 : Protection de la confidentialité des données contenues sur le poste de travail ou sur un serveur de données (disque logique pour le poste de travail)
</t>
        </r>
      </text>
    </comment>
    <comment ref="AD73" authorId="1" shapeId="0" xr:uid="{30E92C60-B62A-4872-A5EF-2C6D81F291B5}">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t>
        </r>
      </text>
    </comment>
    <comment ref="AC74" authorId="1" shapeId="0" xr:uid="{C4FF9E7D-AFF2-414D-A55C-3C064498F4C9}">
      <text>
        <r>
          <rPr>
            <sz val="9"/>
            <color indexed="81"/>
            <rFont val="Tahoma"/>
            <family val="2"/>
          </rPr>
          <t xml:space="preserve">2D03 : Surveillance des zones de bureaux protégées
</t>
        </r>
      </text>
    </comment>
    <comment ref="AD74" authorId="1" shapeId="0" xr:uid="{0940E6CF-6453-4CB0-A2D2-96D98CC6788C}">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t>
        </r>
      </text>
    </comment>
    <comment ref="AD75" authorId="1" shapeId="0" xr:uid="{29E07ED2-7C16-4C08-830B-759B73142151}">
      <text>
        <r>
          <rPr>
            <sz val="9"/>
            <color indexed="81"/>
            <rFont val="Tahoma"/>
            <family val="2"/>
          </rPr>
          <t xml:space="preserve">4A09 : Contrôle des opérations de maintenance 
6B01 : Protection de la confidentialité des données contenues sur le poste de travail ou sur un serveur de données (disque logique pour le poste de travail)
</t>
        </r>
      </text>
    </comment>
    <comment ref="AD76" authorId="1" shapeId="0" xr:uid="{016D482F-3670-4271-9303-3181B61F2D7D}">
      <text>
        <r>
          <rPr>
            <sz val="9"/>
            <color indexed="81"/>
            <rFont val="Tahoma"/>
            <family val="2"/>
          </rPr>
          <t xml:space="preserve">6C02 : Dispositifs de sécurité relatifs aux appareils mobiles personnels
</t>
        </r>
      </text>
    </comment>
    <comment ref="AD77" authorId="1" shapeId="0" xr:uid="{19BC9FAF-B18E-48FF-AE39-C06CBD5D658D}">
      <text>
        <r>
          <rPr>
            <sz val="9"/>
            <color indexed="81"/>
            <rFont val="Tahoma"/>
            <family val="2"/>
          </rPr>
          <t xml:space="preserve">6B01 : Protection de la confidentialité des données contenues sur le poste de travail ou sur un serveur de données (disque logique pour le poste de travail)
</t>
        </r>
      </text>
    </comment>
    <comment ref="AD78" authorId="1" shapeId="0" xr:uid="{A745AC88-2F0D-4EEF-9CB9-C59009742118}">
      <text>
        <r>
          <rPr>
            <sz val="9"/>
            <color indexed="81"/>
            <rFont val="Tahoma"/>
            <family val="2"/>
          </rPr>
          <t xml:space="preserve">1C06 : Protection contre l'hameçonnage (phishing) et abus de confiance
</t>
        </r>
      </text>
    </comment>
    <comment ref="AD79" authorId="1" shapeId="0" xr:uid="{389B8C2F-4CD2-4033-BEC8-C2A54D296853}">
      <text>
        <r>
          <rPr>
            <sz val="9"/>
            <color indexed="81"/>
            <rFont val="Tahoma"/>
            <family val="2"/>
          </rPr>
          <t xml:space="preserve">4A02 : Protection contre les malwares
6B01 : Protection de la confidentialité des données contenues sur le poste de travail ou sur un serveur de données (disque logique pour le poste de travail)
</t>
        </r>
      </text>
    </comment>
    <comment ref="AD80" authorId="1" shapeId="0" xr:uid="{7F82D0D2-9925-457B-BFE7-E72DB6166887}">
      <text>
        <r>
          <rPr>
            <sz val="9"/>
            <color indexed="81"/>
            <rFont val="Tahoma"/>
            <family val="2"/>
          </rPr>
          <t xml:space="preserve">5B01 : Chiffrement des échanges de données applicatives 
</t>
        </r>
      </text>
    </comment>
    <comment ref="AD81" authorId="1" shapeId="0" xr:uid="{CF76545E-684F-4AA8-963D-626334734EC6}">
      <text>
        <r>
          <rPr>
            <sz val="9"/>
            <color indexed="81"/>
            <rFont val="Tahoma"/>
            <family val="2"/>
          </rPr>
          <t xml:space="preserve">2D05 : Protection des écrans dse poste de travail contre les captations visuelles
</t>
        </r>
      </text>
    </comment>
    <comment ref="AD82" authorId="1" shapeId="0" xr:uid="{127840FB-C51B-4F90-BDE7-F3B1C86A6500}">
      <text>
        <r>
          <rPr>
            <sz val="9"/>
            <color indexed="81"/>
            <rFont val="Tahoma"/>
            <family val="2"/>
          </rPr>
          <t xml:space="preserve">1C06 : Protection contre l'hameçonnage (phishing) et abus de confiance
</t>
        </r>
      </text>
    </comment>
    <comment ref="AD83" authorId="1" shapeId="0" xr:uid="{7E6EA23F-FA07-42BF-911D-A6BCA8506B67}">
      <text>
        <r>
          <rPr>
            <sz val="9"/>
            <color indexed="81"/>
            <rFont val="Tahoma"/>
            <family val="2"/>
          </rPr>
          <t xml:space="preserve">4A02 : Protection contre les malwares
</t>
        </r>
      </text>
    </comment>
    <comment ref="AC84" authorId="1" shapeId="0" xr:uid="{632EFF88-7E64-466C-9A0A-076884EF95C7}">
      <text>
        <r>
          <rPr>
            <sz val="9"/>
            <color indexed="81"/>
            <rFont val="Tahoma"/>
            <family val="2"/>
          </rPr>
          <t xml:space="preserve">2D03 : Surveillance des zones de bureaux protégées
</t>
        </r>
      </text>
    </comment>
    <comment ref="AD84" authorId="1" shapeId="0" xr:uid="{860889FC-BB17-48C2-95F5-37F2A1E5F658}">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85" authorId="1" shapeId="0" xr:uid="{4460E095-DCD3-4DC0-BEF0-9DF1D64B84AE}">
      <text>
        <r>
          <rPr>
            <sz val="9"/>
            <color indexed="81"/>
            <rFont val="Tahoma"/>
            <family val="2"/>
          </rPr>
          <t xml:space="preserve">2D03 : Surveillance des zones de bureaux protégées
</t>
        </r>
      </text>
    </comment>
    <comment ref="AD85" authorId="1" shapeId="0" xr:uid="{4425E0C4-1FCA-4572-AD1B-A51D6B24D6A0}">
      <text>
        <r>
          <rPr>
            <sz val="9"/>
            <color indexed="81"/>
            <rFont val="Tahoma"/>
            <family val="2"/>
          </rPr>
          <t xml:space="preserve">6B01 : Protection de la confidentialité des données contenues sur le poste de travail ou sur un serveur de données (disque logique pour le poste de travail)
</t>
        </r>
      </text>
    </comment>
    <comment ref="AC86" authorId="1" shapeId="0" xr:uid="{DE8E2800-9BDB-4DA9-AB21-875BC563C7F8}">
      <text>
        <r>
          <rPr>
            <sz val="9"/>
            <color indexed="81"/>
            <rFont val="Tahoma"/>
            <family val="2"/>
          </rPr>
          <t xml:space="preserve">2D03 : Surveillance des zones de bureaux protégées
</t>
        </r>
      </text>
    </comment>
    <comment ref="AD86" authorId="1" shapeId="0" xr:uid="{76814822-95D1-45E4-955C-A3DCDB49374E}">
      <text>
        <r>
          <rPr>
            <sz val="9"/>
            <color indexed="81"/>
            <rFont val="Tahoma"/>
            <family val="2"/>
          </rPr>
          <t xml:space="preserve">2D01 : Contrôle d'accès physique aux zones de bureaux sensibles
2D02 : Détection des intrusions dans les zones de bureaux protégées
6B01 : Protection de la confidentialité des données contenues sur le poste de travail ou sur un serveur de données (disque logique pour le poste de travail)
</t>
        </r>
      </text>
    </comment>
    <comment ref="AD87" authorId="1" shapeId="0" xr:uid="{744C01F2-8914-4067-9782-4BD5277284E5}">
      <text>
        <r>
          <rPr>
            <sz val="9"/>
            <color indexed="81"/>
            <rFont val="Tahoma"/>
            <family val="2"/>
          </rPr>
          <t xml:space="preserve">4E03 : Sécurité des médias réaffectés ou mis au rebut
6B01 : Protection de la confidentialité des données contenues sur le poste de travail ou sur un serveur de données (disque logique pour le poste de travail)
</t>
        </r>
      </text>
    </comment>
    <comment ref="AC89" authorId="1" shapeId="0" xr:uid="{74E41068-67F7-4301-80D2-3A00D67B34BE}">
      <text>
        <r>
          <rPr>
            <sz val="9"/>
            <color indexed="81"/>
            <rFont val="Tahoma"/>
            <family val="2"/>
          </rPr>
          <t xml:space="preserve">2D03 : Surveillance des zones de bureaux protégées
</t>
        </r>
      </text>
    </comment>
    <comment ref="AD89" authorId="1" shapeId="0" xr:uid="{B98CBFB4-17DA-4A3D-A477-E4A9A7112821}">
      <text>
        <r>
          <rPr>
            <sz val="9"/>
            <color indexed="81"/>
            <rFont val="Tahoma"/>
            <family val="2"/>
          </rPr>
          <t xml:space="preserve">2E01 : Conservation et protection des documents et supports amovibles importants
</t>
        </r>
      </text>
    </comment>
    <comment ref="AC90" authorId="1" shapeId="0" xr:uid="{3F1CA3B7-4056-4D78-8CA4-5591D03D9AA4}">
      <text>
        <r>
          <rPr>
            <sz val="9"/>
            <color indexed="81"/>
            <rFont val="Tahoma"/>
            <family val="2"/>
          </rPr>
          <t xml:space="preserve">2D03 : Surveillance des zones de bureaux protégées
</t>
        </r>
      </text>
    </comment>
    <comment ref="AD90" authorId="1" shapeId="0" xr:uid="{09574297-3FC3-4DA8-BB3A-AC0CAC17DC17}">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D91" authorId="1" shapeId="0" xr:uid="{E28CB5C7-2585-4FBA-B51F-E24E037B5714}">
      <text>
        <r>
          <rPr>
            <sz val="9"/>
            <color indexed="81"/>
            <rFont val="Tahoma"/>
            <family val="2"/>
          </rPr>
          <t xml:space="preserve">6B05 : Protection des impressions sur imprimantes partagées
</t>
        </r>
      </text>
    </comment>
    <comment ref="AD92" authorId="1" shapeId="0" xr:uid="{4D4FF626-3EC6-480E-8FC3-FDE1E16FB6CB}">
      <text>
        <r>
          <rPr>
            <sz val="9"/>
            <color indexed="81"/>
            <rFont val="Tahoma"/>
            <family val="2"/>
          </rPr>
          <t xml:space="preserve">2E01 : Conservation et protection des documents et supports amovibles importants
</t>
        </r>
      </text>
    </comment>
    <comment ref="AE92" authorId="1" shapeId="0" xr:uid="{1356F502-E087-4ACD-A3FD-186C9AF29D8D}">
      <text>
        <r>
          <rPr>
            <sz val="9"/>
            <color indexed="81"/>
            <rFont val="Tahoma"/>
            <family val="2"/>
          </rPr>
          <t xml:space="preserve">2A03 : Protection contre les risques environnementaux divers
</t>
        </r>
      </text>
    </comment>
    <comment ref="AD93" authorId="1" shapeId="0" xr:uid="{51B22733-A304-4727-8280-28B3F6C02FE5}">
      <text>
        <r>
          <rPr>
            <sz val="9"/>
            <color indexed="81"/>
            <rFont val="Tahoma"/>
            <family val="2"/>
          </rPr>
          <t xml:space="preserve">2E01 : Conservation et protection des documents et supports amovibles importants
</t>
        </r>
      </text>
    </comment>
    <comment ref="AC95" authorId="1" shapeId="0" xr:uid="{63E373B8-25B7-4258-B4DB-14CF5CE96FA2}">
      <text>
        <r>
          <rPr>
            <sz val="9"/>
            <color indexed="81"/>
            <rFont val="Tahoma"/>
            <family val="2"/>
          </rPr>
          <t xml:space="preserve">2D03 : Surveillance des zones de bureaux protégées
</t>
        </r>
      </text>
    </comment>
    <comment ref="AD95" authorId="1" shapeId="0" xr:uid="{CF6BA2DE-2336-4D97-B0D4-DE8017A997C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7" authorId="1" shapeId="0" xr:uid="{94ADD439-440A-4F0A-AB06-7F4E9B919864}">
      <text>
        <r>
          <rPr>
            <sz val="9"/>
            <color indexed="81"/>
            <rFont val="Tahoma"/>
            <family val="2"/>
          </rPr>
          <t xml:space="preserve">2D03 : Surveillance des zones de bureaux protégées
</t>
        </r>
      </text>
    </comment>
    <comment ref="AD97" authorId="1" shapeId="0" xr:uid="{973DAEB9-A100-42A4-8A4D-A343A94FC3D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8" authorId="1" shapeId="0" xr:uid="{92994179-FB57-4525-A0BF-8990ADC13AE9}">
      <text>
        <r>
          <rPr>
            <sz val="9"/>
            <color indexed="81"/>
            <rFont val="Tahoma"/>
            <family val="2"/>
          </rPr>
          <t xml:space="preserve">2D03 : Surveillance des zones de bureaux protégées
</t>
        </r>
      </text>
    </comment>
    <comment ref="AD98" authorId="1" shapeId="0" xr:uid="{2F3EBBC4-177E-433C-AEFE-8D33E6289A44}">
      <text>
        <r>
          <rPr>
            <sz val="9"/>
            <color indexed="81"/>
            <rFont val="Tahoma"/>
            <family val="2"/>
          </rPr>
          <t xml:space="preserve">2E01 : Conservation et protection des documents et supports amovibles importants
</t>
        </r>
      </text>
    </comment>
    <comment ref="AD99" authorId="1" shapeId="0" xr:uid="{5D661E10-A116-4402-B004-152F29D483AD}">
      <text>
        <r>
          <rPr>
            <sz val="9"/>
            <color indexed="81"/>
            <rFont val="Tahoma"/>
            <family val="2"/>
          </rPr>
          <t xml:space="preserve">6B05 : Protection des impressions sur imprimantes partagées
</t>
        </r>
      </text>
    </comment>
    <comment ref="AD100" authorId="1" shapeId="0" xr:uid="{4F04F5CF-DB0E-461D-9A44-AB8923A8142E}">
      <text>
        <r>
          <rPr>
            <sz val="9"/>
            <color indexed="81"/>
            <rFont val="Tahoma"/>
            <family val="2"/>
          </rPr>
          <t xml:space="preserve">2E02 : Ramassage des corbeilles à papier et destruction des documents
</t>
        </r>
      </text>
    </comment>
    <comment ref="AD101" authorId="1" shapeId="0" xr:uid="{644CE78E-E6E8-4F77-99EB-5F276596063B}">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F103" authorId="1" shapeId="0" xr:uid="{C70732A1-E431-490E-A194-50D3FCA230AB}">
      <text>
        <r>
          <rPr>
            <sz val="9"/>
            <color indexed="81"/>
            <rFont val="Tahoma"/>
            <family val="2"/>
          </rPr>
          <t xml:space="preserve">6B03 : Sécurité de la messagerie électronique (courriels) et des échanges électroniques d'information
</t>
        </r>
      </text>
    </comment>
    <comment ref="AF104" authorId="1" shapeId="0" xr:uid="{E685F0D0-4E39-4B70-9260-D8B34F2A1178}">
      <text>
        <r>
          <rPr>
            <sz val="9"/>
            <color indexed="81"/>
            <rFont val="Tahoma"/>
            <family val="2"/>
          </rPr>
          <t xml:space="preserve">6A03 : Plan de continuité de la messagerie électronique
</t>
        </r>
      </text>
    </comment>
    <comment ref="AD105" authorId="1" shapeId="0" xr:uid="{535AFE0D-A376-47A3-B0F8-DD7E07A7EA25}">
      <text>
        <r>
          <rPr>
            <sz val="9"/>
            <color indexed="81"/>
            <rFont val="Tahoma"/>
            <family val="2"/>
          </rPr>
          <t xml:space="preserve">2B01 : Contrôle des accès aux locaux sensibles
2B02 : Détection des intrusions dans les locaux sensibles 
</t>
        </r>
      </text>
    </comment>
    <comment ref="AF105" authorId="1" shapeId="0" xr:uid="{618A650F-49CE-4591-A210-4CA7A7AA3BC1}">
      <text>
        <r>
          <rPr>
            <sz val="9"/>
            <color indexed="81"/>
            <rFont val="Tahoma"/>
            <family val="2"/>
          </rPr>
          <t xml:space="preserve">2E05 : Sécurité du courrier postal
</t>
        </r>
      </text>
    </comment>
    <comment ref="AC106" authorId="1" shapeId="0" xr:uid="{B586D965-EFFE-4321-A939-8C69173081A6}">
      <text>
        <r>
          <rPr>
            <sz val="9"/>
            <color indexed="81"/>
            <rFont val="Tahoma"/>
            <family val="2"/>
          </rPr>
          <t xml:space="preserve">2B03 : Surveillance des locaux sensibles
</t>
        </r>
      </text>
    </comment>
    <comment ref="AD106" authorId="1" shapeId="0" xr:uid="{1E17FD3B-809F-4E64-B445-9E5CBF3F95D8}">
      <text>
        <r>
          <rPr>
            <sz val="9"/>
            <color indexed="81"/>
            <rFont val="Tahoma"/>
            <family val="2"/>
          </rPr>
          <t xml:space="preserve">2E05 : Sécurité du courrier postal
</t>
        </r>
      </text>
    </comment>
    <comment ref="AF106" authorId="1" shapeId="0" xr:uid="{D9DAAB37-288D-4C53-A52F-DDF9B91C353A}">
      <text>
        <r>
          <rPr>
            <sz val="9"/>
            <color indexed="81"/>
            <rFont val="Tahoma"/>
            <family val="2"/>
          </rPr>
          <t xml:space="preserve">2E05 : Sécurité du courrier postal
</t>
        </r>
      </text>
    </comment>
    <comment ref="AD107" authorId="1" shapeId="0" xr:uid="{1049AEA1-E086-46B8-A812-4665D8B0B1F1}">
      <text>
        <r>
          <rPr>
            <sz val="9"/>
            <color indexed="81"/>
            <rFont val="Tahoma"/>
            <family val="2"/>
          </rPr>
          <t xml:space="preserve">2E05 : Sécurité du courrier postal
</t>
        </r>
      </text>
    </comment>
    <comment ref="AD109" authorId="1" shapeId="0" xr:uid="{F4758167-FCE8-4A7E-8504-E7CAF8AFDA5E}">
      <text>
        <r>
          <rPr>
            <sz val="9"/>
            <color indexed="81"/>
            <rFont val="Tahoma"/>
            <family val="2"/>
          </rPr>
          <t xml:space="preserve">6B03 : Sécurité de la messagerie électronique (courriels) et des échanges électroniques d'information
</t>
        </r>
      </text>
    </comment>
    <comment ref="AD110" authorId="1" shapeId="0" xr:uid="{997FDD20-6CB1-4655-913C-1576F2D8B893}">
      <text>
        <r>
          <rPr>
            <sz val="9"/>
            <color indexed="81"/>
            <rFont val="Tahoma"/>
            <family val="2"/>
          </rPr>
          <t xml:space="preserve">6B03 : Sécurité de la messagerie électronique (courriels) et des échanges électroniques d'information
</t>
        </r>
      </text>
    </comment>
    <comment ref="AD111" authorId="1" shapeId="0" xr:uid="{924AF83C-3A80-4EB5-809C-C79B5BEA198D}">
      <text>
        <r>
          <rPr>
            <sz val="9"/>
            <color indexed="81"/>
            <rFont val="Tahoma"/>
            <family val="2"/>
          </rPr>
          <t xml:space="preserve">1C06 : Protection contre l'hameçonnage (phishing) et abus de confiance
</t>
        </r>
      </text>
    </comment>
    <comment ref="AD113" authorId="1" shapeId="0" xr:uid="{35C4A13A-A4C5-4412-A0B4-C3D7C7CEECC0}">
      <text>
        <r>
          <rPr>
            <sz val="9"/>
            <color indexed="81"/>
            <rFont val="Tahoma"/>
            <family val="2"/>
          </rPr>
          <t xml:space="preserve">6B03 : Sécurité de la messagerie électronique (courriels) et des échanges électroniques d'information
</t>
        </r>
      </text>
    </comment>
    <comment ref="AD114" authorId="1" shapeId="0" xr:uid="{418C5F4D-8610-462F-B3C6-858F5099E484}">
      <text>
        <r>
          <rPr>
            <sz val="9"/>
            <color indexed="81"/>
            <rFont val="Tahoma"/>
            <family val="2"/>
          </rPr>
          <t xml:space="preserve">6B03 : Sécurité de la messagerie électronique (courriels) et des échanges électroniques d'information
</t>
        </r>
      </text>
    </comment>
    <comment ref="AD115" authorId="1" shapeId="0" xr:uid="{7F284483-6AF3-446F-A1B9-CD09260E05D7}">
      <text>
        <r>
          <rPr>
            <sz val="9"/>
            <color indexed="81"/>
            <rFont val="Tahoma"/>
            <family val="2"/>
          </rPr>
          <t xml:space="preserve">2E05 : Sécurité du courrier postal
</t>
        </r>
      </text>
    </comment>
    <comment ref="AC117" authorId="1" shapeId="0" xr:uid="{D5801290-616E-44B3-A024-55250803C004}">
      <text>
        <r>
          <rPr>
            <sz val="9"/>
            <color indexed="81"/>
            <rFont val="Tahoma"/>
            <family val="2"/>
          </rPr>
          <t xml:space="preserve">3A08 : Surveillance des actions effectuées avec des droits privilégiés
4A11 : Journalisation et contrôle des journaux
</t>
        </r>
      </text>
    </comment>
    <comment ref="AD117" authorId="1" shapeId="0" xr:uid="{0345382F-CBB0-4566-A40E-A96B3F7F9EB6}">
      <text>
        <r>
          <rPr>
            <sz val="9"/>
            <color indexed="81"/>
            <rFont val="Tahoma"/>
            <family val="2"/>
          </rPr>
          <t xml:space="preserve">4F02 : Gestion des accès aux archives
</t>
        </r>
      </text>
    </comment>
    <comment ref="AD118" authorId="1" shapeId="0" xr:uid="{A391375D-1E23-4D34-8AA2-913C40844E45}">
      <text>
        <r>
          <rPr>
            <sz val="9"/>
            <color indexed="81"/>
            <rFont val="Tahoma"/>
            <family val="2"/>
          </rPr>
          <t xml:space="preserve">4F01 : Organisation de la gestion des archives informatiques
</t>
        </r>
      </text>
    </comment>
    <comment ref="AD119" authorId="1" shapeId="0" xr:uid="{F858F02A-FAA5-42C9-8FB7-0A7708F0849D}">
      <text>
        <r>
          <rPr>
            <sz val="9"/>
            <color indexed="81"/>
            <rFont val="Tahoma"/>
            <family val="2"/>
          </rPr>
          <t xml:space="preserve">4F01 : Organisation de la gestion des archives informatiques
</t>
        </r>
      </text>
    </comment>
    <comment ref="AD120" authorId="1" shapeId="0" xr:uid="{96BAF854-6AD5-4E21-8B54-1E6409AEABD3}">
      <text>
        <r>
          <rPr>
            <sz val="9"/>
            <color indexed="81"/>
            <rFont val="Tahoma"/>
            <family val="2"/>
          </rPr>
          <t xml:space="preserve">4F03 : Sécurité des archives
</t>
        </r>
      </text>
    </comment>
    <comment ref="AD121" authorId="1" shapeId="0" xr:uid="{C1D9975B-11B8-4FC6-A88D-B53F7E191252}">
      <text>
        <r>
          <rPr>
            <sz val="9"/>
            <color indexed="81"/>
            <rFont val="Tahoma"/>
            <family val="2"/>
          </rPr>
          <t xml:space="preserve">4F01 : Organisation de la gestion des archives informatiques
</t>
        </r>
      </text>
    </comment>
    <comment ref="AD122" authorId="1" shapeId="0" xr:uid="{6650405E-EBA5-4252-A482-C1CD48CED034}">
      <text>
        <r>
          <rPr>
            <sz val="9"/>
            <color indexed="81"/>
            <rFont val="Tahoma"/>
            <family val="2"/>
          </rPr>
          <t xml:space="preserve">4F03 : Sécurité des archives
</t>
        </r>
      </text>
    </comment>
    <comment ref="AE122" authorId="1" shapeId="0" xr:uid="{870E8AEE-443A-45A7-8BA9-B7E0611F426F}">
      <text>
        <r>
          <rPr>
            <sz val="9"/>
            <color indexed="81"/>
            <rFont val="Tahoma"/>
            <family val="2"/>
          </rPr>
          <t xml:space="preserve">2A03 : Protection contre les risques environnementaux divers
</t>
        </r>
      </text>
    </comment>
    <comment ref="AD123" authorId="1" shapeId="0" xr:uid="{A5B950A9-0F8C-41F4-B7A5-EC802E2840F5}">
      <text>
        <r>
          <rPr>
            <sz val="9"/>
            <color indexed="81"/>
            <rFont val="Tahoma"/>
            <family val="2"/>
          </rPr>
          <t xml:space="preserve">4F03 : Sécurité des archives
</t>
        </r>
      </text>
    </comment>
    <comment ref="AD124" authorId="1" shapeId="0" xr:uid="{7AB6F5D0-F69D-4617-9960-EF23436EC53F}">
      <text>
        <r>
          <rPr>
            <sz val="9"/>
            <color indexed="81"/>
            <rFont val="Tahoma"/>
            <family val="2"/>
          </rPr>
          <t xml:space="preserve">4F01 : Organisation de la gestion des archives informatiques
</t>
        </r>
      </text>
    </comment>
    <comment ref="AD126" authorId="1" shapeId="0" xr:uid="{891ACEC2-BCE8-4910-BAD5-982287827F18}">
      <text>
        <r>
          <rPr>
            <sz val="9"/>
            <color indexed="81"/>
            <rFont val="Tahoma"/>
            <family val="2"/>
          </rPr>
          <t xml:space="preserve">5B02 : Chiffrement des données applicatives stockées
4F02 : Gestion des accès aux archives
</t>
        </r>
      </text>
    </comment>
    <comment ref="AC127" authorId="1" shapeId="0" xr:uid="{40B8A888-43DD-4FBD-AC91-2262F8BF7AC3}">
      <text>
        <r>
          <rPr>
            <sz val="9"/>
            <color indexed="81"/>
            <rFont val="Tahoma"/>
            <family val="2"/>
          </rPr>
          <t xml:space="preserve">3A08 : Surveillance des actions effectuées avec des droits privilégiés
</t>
        </r>
      </text>
    </comment>
    <comment ref="AD127" authorId="1" shapeId="0" xr:uid="{B0DFF982-BE44-4115-8391-5B85751CE14D}">
      <text>
        <r>
          <rPr>
            <sz val="9"/>
            <color indexed="81"/>
            <rFont val="Tahoma"/>
            <family val="2"/>
          </rPr>
          <t xml:space="preserve">5B02 : Chiffrement des données applicatives stockées
</t>
        </r>
      </text>
    </comment>
    <comment ref="AD128" authorId="1" shapeId="0" xr:uid="{37F24883-147E-4CF3-8F36-54B824A49304}">
      <text>
        <r>
          <rPr>
            <sz val="9"/>
            <color indexed="81"/>
            <rFont val="Tahoma"/>
            <family val="2"/>
          </rPr>
          <t xml:space="preserve">5B02 : Chiffrement des données applicatives stockées
4F02 : Gestion des accès aux archives
</t>
        </r>
      </text>
    </comment>
    <comment ref="AE130" authorId="1" shapeId="0" xr:uid="{45E3E9A6-B889-4646-BD54-08B7EE833FFD}">
      <text>
        <r>
          <rPr>
            <sz val="9"/>
            <color indexed="81"/>
            <rFont val="Tahoma"/>
            <family val="2"/>
          </rPr>
          <t xml:space="preserve">5A05 : Surveillance des informations publiées sur un site web ou interne
</t>
        </r>
      </text>
    </comment>
    <comment ref="AF130" authorId="1" shapeId="0" xr:uid="{E4E06F31-5D55-451D-A8F0-13AED7758C63}">
      <text>
        <r>
          <rPr>
            <sz val="9"/>
            <color indexed="81"/>
            <rFont val="Tahoma"/>
            <family val="2"/>
          </rPr>
          <t xml:space="preserve">4A03 : Sauvegardes des données et configurations
</t>
        </r>
      </text>
    </comment>
    <comment ref="AC132" authorId="1" shapeId="0" xr:uid="{0498ABCF-3713-4EAB-8F0A-B0722E8985E8}">
      <text>
        <r>
          <rPr>
            <sz val="9"/>
            <color indexed="81"/>
            <rFont val="Tahoma"/>
            <family val="2"/>
          </rPr>
          <t xml:space="preserve">3A08 : Surveillance des actions effectuées avec des droits privilégiés
4A11 : Journalisation et contrôle des journaux
</t>
        </r>
      </text>
    </comment>
    <comment ref="AD132" authorId="1" shapeId="0" xr:uid="{CA280291-F81A-4D4E-AB41-8FADA40C2812}">
      <text>
        <r>
          <rPr>
            <sz val="9"/>
            <color indexed="81"/>
            <rFont val="Tahoma"/>
            <family val="2"/>
          </rPr>
          <t xml:space="preserve">5A05 : Surveillance des informations publiées sur un site web ou interne
</t>
        </r>
      </text>
    </comment>
    <comment ref="AE132" authorId="1" shapeId="0" xr:uid="{90747D1F-3FFE-4F52-BFEB-0765663CE6E3}">
      <text>
        <r>
          <rPr>
            <sz val="9"/>
            <color indexed="81"/>
            <rFont val="Tahoma"/>
            <family val="2"/>
          </rPr>
          <t xml:space="preserve">5A05 : Surveillance des informations publiées sur un site web ou interne
</t>
        </r>
      </text>
    </comment>
    <comment ref="AD133" authorId="1" shapeId="0" xr:uid="{5BB41E4C-FFB6-4849-B3BD-52C6ED7D3BC4}">
      <text>
        <r>
          <rPr>
            <sz val="9"/>
            <color indexed="81"/>
            <rFont val="Tahoma"/>
            <family val="2"/>
          </rPr>
          <t xml:space="preserve">3A04 : Contrôle d'accès aux systèmes et applications
3A07 : Contrôle des accès privilégiés
5A05 : Surveillance des informations publiées sur un site web ou interne
</t>
        </r>
      </text>
    </comment>
    <comment ref="AE133" authorId="1" shapeId="0" xr:uid="{68B0BCBD-10DF-41BD-8852-EC4CF128D8E1}">
      <text>
        <r>
          <rPr>
            <sz val="9"/>
            <color indexed="81"/>
            <rFont val="Tahoma"/>
            <family val="2"/>
          </rPr>
          <t xml:space="preserve">5A05 : Surveillance des informations publiées sur un site web ou interne
</t>
        </r>
      </text>
    </comment>
    <comment ref="AF135" authorId="1" shapeId="0" xr:uid="{E8150861-0D69-4F60-99F9-FD4CCF35D1C3}">
      <text>
        <r>
          <rPr>
            <sz val="9"/>
            <color indexed="81"/>
            <rFont val="Tahoma"/>
            <family val="2"/>
          </rPr>
          <t xml:space="preserve">4A04 : Sauvegardes de recours des données externalisées
</t>
        </r>
      </text>
    </comment>
    <comment ref="AF136" authorId="1" shapeId="0" xr:uid="{4604CEC2-83BC-4402-8627-7FDBE5D9F353}">
      <text>
        <r>
          <rPr>
            <sz val="9"/>
            <color indexed="81"/>
            <rFont val="Tahoma"/>
            <family val="2"/>
          </rPr>
          <t xml:space="preserve">4A04 : Sauvegardes de recours des données externalisées
</t>
        </r>
      </text>
    </comment>
    <comment ref="AD137" authorId="1" shapeId="0" xr:uid="{CB00D4E3-9A0A-4F53-AFB2-15CF6D4803EC}">
      <text>
        <r>
          <rPr>
            <sz val="9"/>
            <color indexed="81"/>
            <rFont val="Tahoma"/>
            <family val="2"/>
          </rPr>
          <t xml:space="preserve">3A09 : Contrôle d'accès aux systèmes et services externalisés
</t>
        </r>
      </text>
    </comment>
    <comment ref="AF137" authorId="1" shapeId="0" xr:uid="{D2959ADD-68B0-45B0-B46B-308900D27D87}">
      <text>
        <r>
          <rPr>
            <sz val="9"/>
            <color indexed="81"/>
            <rFont val="Tahoma"/>
            <family val="2"/>
          </rPr>
          <t xml:space="preserve">4A04 : Sauvegardes de recours des données externalisées
</t>
        </r>
      </text>
    </comment>
    <comment ref="AD138" authorId="1" shapeId="0" xr:uid="{A90A0E2B-59D8-40D2-8C9C-423EB83465F4}">
      <text>
        <r>
          <rPr>
            <sz val="9"/>
            <color indexed="81"/>
            <rFont val="Tahoma"/>
            <family val="2"/>
          </rPr>
          <t xml:space="preserve">5E04 : Contrôle de la transmission des données
</t>
        </r>
      </text>
    </comment>
    <comment ref="AD140" authorId="1" shapeId="0" xr:uid="{D38AD486-7271-4BBE-AC24-E997BCF28D8E}">
      <text>
        <r>
          <rPr>
            <sz val="9"/>
            <color indexed="81"/>
            <rFont val="Tahoma"/>
            <family val="2"/>
          </rPr>
          <t xml:space="preserve">3A09 : Contrôle d'accès aux systèmes et services externalisés
5F02 : Protection de l'intégrité des fichiers de données sensibles externalisés
</t>
        </r>
      </text>
    </comment>
    <comment ref="AD141" authorId="1" shapeId="0" xr:uid="{CEF97DB4-2FEA-4B39-8435-3561B03324C4}">
      <text>
        <r>
          <rPr>
            <sz val="9"/>
            <color indexed="81"/>
            <rFont val="Tahoma"/>
            <family val="2"/>
          </rPr>
          <t xml:space="preserve">5F01 : Protection de l'intégrité des échanges lors des accès aux services externalisés
</t>
        </r>
      </text>
    </comment>
    <comment ref="AD142" authorId="1" shapeId="0" xr:uid="{EF0E69CA-DC46-499D-A564-F598A320BB9E}">
      <text>
        <r>
          <rPr>
            <sz val="9"/>
            <color indexed="81"/>
            <rFont val="Tahoma"/>
            <family val="2"/>
          </rPr>
          <t xml:space="preserve">5F01 : Protection de l'intégrité des échanges lors des accès aux services externalisés
5G01 : Protection de la confidentialité des échanges, lors de l'utilisation des services externalisés
</t>
        </r>
      </text>
    </comment>
    <comment ref="AD144" authorId="1" shapeId="0" xr:uid="{198F299D-0FDB-46BD-A564-16158888EEB9}">
      <text>
        <r>
          <rPr>
            <sz val="9"/>
            <color indexed="81"/>
            <rFont val="Tahoma"/>
            <family val="2"/>
          </rPr>
          <t xml:space="preserve">3A09 : Contrôle d'accès aux systèmes et services externalisés
5G02 : Protection de la confidentialité de données externalisées
</t>
        </r>
      </text>
    </comment>
    <comment ref="AD145" authorId="1" shapeId="0" xr:uid="{74E54124-AC7D-4DF0-A36E-1306E990F1A3}">
      <text>
        <r>
          <rPr>
            <sz val="9"/>
            <color indexed="81"/>
            <rFont val="Tahoma"/>
            <family val="2"/>
          </rPr>
          <t xml:space="preserve">5G01 : Protection de la confidentialité des échanges, lors de l'utilisation des services externalisés
</t>
        </r>
      </text>
    </comment>
    <comment ref="AD146" authorId="1" shapeId="0" xr:uid="{DC959F36-6E25-4BAF-8F5A-419C6A802627}">
      <text>
        <r>
          <rPr>
            <sz val="9"/>
            <color indexed="81"/>
            <rFont val="Tahoma"/>
            <family val="2"/>
          </rPr>
          <t xml:space="preserve">2D05 : Protection des écrans dse poste de travail contre les captations visuelles
</t>
        </r>
      </text>
    </comment>
    <comment ref="AC148" authorId="1" shapeId="0" xr:uid="{E8BA3E9C-FFBA-470D-A22D-3304EDCF5C78}">
      <text>
        <r>
          <rPr>
            <sz val="9"/>
            <color indexed="81"/>
            <rFont val="Tahoma"/>
            <family val="2"/>
          </rPr>
          <t xml:space="preserve">3A08 : Surveillance des actions effectuées avec des droits privilégiés
4A11 : Journalisation et contrôle des journaux
</t>
        </r>
      </text>
    </comment>
    <comment ref="AD148" authorId="1" shapeId="0" xr:uid="{012D6372-7ECD-47F8-ABF0-9C99F69D949F}">
      <text>
        <r>
          <rPr>
            <sz val="9"/>
            <color indexed="81"/>
            <rFont val="Tahoma"/>
            <family val="2"/>
          </rPr>
          <t xml:space="preserve">3A04 : Contrôle d'accès aux systèmes et applications
3A07 : Contrôle des accès privilégiés
</t>
        </r>
      </text>
    </comment>
    <comment ref="AF148" authorId="1" shapeId="0" xr:uid="{47CAE261-114D-404C-8BA8-6646CA1B7032}">
      <text>
        <r>
          <rPr>
            <sz val="9"/>
            <color indexed="81"/>
            <rFont val="Tahoma"/>
            <family val="2"/>
          </rPr>
          <t xml:space="preserve">4A03 : Sauvegardes des données et configurations
</t>
        </r>
      </text>
    </comment>
    <comment ref="AC149" authorId="1" shapeId="0" xr:uid="{D8F350D9-730C-4599-9B3D-1A08903D953E}">
      <text>
        <r>
          <rPr>
            <sz val="9"/>
            <color indexed="81"/>
            <rFont val="Tahoma"/>
            <family val="2"/>
          </rPr>
          <t xml:space="preserve">3A08 : Surveillance des actions effectuées avec des droits privilégiés
</t>
        </r>
      </text>
    </comment>
    <comment ref="AF149" authorId="1" shapeId="0" xr:uid="{1B4CCD29-9FF8-4AD4-B98B-863E1F532AAC}">
      <text>
        <r>
          <rPr>
            <sz val="9"/>
            <color indexed="81"/>
            <rFont val="Tahoma"/>
            <family val="2"/>
          </rPr>
          <t xml:space="preserve">4A03 : Sauvegardes des données et configurations
</t>
        </r>
      </text>
    </comment>
    <comment ref="AD150" authorId="1" shapeId="0" xr:uid="{1D042B88-A2F6-41A4-99D6-C9AEF2FA0399}">
      <text>
        <r>
          <rPr>
            <sz val="9"/>
            <color indexed="81"/>
            <rFont val="Tahoma"/>
            <family val="2"/>
          </rPr>
          <t xml:space="preserve">5D04 : Maintien des moyens nécessaires à la mise en opération des applications critiques
</t>
        </r>
      </text>
    </comment>
    <comment ref="AF151" authorId="1" shapeId="0" xr:uid="{D672DFD5-53DE-4F98-B6B8-AA2F63825CEB}">
      <text>
        <r>
          <rPr>
            <sz val="9"/>
            <color indexed="81"/>
            <rFont val="Tahoma"/>
            <family val="2"/>
          </rPr>
          <t xml:space="preserve">1E03 : Gestion du personnel et des partenaires ou prestataires stratégiques
</t>
        </r>
      </text>
    </comment>
    <comment ref="AD152" authorId="1" shapeId="0" xr:uid="{43C2470D-98F3-41D0-A0AE-69B0478989C8}">
      <text>
        <r>
          <rPr>
            <sz val="9"/>
            <color indexed="81"/>
            <rFont val="Tahoma"/>
            <family val="2"/>
          </rPr>
          <t xml:space="preserve">7B02 : Contrôles des changements et évolutions systèmes ou applicatifs
</t>
        </r>
      </text>
    </comment>
    <comment ref="AF153" authorId="1" shapeId="0" xr:uid="{F38454CC-B77A-45D3-900A-0332B83C7636}">
      <text>
        <r>
          <rPr>
            <sz val="9"/>
            <color indexed="81"/>
            <rFont val="Tahoma"/>
            <family val="2"/>
          </rPr>
          <t xml:space="preserve">4C01 : Organisation de la maintenance des systèmes informatiques (matériel, logiciel et applications) et des équipements de réseaux
</t>
        </r>
      </text>
    </comment>
    <comment ref="AE154" authorId="1" shapeId="0" xr:uid="{61FE40F1-EA8B-4B2C-B6BA-BF2533DAF688}">
      <text>
        <r>
          <rPr>
            <sz val="9"/>
            <color indexed="81"/>
            <rFont val="Tahoma"/>
            <family val="2"/>
          </rPr>
          <t xml:space="preserve">4A10 : Surveillance en temps réel de l'activité et gestion des anomalies
</t>
        </r>
      </text>
    </comment>
    <comment ref="AF154" authorId="1" shapeId="0" xr:uid="{FD86A2A7-EF3D-4D77-A90D-52D006163002}">
      <text>
        <r>
          <rPr>
            <sz val="9"/>
            <color indexed="81"/>
            <rFont val="Tahoma"/>
            <family val="2"/>
          </rPr>
          <t xml:space="preserve">4C05 : Maintien des comptes d'accès
</t>
        </r>
      </text>
    </comment>
    <comment ref="AE155" authorId="1" shapeId="0" xr:uid="{C78CD78B-E252-49B8-84C7-9AF0EACE7FF6}">
      <text>
        <r>
          <rPr>
            <sz val="9"/>
            <color indexed="81"/>
            <rFont val="Tahoma"/>
            <family val="2"/>
          </rPr>
          <t xml:space="preserve">5A03 : Contrôles permanents  (vraisemblance, ...) sur les données et traitements
</t>
        </r>
      </text>
    </comment>
    <comment ref="AF155" authorId="1" shapeId="0" xr:uid="{1D85BA0D-E3F7-485C-A41B-80DB3AB93AE1}">
      <text>
        <r>
          <rPr>
            <sz val="9"/>
            <color indexed="81"/>
            <rFont val="Tahoma"/>
            <family val="2"/>
          </rPr>
          <t xml:space="preserve">4A03 : Sauvegardes des données et configurations
</t>
        </r>
      </text>
    </comment>
    <comment ref="AF156" authorId="1" shapeId="0" xr:uid="{57AF0CDA-764E-43C3-932F-D44F9BB29D16}">
      <text>
        <r>
          <rPr>
            <sz val="9"/>
            <color indexed="81"/>
            <rFont val="Tahoma"/>
            <family val="2"/>
          </rPr>
          <t xml:space="preserve">4C01 : Organisation de la maintenance des systèmes informatiques (matériel, logiciel et applications) et des équipements de réseaux
</t>
        </r>
      </text>
    </comment>
    <comment ref="AD157" authorId="1" shapeId="0" xr:uid="{B8BD4621-73D2-4784-A37E-22B38C0F1E32}">
      <text>
        <r>
          <rPr>
            <sz val="9"/>
            <color indexed="81"/>
            <rFont val="Tahoma"/>
            <family val="2"/>
          </rPr>
          <t xml:space="preserve">4E01 : Gestion des supports amovibles
</t>
        </r>
      </text>
    </comment>
    <comment ref="AF157" authorId="1" shapeId="0" xr:uid="{8B922468-2863-4F52-93BA-F5B8D80DA17D}">
      <text>
        <r>
          <rPr>
            <sz val="9"/>
            <color indexed="81"/>
            <rFont val="Tahoma"/>
            <family val="2"/>
          </rPr>
          <t xml:space="preserve">4A14 : Protection des programmes 
</t>
        </r>
      </text>
    </comment>
    <comment ref="AF158" authorId="1" shapeId="0" xr:uid="{C5A44AFD-507A-4D47-9973-271EBB39469D}">
      <text>
        <r>
          <rPr>
            <sz val="9"/>
            <color indexed="81"/>
            <rFont val="Tahoma"/>
            <family val="2"/>
          </rPr>
          <t xml:space="preserve">4A14 : Protection des programmes 
</t>
        </r>
      </text>
    </comment>
    <comment ref="AC159" authorId="1" shapeId="0" xr:uid="{8AB7E805-2AF1-4147-9C3A-4444DBCEEB5B}">
      <text>
        <r>
          <rPr>
            <sz val="9"/>
            <color indexed="81"/>
            <rFont val="Tahoma"/>
            <family val="2"/>
          </rPr>
          <t xml:space="preserve">2B03 : Surveillance des locaux sensibles
</t>
        </r>
      </text>
    </comment>
    <comment ref="AD159" authorId="1" shapeId="0" xr:uid="{6756B3EB-C363-4655-8EEB-706D95EF3BDC}">
      <text>
        <r>
          <rPr>
            <sz val="9"/>
            <color indexed="81"/>
            <rFont val="Tahoma"/>
            <family val="2"/>
          </rPr>
          <t xml:space="preserve">2B01 : Contrôle des accès aux locaux sensibles
2B02 : Détection des intrusions dans les locaux sensibles 
</t>
        </r>
      </text>
    </comment>
    <comment ref="AF159" authorId="1" shapeId="0" xr:uid="{A00E4E98-11A4-42BC-AC33-8D72229CAEF5}">
      <text>
        <r>
          <rPr>
            <sz val="9"/>
            <color indexed="81"/>
            <rFont val="Tahoma"/>
            <family val="2"/>
          </rPr>
          <t xml:space="preserve">4A14 : Protection des programmes 
</t>
        </r>
      </text>
    </comment>
    <comment ref="AC160" authorId="1" shapeId="0" xr:uid="{5A61B725-917F-4396-9FF3-70CAA45FB549}">
      <text>
        <r>
          <rPr>
            <sz val="9"/>
            <color indexed="81"/>
            <rFont val="Tahoma"/>
            <family val="2"/>
          </rPr>
          <t xml:space="preserve">2B03 : Surveillance des locaux sensibles
</t>
        </r>
      </text>
    </comment>
    <comment ref="AF160" authorId="1" shapeId="0" xr:uid="{B95FC4C6-9C54-4821-84FB-883D88D44C9F}">
      <text>
        <r>
          <rPr>
            <sz val="9"/>
            <color indexed="81"/>
            <rFont val="Tahoma"/>
            <family val="2"/>
          </rPr>
          <t xml:space="preserve">4A14 : Protection des programmes 
</t>
        </r>
      </text>
    </comment>
    <comment ref="AD161" authorId="1" shapeId="0" xr:uid="{8CCB048F-BFEA-4A72-935E-233EC4797410}">
      <text>
        <r>
          <rPr>
            <sz val="9"/>
            <color indexed="81"/>
            <rFont val="Tahoma"/>
            <family val="2"/>
          </rPr>
          <t xml:space="preserve">4E02 : Sécurité physique des medias
</t>
        </r>
      </text>
    </comment>
    <comment ref="AF161" authorId="1" shapeId="0" xr:uid="{34A0BFD8-E95F-4914-9E81-4F106D9DD62C}">
      <text>
        <r>
          <rPr>
            <sz val="9"/>
            <color indexed="81"/>
            <rFont val="Tahoma"/>
            <family val="2"/>
          </rPr>
          <t xml:space="preserve">4A14 : Protection des programmes 
</t>
        </r>
      </text>
    </comment>
    <comment ref="AD162" authorId="1" shapeId="0" xr:uid="{3D2A5DA3-0126-4062-AE5B-945E0EA9BDBF}">
      <text>
        <r>
          <rPr>
            <sz val="9"/>
            <color indexed="81"/>
            <rFont val="Tahoma"/>
            <family val="2"/>
          </rPr>
          <t xml:space="preserve">4E02 : Sécurité physique des medias
</t>
        </r>
      </text>
    </comment>
    <comment ref="AE162" authorId="1" shapeId="0" xr:uid="{C13DFB69-7D07-4C39-8CA5-B9078964EE97}">
      <text>
        <r>
          <rPr>
            <sz val="9"/>
            <color indexed="81"/>
            <rFont val="Tahoma"/>
            <family val="2"/>
          </rPr>
          <t xml:space="preserve">2A03 : Protection contre les risques environnementaux divers
</t>
        </r>
      </text>
    </comment>
    <comment ref="AF162" authorId="1" shapeId="0" xr:uid="{201D635A-8B0A-4E21-86AA-04A3DFBAA266}">
      <text>
        <r>
          <rPr>
            <sz val="9"/>
            <color indexed="81"/>
            <rFont val="Tahoma"/>
            <family val="2"/>
          </rPr>
          <t xml:space="preserve">4A14 : Protection des programmes 
</t>
        </r>
      </text>
    </comment>
    <comment ref="AD163" authorId="1" shapeId="0" xr:uid="{A1765628-889D-414A-B5CF-54E4A7DE918B}">
      <text>
        <r>
          <rPr>
            <sz val="9"/>
            <color indexed="81"/>
            <rFont val="Tahoma"/>
            <family val="2"/>
          </rPr>
          <t xml:space="preserve">5C01 : Gestion des moyens d'accès aux fichiers de données ou de programme
</t>
        </r>
      </text>
    </comment>
    <comment ref="AD164" authorId="1" shapeId="0" xr:uid="{3FC49DD4-212A-4684-8F39-4C1A5E29C06E}">
      <text>
        <r>
          <rPr>
            <sz val="9"/>
            <color indexed="81"/>
            <rFont val="Tahoma"/>
            <family val="2"/>
          </rPr>
          <t xml:space="preserve">5C01 : Gestion des moyens d'accès aux fichiers de données ou de programme
</t>
        </r>
      </text>
    </comment>
    <comment ref="AC165" authorId="1" shapeId="0" xr:uid="{CAF3BD8B-9279-49AA-A813-2BE968F88645}">
      <text>
        <r>
          <rPr>
            <sz val="9"/>
            <color indexed="81"/>
            <rFont val="Tahoma"/>
            <family val="2"/>
          </rPr>
          <t xml:space="preserve">2B03 : Surveillance des locaux sensibles
</t>
        </r>
      </text>
    </comment>
    <comment ref="AF165" authorId="1" shapeId="0" xr:uid="{F71E140E-7239-4DEE-9076-224C89AF4224}">
      <text>
        <r>
          <rPr>
            <sz val="9"/>
            <color indexed="81"/>
            <rFont val="Tahoma"/>
            <family val="2"/>
          </rPr>
          <t xml:space="preserve">3B01 : Sûreté de fonctionnement des éléments d'architecture
</t>
        </r>
      </text>
    </comment>
    <comment ref="AC166" authorId="1" shapeId="0" xr:uid="{9C4788BF-508C-4AA8-BF7B-6FBF03F1077C}">
      <text>
        <r>
          <rPr>
            <sz val="9"/>
            <color indexed="81"/>
            <rFont val="Tahoma"/>
            <family val="2"/>
          </rPr>
          <t xml:space="preserve">2B03 : Surveillance des locaux sensibles
</t>
        </r>
      </text>
    </comment>
    <comment ref="AD166" authorId="1" shapeId="0" xr:uid="{A4FE283D-19BA-4566-9017-F349860EE5C1}">
      <text>
        <r>
          <rPr>
            <sz val="9"/>
            <color indexed="81"/>
            <rFont val="Tahoma"/>
            <family val="2"/>
          </rPr>
          <t xml:space="preserve">2B01 : Contrôle des accès aux locaux sensibles
2B02 : Détection des intrusions dans les locaux sensibles 
</t>
        </r>
      </text>
    </comment>
    <comment ref="AF166" authorId="1" shapeId="0" xr:uid="{10A33D7A-0CE3-49D3-B4E5-451F8E9CA041}">
      <text>
        <r>
          <rPr>
            <sz val="9"/>
            <color indexed="81"/>
            <rFont val="Tahoma"/>
            <family val="2"/>
          </rPr>
          <t xml:space="preserve">3B01 : Sûreté de fonctionnement des éléments d'architecture
</t>
        </r>
      </text>
    </comment>
    <comment ref="AF167" authorId="1" shapeId="0" xr:uid="{CB57F063-3EA3-41BE-ABD9-39F24BC38EA9}">
      <text>
        <r>
          <rPr>
            <sz val="9"/>
            <color indexed="81"/>
            <rFont val="Tahoma"/>
            <family val="2"/>
          </rPr>
          <t xml:space="preserve">4C01 : Organisation de la maintenance des systèmes informatiques (matériel, logiciel et applications) et des équipements de réseaux
</t>
        </r>
      </text>
    </comment>
    <comment ref="AE168" authorId="1" shapeId="0" xr:uid="{3D35EE3D-A593-4EB6-9425-D7A0178EAE4C}">
      <text>
        <r>
          <rPr>
            <sz val="9"/>
            <color indexed="81"/>
            <rFont val="Tahoma"/>
            <family val="2"/>
          </rPr>
          <t xml:space="preserve">2A03 : Protection contre les risques environnementaux divers
</t>
        </r>
      </text>
    </comment>
    <comment ref="AF168" authorId="1" shapeId="0" xr:uid="{AA937866-086A-4188-9B33-9A0499F1D3A3}">
      <text>
        <r>
          <rPr>
            <sz val="9"/>
            <color indexed="81"/>
            <rFont val="Tahoma"/>
            <family val="2"/>
          </rPr>
          <t xml:space="preserve">4C03 : Plans de Reprise d'Activité de l'infrastructure informatique et des systèmes
</t>
        </r>
      </text>
    </comment>
    <comment ref="AF169" authorId="1" shapeId="0" xr:uid="{32B87EEF-6C0B-4937-B508-477F9E22306F}">
      <text>
        <r>
          <rPr>
            <sz val="9"/>
            <color indexed="81"/>
            <rFont val="Tahoma"/>
            <family val="2"/>
          </rPr>
          <t xml:space="preserve">1E01 : Plans de continuité de l'activité
1E03 : Gestion du personnel et des partenaires ou prestataires stratégiques
</t>
        </r>
      </text>
    </comment>
    <comment ref="AD170" authorId="1" shapeId="0" xr:uid="{C103E5E6-1C4A-4A49-A2FD-E734EA83493D}">
      <text>
        <r>
          <rPr>
            <sz val="9"/>
            <color indexed="81"/>
            <rFont val="Tahoma"/>
            <family val="2"/>
          </rPr>
          <t xml:space="preserve">2C02 : Sécurité des équipements de servitude
</t>
        </r>
      </text>
    </comment>
    <comment ref="AF170" authorId="1" shapeId="0" xr:uid="{623221D5-E568-4DCC-AC54-024A77882912}">
      <text>
        <r>
          <rPr>
            <sz val="9"/>
            <color indexed="81"/>
            <rFont val="Tahoma"/>
            <family val="2"/>
          </rPr>
          <t xml:space="preserve">4C03 : Plans de Reprise d'Activité de l'infrastructure informatique et des systèmes
</t>
        </r>
      </text>
    </comment>
    <comment ref="AD171" authorId="1" shapeId="0" xr:uid="{D81BB996-9E67-463D-828A-5ACB60083D2C}">
      <text>
        <r>
          <rPr>
            <sz val="9"/>
            <color indexed="81"/>
            <rFont val="Tahoma"/>
            <family val="2"/>
          </rPr>
          <t xml:space="preserve">3B01 : Sûreté de fonctionnement des éléments d'architecture
</t>
        </r>
      </text>
    </comment>
    <comment ref="AF171" authorId="1" shapeId="0" xr:uid="{40959D62-9132-4390-A2D9-B089B7FB2C74}">
      <text>
        <r>
          <rPr>
            <sz val="9"/>
            <color indexed="81"/>
            <rFont val="Tahoma"/>
            <family val="2"/>
          </rPr>
          <t xml:space="preserve">4C01 : Organisation de la maintenance des systèmes informatiques (matériel, logiciel et applications) et des équipements de réseaux
</t>
        </r>
      </text>
    </comment>
    <comment ref="AF172" authorId="1" shapeId="0" xr:uid="{570D63AA-7BB0-481C-906B-D7C920D70A66}">
      <text>
        <r>
          <rPr>
            <sz val="9"/>
            <color indexed="81"/>
            <rFont val="Tahoma"/>
            <family val="2"/>
          </rPr>
          <t xml:space="preserve">4A10 : Surveillance en temps réel de l'activité et gestion des anomalies
</t>
        </r>
      </text>
    </comment>
    <comment ref="AC173" authorId="1" shapeId="0" xr:uid="{83258D9B-6E21-44E0-BD03-5E84FC28AB5A}">
      <text>
        <r>
          <rPr>
            <sz val="9"/>
            <color indexed="81"/>
            <rFont val="Tahoma"/>
            <family val="2"/>
          </rPr>
          <t xml:space="preserve">3A08 : Surveillance des actions effectuées avec des droits privilégiés
</t>
        </r>
      </text>
    </comment>
    <comment ref="AF173" authorId="1" shapeId="0" xr:uid="{2F34CE16-7663-43F7-9EEF-F06E05F0B70B}">
      <text>
        <r>
          <rPr>
            <sz val="9"/>
            <color indexed="81"/>
            <rFont val="Tahoma"/>
            <family val="2"/>
          </rPr>
          <t xml:space="preserve">6B07 : Sauvegarde des configurations des postes de travail des utilisateurs
</t>
        </r>
      </text>
    </comment>
    <comment ref="AD174" authorId="1" shapeId="0" xr:uid="{FB5AEC42-E524-40CB-A498-660974A0B362}">
      <text>
        <r>
          <rPr>
            <sz val="9"/>
            <color indexed="81"/>
            <rFont val="Tahoma"/>
            <family val="2"/>
          </rPr>
          <t xml:space="preserve">4A02 : Protection contre les malwares
</t>
        </r>
      </text>
    </comment>
    <comment ref="AF174" authorId="1" shapeId="0" xr:uid="{601526B7-9D92-4152-8EFD-C569DCA73E59}">
      <text>
        <r>
          <rPr>
            <sz val="9"/>
            <color indexed="81"/>
            <rFont val="Tahoma"/>
            <family val="2"/>
          </rPr>
          <t xml:space="preserve">6B07 : Sauvegarde des configurations des postes de travail des utilisateurs
</t>
        </r>
      </text>
    </comment>
    <comment ref="AF175" authorId="1" shapeId="0" xr:uid="{D7366F94-7585-47D5-A517-155D62D19590}">
      <text>
        <r>
          <rPr>
            <sz val="9"/>
            <color indexed="81"/>
            <rFont val="Tahoma"/>
            <family val="2"/>
          </rPr>
          <t xml:space="preserve">1E02 : Plans de Reprise de l'Environnement de Travail
</t>
        </r>
      </text>
    </comment>
    <comment ref="AD176" authorId="1" shapeId="0" xr:uid="{32C42BA4-9A45-4759-8639-4D1BAD0F97A1}">
      <text>
        <r>
          <rPr>
            <sz val="9"/>
            <color indexed="81"/>
            <rFont val="Tahoma"/>
            <family val="2"/>
          </rPr>
          <t xml:space="preserve">2C02 : Sécurité des équipements de servitude
</t>
        </r>
      </text>
    </comment>
    <comment ref="AF176" authorId="1" shapeId="0" xr:uid="{7FCCDF1B-9B40-45E4-BD57-8049DEF8A678}">
      <text>
        <r>
          <rPr>
            <sz val="9"/>
            <color indexed="81"/>
            <rFont val="Tahoma"/>
            <family val="2"/>
          </rPr>
          <t xml:space="preserve">1E02 : Plans de Reprise de l'Environnement de Travail
</t>
        </r>
      </text>
    </comment>
    <comment ref="AC178" authorId="1" shapeId="0" xr:uid="{94B12B42-B7FD-4107-94DB-560CEEAE95E0}">
      <text>
        <r>
          <rPr>
            <sz val="9"/>
            <color indexed="81"/>
            <rFont val="Tahoma"/>
            <family val="2"/>
          </rPr>
          <t xml:space="preserve">3A08 : Surveillance des actions effectuées avec des droits privilégiés
</t>
        </r>
      </text>
    </comment>
    <comment ref="AC179" authorId="1" shapeId="0" xr:uid="{C252EC6D-8992-4FCA-916A-7F383FE29A96}">
      <text>
        <r>
          <rPr>
            <sz val="9"/>
            <color indexed="81"/>
            <rFont val="Tahoma"/>
            <family val="2"/>
          </rPr>
          <t xml:space="preserve">4A09 : Contrôle des opérations de maintenance 
</t>
        </r>
      </text>
    </comment>
    <comment ref="AD179" authorId="1" shapeId="0" xr:uid="{B1B12ABD-B626-47EB-847C-7A1B34DAC170}">
      <text>
        <r>
          <rPr>
            <sz val="9"/>
            <color indexed="81"/>
            <rFont val="Tahoma"/>
            <family val="2"/>
          </rPr>
          <t xml:space="preserve">7B08 : Sécurité de la maintenance applicative
</t>
        </r>
      </text>
    </comment>
    <comment ref="AD180" authorId="1" shapeId="0" xr:uid="{C49E6B48-9F68-437A-B5DD-ECE56A927B41}">
      <text>
        <r>
          <rPr>
            <sz val="9"/>
            <color indexed="81"/>
            <rFont val="Tahoma"/>
            <family val="2"/>
          </rPr>
          <t xml:space="preserve">3A07 : Contrôle des accès privilégiés
4B01 : Paramétrage des systèmes et applications et contrôle de la conformité 
</t>
        </r>
      </text>
    </comment>
    <comment ref="AD181" authorId="1" shapeId="0" xr:uid="{CEDA695E-7ED7-441F-8BCB-2BBD0A6898C1}">
      <text>
        <r>
          <rPr>
            <sz val="9"/>
            <color indexed="81"/>
            <rFont val="Tahoma"/>
            <family val="2"/>
          </rPr>
          <t xml:space="preserve">5E04 : Contrôle de la transmission des données
</t>
        </r>
      </text>
    </comment>
    <comment ref="AC182" authorId="1" shapeId="0" xr:uid="{5F7C593C-5DB1-42E3-A662-79C628B7541A}">
      <text>
        <r>
          <rPr>
            <sz val="9"/>
            <color indexed="81"/>
            <rFont val="Tahoma"/>
            <family val="2"/>
          </rPr>
          <t xml:space="preserve">2B03 : Surveillance des locaux sensibles
</t>
        </r>
      </text>
    </comment>
    <comment ref="AD182" authorId="1" shapeId="0" xr:uid="{9B8E62F1-C75D-46E3-8EC6-ABD7226AF257}">
      <text>
        <r>
          <rPr>
            <sz val="9"/>
            <color indexed="81"/>
            <rFont val="Tahoma"/>
            <family val="2"/>
          </rPr>
          <t xml:space="preserve">4B01 : Paramétrage des systèmes et applications et contrôle de la conformité 
</t>
        </r>
      </text>
    </comment>
    <comment ref="AC183" authorId="1" shapeId="0" xr:uid="{3FE7FCDA-C61D-4C1C-9C3B-BEB9E0D3D763}">
      <text>
        <r>
          <rPr>
            <sz val="9"/>
            <color indexed="81"/>
            <rFont val="Tahoma"/>
            <family val="2"/>
          </rPr>
          <t xml:space="preserve">2B03 : Surveillance des locaux sensibles
</t>
        </r>
      </text>
    </comment>
    <comment ref="AD183" authorId="1" shapeId="0" xr:uid="{4D12A594-35EA-411D-B6CF-112A13F9FDF4}">
      <text>
        <r>
          <rPr>
            <sz val="9"/>
            <color indexed="81"/>
            <rFont val="Tahoma"/>
            <family val="2"/>
          </rPr>
          <t xml:space="preserve">2B01 : Contrôle des accès aux locaux sensibles
2B02 : Détection des intrusions dans les locaux sensibles 
4B01 : Paramétrage des systèmes et applications et contrôle de la conformité 
</t>
        </r>
      </text>
    </comment>
    <comment ref="AC184" authorId="1" shapeId="0" xr:uid="{02ECC42D-0DBD-4B88-AAED-90E0069C21E9}">
      <text>
        <r>
          <rPr>
            <sz val="9"/>
            <color indexed="81"/>
            <rFont val="Tahoma"/>
            <family val="2"/>
          </rPr>
          <t xml:space="preserve">2B03 : Surveillance des locaux sensibles
</t>
        </r>
      </text>
    </comment>
    <comment ref="AC185" authorId="1" shapeId="0" xr:uid="{56381203-DF9F-4FCB-9209-810779A5D603}">
      <text>
        <r>
          <rPr>
            <sz val="9"/>
            <color indexed="81"/>
            <rFont val="Tahoma"/>
            <family val="2"/>
          </rPr>
          <t xml:space="preserve">2B03 : Surveillance des locaux sensibles
</t>
        </r>
      </text>
    </comment>
    <comment ref="AD185" authorId="1" shapeId="0" xr:uid="{EFCCD2BB-4682-4CA7-821A-B5015315B40E}">
      <text>
        <r>
          <rPr>
            <sz val="9"/>
            <color indexed="81"/>
            <rFont val="Tahoma"/>
            <family val="2"/>
          </rPr>
          <t xml:space="preserve">2B01 : Contrôle des accès aux locaux sensibles
2B02 : Détection des intrusions dans les locaux sensibles 
</t>
        </r>
      </text>
    </comment>
    <comment ref="AC186" authorId="1" shapeId="0" xr:uid="{82E6836C-3F2C-4556-81F5-F59FAF4C8817}">
      <text>
        <r>
          <rPr>
            <sz val="9"/>
            <color indexed="81"/>
            <rFont val="Tahoma"/>
            <family val="2"/>
          </rPr>
          <t xml:space="preserve">2D03 : Surveillance des zones de bureaux protégées
</t>
        </r>
      </text>
    </comment>
    <comment ref="AD186" authorId="1" shapeId="0" xr:uid="{AA01874D-E9E5-4105-8306-E44EC037EE5F}">
      <text>
        <r>
          <rPr>
            <sz val="9"/>
            <color indexed="81"/>
            <rFont val="Tahoma"/>
            <family val="2"/>
          </rPr>
          <t xml:space="preserve">6A01 : Protection du poste de travail
</t>
        </r>
      </text>
    </comment>
    <comment ref="AC187" authorId="1" shapeId="0" xr:uid="{9526EFBF-52E9-446D-ACEB-0B4861942677}">
      <text>
        <r>
          <rPr>
            <sz val="9"/>
            <color indexed="81"/>
            <rFont val="Tahoma"/>
            <family val="2"/>
          </rPr>
          <t xml:space="preserve">2D03 : Surveillance des zones de bureaux protégées
</t>
        </r>
      </text>
    </comment>
    <comment ref="AD187" authorId="1" shapeId="0" xr:uid="{7EF67082-63B9-498B-B2F6-FB39A64089EA}">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188" authorId="1" shapeId="0" xr:uid="{844B5228-2B13-4F5C-8836-0B04FE7AE2D5}">
      <text>
        <r>
          <rPr>
            <sz val="9"/>
            <color indexed="81"/>
            <rFont val="Tahoma"/>
            <family val="2"/>
          </rPr>
          <t xml:space="preserve">4A09 : Contrôle des opérations de maintenance 
</t>
        </r>
      </text>
    </comment>
    <comment ref="AD189" authorId="1" shapeId="0" xr:uid="{6D8D16AC-526E-4BFE-B6CD-73F79C36DB6D}">
      <text>
        <r>
          <rPr>
            <sz val="9"/>
            <color indexed="81"/>
            <rFont val="Tahoma"/>
            <family val="2"/>
          </rPr>
          <t xml:space="preserve">6A01 : Protection du poste de travail
</t>
        </r>
      </text>
    </comment>
    <comment ref="AD191" authorId="1" shapeId="0" xr:uid="{7C80FE13-CB3F-4DF4-9E5F-83F6D5252F1D}">
      <text>
        <r>
          <rPr>
            <sz val="9"/>
            <color indexed="81"/>
            <rFont val="Tahoma"/>
            <family val="2"/>
          </rPr>
          <t xml:space="preserve">3A04 : Contrôle d'accès aux systèmes et applications
3A07 : Contrôle des accès privilégiés
</t>
        </r>
      </text>
    </comment>
    <comment ref="AC192" authorId="1" shapeId="0" xr:uid="{68EF32BE-66D2-4EFB-9A5B-814FB3B15F70}">
      <text>
        <r>
          <rPr>
            <sz val="9"/>
            <color indexed="81"/>
            <rFont val="Tahoma"/>
            <family val="2"/>
          </rPr>
          <t xml:space="preserve">3A08 : Surveillance des actions effectuées avec des droits privilégiés
</t>
        </r>
      </text>
    </comment>
    <comment ref="AC193" authorId="1" shapeId="0" xr:uid="{D88CCECE-A5F9-4E88-B40E-7A85CE122EB5}">
      <text>
        <r>
          <rPr>
            <sz val="9"/>
            <color indexed="81"/>
            <rFont val="Tahoma"/>
            <family val="2"/>
          </rPr>
          <t xml:space="preserve">7B10 : Protection de la confidentialité des codes sources
</t>
        </r>
      </text>
    </comment>
    <comment ref="AC194" authorId="1" shapeId="0" xr:uid="{7B82F96B-236A-4C38-AED4-CFD0523308FE}">
      <text>
        <r>
          <rPr>
            <sz val="9"/>
            <color indexed="81"/>
            <rFont val="Tahoma"/>
            <family val="2"/>
          </rPr>
          <t xml:space="preserve">2B03 : Surveillance des locaux sensibles
</t>
        </r>
      </text>
    </comment>
    <comment ref="AC195" authorId="1" shapeId="0" xr:uid="{F9856B93-4DD0-425A-943B-FB9C26B95272}">
      <text>
        <r>
          <rPr>
            <sz val="9"/>
            <color indexed="81"/>
            <rFont val="Tahoma"/>
            <family val="2"/>
          </rPr>
          <t xml:space="preserve">2B03 : Surveillance des locaux sensibles
</t>
        </r>
      </text>
    </comment>
    <comment ref="AD195" authorId="1" shapeId="0" xr:uid="{08CEE3C2-5FDE-43BB-A8D5-3C4B887BD478}">
      <text>
        <r>
          <rPr>
            <sz val="9"/>
            <color indexed="81"/>
            <rFont val="Tahoma"/>
            <family val="2"/>
          </rPr>
          <t xml:space="preserve">2B01 : Contrôle des accès aux locaux sensibles
5B02 : Chiffrement des données applicatives stockées
</t>
        </r>
      </text>
    </comment>
    <comment ref="AD196" authorId="1" shapeId="0" xr:uid="{46F8C7B5-3394-414F-BEBF-8AF33DDF3D20}">
      <text>
        <r>
          <rPr>
            <sz val="9"/>
            <color indexed="81"/>
            <rFont val="Tahoma"/>
            <family val="2"/>
          </rPr>
          <t xml:space="preserve">4E03 : Sécurité des médias réaffectés ou mis au rebut
</t>
        </r>
      </text>
    </comment>
    <comment ref="AF198" authorId="1" shapeId="0" xr:uid="{D55F1EC1-E404-42D6-AD30-CCF3E6531475}">
      <text>
        <r>
          <rPr>
            <sz val="9"/>
            <color indexed="81"/>
            <rFont val="Tahoma"/>
            <family val="2"/>
          </rPr>
          <t xml:space="preserve">1E03 : Gestion du personnel et des partenaires ou prestataires stratégiques
5D02 : Plan de continuité des services externalisés
</t>
        </r>
      </text>
    </comment>
    <comment ref="AF199" authorId="1" shapeId="0" xr:uid="{B1345BF4-8C80-4300-8019-B073CFF71B2C}">
      <text>
        <r>
          <rPr>
            <sz val="9"/>
            <color indexed="81"/>
            <rFont val="Tahoma"/>
            <family val="2"/>
          </rPr>
          <t xml:space="preserve">5D02 : Plan de continuité des services externalisés
</t>
        </r>
      </text>
    </comment>
    <comment ref="AD201" authorId="1" shapeId="0" xr:uid="{14434E67-D3BF-4B08-B95D-71F9583729A0}">
      <text>
        <r>
          <rPr>
            <sz val="9"/>
            <color indexed="81"/>
            <rFont val="Tahoma"/>
            <family val="2"/>
          </rPr>
          <t xml:space="preserve">5F03 : Contrôls de l'intégrité des fonctionnalités  externalisés
</t>
        </r>
      </text>
    </comment>
    <comment ref="AF203" authorId="1" shapeId="0" xr:uid="{842E4789-4D12-4A1D-8C89-C7CA31FEF85F}">
      <text>
        <r>
          <rPr>
            <sz val="9"/>
            <color indexed="81"/>
            <rFont val="Tahoma"/>
            <family val="2"/>
          </rPr>
          <t xml:space="preserve">5C03 : Surveillance en temps réel de l'accessibilité et de la disponibilité de services sensibles
</t>
        </r>
      </text>
    </comment>
    <comment ref="AC205" authorId="1" shapeId="0" xr:uid="{637D4640-E487-47F0-9BDE-36077DD5E181}">
      <text>
        <r>
          <rPr>
            <sz val="9"/>
            <color indexed="81"/>
            <rFont val="Tahoma"/>
            <family val="2"/>
          </rPr>
          <t xml:space="preserve">3A08 : Surveillance des actions effectuées avec des droits privilégiés
</t>
        </r>
      </text>
    </comment>
    <comment ref="AD205" authorId="1" shapeId="0" xr:uid="{9DA23298-3A2C-4DA5-8765-4C71363262E4}">
      <text>
        <r>
          <rPr>
            <sz val="9"/>
            <color indexed="81"/>
            <rFont val="Tahoma"/>
            <family val="2"/>
          </rPr>
          <t xml:space="preserve">5A06 : Contrôle de l'intégrité des fonctionnalités logicielles
</t>
        </r>
      </text>
    </comment>
    <comment ref="AD206" authorId="1" shapeId="0" xr:uid="{1C2B02BE-E046-4255-8862-F0593AEDA006}">
      <text>
        <r>
          <rPr>
            <sz val="9"/>
            <color indexed="81"/>
            <rFont val="Tahoma"/>
            <family val="2"/>
          </rPr>
          <t xml:space="preserve">5A06 : Contrôle de l'intégrité des fonctionnalités logicielles
</t>
        </r>
      </text>
    </comment>
    <comment ref="AC207" authorId="1" shapeId="0" xr:uid="{4CB02DDC-48DE-4711-AD76-E1B1D7768A78}">
      <text>
        <r>
          <rPr>
            <sz val="9"/>
            <color indexed="81"/>
            <rFont val="Tahoma"/>
            <family val="2"/>
          </rPr>
          <t xml:space="preserve">3A08 : Surveillance des actions effectuées avec des droits privilégiés
</t>
        </r>
      </text>
    </comment>
    <comment ref="AD207" authorId="1" shapeId="0" xr:uid="{996C9670-D573-4460-BA01-E12921501BB8}">
      <text>
        <r>
          <rPr>
            <sz val="9"/>
            <color indexed="81"/>
            <rFont val="Tahoma"/>
            <family val="2"/>
          </rPr>
          <t xml:space="preserve">3A07 : Contrôle des accès privilégiés
4B01 : Paramétrage des systèmes et applications et contrôle de la conformité 
5A06 : Contrôle de l'intégrité des fonctionnalités logicielles
</t>
        </r>
      </text>
    </comment>
    <comment ref="AD209" authorId="1" shapeId="0" xr:uid="{F6F539EE-D5FE-4962-B1AE-8129859DA89D}">
      <text>
        <r>
          <rPr>
            <sz val="9"/>
            <color indexed="81"/>
            <rFont val="Tahoma"/>
            <family val="2"/>
          </rPr>
          <t xml:space="preserve">8A01 : Mise en place des processus et procédures adaptés aux exigences légales ou contractuelles
</t>
        </r>
      </text>
    </comment>
    <comment ref="AC210" authorId="1" shapeId="0" xr:uid="{E6CCD4B6-96CC-4C70-91C6-580D8CF86DB8}">
      <text>
        <r>
          <rPr>
            <sz val="9"/>
            <color indexed="81"/>
            <rFont val="Tahoma"/>
            <family val="2"/>
          </rPr>
          <t xml:space="preserve">8A02 : Contrôle de l'application des procédures visant le respect des exigences légales et contractuelles
</t>
        </r>
      </text>
    </comment>
    <comment ref="AD211" authorId="1" shapeId="0" xr:uid="{407E9571-0B7D-4D9B-9214-DF0FCD5152AE}">
      <text>
        <r>
          <rPr>
            <sz val="9"/>
            <color indexed="81"/>
            <rFont val="Tahoma"/>
            <family val="2"/>
          </rPr>
          <t xml:space="preserve">8A03 : Supervision des processus et procédures adaptés aux exigences légales et contractuelles
</t>
        </r>
      </text>
    </comment>
    <comment ref="AD213" authorId="1" shapeId="0" xr:uid="{4833D56C-4D61-4264-84A9-8A2CE492D5F5}">
      <text>
        <r>
          <rPr>
            <sz val="9"/>
            <color indexed="81"/>
            <rFont val="Tahoma"/>
            <family val="2"/>
          </rPr>
          <t xml:space="preserve">8B01 : Mise en place des processus et procédures adaptés aux règles de gouvernance et de prise de décision
</t>
        </r>
      </text>
    </comment>
    <comment ref="AC214" authorId="1" shapeId="0" xr:uid="{E9195C28-7A6D-43AE-93EB-C296DCC24357}">
      <text>
        <r>
          <rPr>
            <sz val="9"/>
            <color indexed="81"/>
            <rFont val="Tahoma"/>
            <family val="2"/>
          </rPr>
          <t xml:space="preserve">8B02 : Contrôle de l'application des procédures vusant le respect des règles de gouvernance et de prise de décision
</t>
        </r>
      </text>
    </comment>
    <comment ref="AD215" authorId="1" shapeId="0" xr:uid="{FBCC8756-9304-44CD-A7DC-3F576387E2A6}">
      <text>
        <r>
          <rPr>
            <sz val="9"/>
            <color indexed="81"/>
            <rFont val="Tahoma"/>
            <family val="2"/>
          </rPr>
          <t xml:space="preserve">8B03 : Supervision des processus et procédures adaptés aux règles de gouvernance et de prise de décision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Jean-Philippe Jouas</author>
  </authors>
  <commentList>
    <comment ref="S18" authorId="0" shapeId="0" xr:uid="{00000000-0006-0000-1200-000001000000}">
      <text>
        <r>
          <rPr>
            <b/>
            <sz val="9"/>
            <color indexed="81"/>
            <rFont val="Tahoma"/>
            <family val="2"/>
          </rPr>
          <t>Pour les scénarios sélectionnés et non marqués comme"acceptés"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J3" authorId="0" shapeId="0" xr:uid="{00000000-0006-0000-1400-000001000000}">
      <text>
        <r>
          <rPr>
            <b/>
            <sz val="8"/>
            <color indexed="81"/>
            <rFont val="Tahoma"/>
            <family val="2"/>
          </rPr>
          <t>Indiquer par un 1 la sélection de chaque Projet</t>
        </r>
      </text>
    </comment>
    <comment ref="K5" authorId="1" shapeId="0" xr:uid="{B353917E-D955-49BF-819B-3997C70EB73A}">
      <text>
        <r>
          <rPr>
            <sz val="9"/>
            <color indexed="81"/>
            <rFont val="Tahoma"/>
            <family val="2"/>
          </rPr>
          <t>2B01 : Contrôle des accès aux locaux sensibles</t>
        </r>
      </text>
    </comment>
    <comment ref="N5" authorId="1" shapeId="0" xr:uid="{7223A423-5D0E-47EF-B312-DF1488694926}">
      <text>
        <r>
          <rPr>
            <sz val="9"/>
            <color indexed="81"/>
            <rFont val="Tahoma"/>
            <family val="2"/>
          </rPr>
          <t xml:space="preserve">2B02 : Détection des intrusions dans les locaux sensibles </t>
        </r>
      </text>
    </comment>
    <comment ref="K6" authorId="1" shapeId="0" xr:uid="{42A21CA4-59A9-444F-B1D1-11D5C01D6709}">
      <text>
        <r>
          <rPr>
            <sz val="9"/>
            <color indexed="81"/>
            <rFont val="Tahoma"/>
            <family val="2"/>
          </rPr>
          <t>3A02 : Gestion des autorisations d'accès  (attribution, délégation, retrait)</t>
        </r>
      </text>
    </comment>
    <comment ref="N6" authorId="1" shapeId="0" xr:uid="{6CB68408-7735-417B-A6C1-F37778B1EED0}">
      <text>
        <r>
          <rPr>
            <sz val="9"/>
            <color indexed="81"/>
            <rFont val="Tahoma"/>
            <family val="2"/>
          </rPr>
          <t>3A04 : Contrôle d'accès aux systèmes et applications</t>
        </r>
      </text>
    </comment>
    <comment ref="Q6" authorId="1" shapeId="0" xr:uid="{8199B87C-AAD4-476C-8E6F-41035F175CBE}">
      <text>
        <r>
          <rPr>
            <sz val="9"/>
            <color indexed="81"/>
            <rFont val="Tahoma"/>
            <family val="2"/>
          </rPr>
          <t>3A06 : Gestion des autorisations d'accès privilégiés (droits d'administration)</t>
        </r>
      </text>
    </comment>
    <comment ref="T6" authorId="1" shapeId="0" xr:uid="{B6746B10-A62B-4C5A-89A5-CA7AC10623A2}">
      <text>
        <r>
          <rPr>
            <sz val="9"/>
            <color indexed="81"/>
            <rFont val="Tahoma"/>
            <family val="2"/>
          </rPr>
          <t>3A07 : Contrôle des accès privilégiés</t>
        </r>
      </text>
    </comment>
    <comment ref="K7" authorId="1" shapeId="0" xr:uid="{5AA0A060-97B7-4EAB-A7EC-4D9AD98CB1A3}">
      <text>
        <r>
          <rPr>
            <sz val="9"/>
            <color indexed="81"/>
            <rFont val="Tahoma"/>
            <family val="2"/>
          </rPr>
          <t>5E01 : Garantie d'origine, signature, électronique</t>
        </r>
      </text>
    </comment>
    <comment ref="N7" authorId="1" shapeId="0" xr:uid="{D22BB291-82A7-46B5-87C3-923BF9A0299D}">
      <text>
        <r>
          <rPr>
            <sz val="9"/>
            <color indexed="81"/>
            <rFont val="Tahoma"/>
            <family val="2"/>
          </rPr>
          <t>5E02 : Individualisation des messages empêchant leur duplication (numérotation, séquencement,...)</t>
        </r>
      </text>
    </comment>
    <comment ref="Q7" authorId="1" shapeId="0" xr:uid="{FB301FE8-51B0-418B-8689-9E367E73D5A6}">
      <text>
        <r>
          <rPr>
            <sz val="9"/>
            <color indexed="81"/>
            <rFont val="Tahoma"/>
            <family val="2"/>
          </rPr>
          <t>5E03 : Contrôle de la réception des messages sensibles</t>
        </r>
      </text>
    </comment>
    <comment ref="T7" authorId="1" shapeId="0" xr:uid="{8A44BBCB-AB1D-4BB2-A71A-0AFFA52157A0}">
      <text>
        <r>
          <rPr>
            <sz val="9"/>
            <color indexed="81"/>
            <rFont val="Tahoma"/>
            <family val="2"/>
          </rPr>
          <t>5E04 : Contrôle de la transmission des données</t>
        </r>
      </text>
    </comment>
    <comment ref="K8" authorId="1" shapeId="0" xr:uid="{E1E849D5-FF27-4DEB-8507-2BBB4AE2D9CF}">
      <text>
        <r>
          <rPr>
            <sz val="9"/>
            <color indexed="81"/>
            <rFont val="Tahoma"/>
            <family val="2"/>
          </rPr>
          <t>4C02 : Procédures et plans de reprise des applications sur incidents</t>
        </r>
      </text>
    </comment>
    <comment ref="K9" authorId="1" shapeId="0" xr:uid="{156DF3D4-25DF-4C20-BFB4-6DCD5C411819}">
      <text>
        <r>
          <rPr>
            <sz val="9"/>
            <color indexed="81"/>
            <rFont val="Tahoma"/>
            <family val="2"/>
          </rPr>
          <t xml:space="preserve">4A09 : Contrôle des opérations de maintenance </t>
        </r>
      </text>
    </comment>
    <comment ref="N9" authorId="1" shapeId="0" xr:uid="{EE06E78D-9BE7-4E39-907E-4C6B50A02CDC}">
      <text>
        <r>
          <rPr>
            <sz val="9"/>
            <color indexed="81"/>
            <rFont val="Tahoma"/>
            <family val="2"/>
          </rPr>
          <t xml:space="preserve">7B09 : Maintenance à chaud </t>
        </r>
      </text>
    </comment>
    <comment ref="K10" authorId="1" shapeId="0" xr:uid="{C24C60FE-5DA5-4F6F-98D0-9AAA6DADB3A6}">
      <text>
        <r>
          <rPr>
            <sz val="9"/>
            <color indexed="81"/>
            <rFont val="Tahoma"/>
            <family val="2"/>
          </rPr>
          <t>4E01 : Gestion des supports amovibles</t>
        </r>
      </text>
    </comment>
    <comment ref="N10" authorId="1" shapeId="0" xr:uid="{5442939E-AA99-48BE-828D-C33C98F05209}">
      <text>
        <r>
          <rPr>
            <sz val="9"/>
            <color indexed="81"/>
            <rFont val="Tahoma"/>
            <family val="2"/>
          </rPr>
          <t>5C01 : Gestion des moyens d'accès aux fichiers de données ou de programme</t>
        </r>
      </text>
    </comment>
    <comment ref="Q10" authorId="1" shapeId="0" xr:uid="{EBB73EE1-B6BB-4E64-A9E6-143207BF7D11}">
      <text>
        <r>
          <rPr>
            <sz val="9"/>
            <color indexed="81"/>
            <rFont val="Tahoma"/>
            <family val="2"/>
          </rPr>
          <t>5D04 : Maintien des moyens nécessaires à la mise en opération des applications critiques</t>
        </r>
      </text>
    </comment>
    <comment ref="K11" authorId="1" shapeId="0" xr:uid="{97011880-0FD2-4367-A545-D5D41DAA8F61}">
      <text>
        <r>
          <rPr>
            <sz val="9"/>
            <color indexed="81"/>
            <rFont val="Tahoma"/>
            <family val="2"/>
          </rPr>
          <t>4A03 : Sauvegardes des données et configurations</t>
        </r>
      </text>
    </comment>
    <comment ref="N11" authorId="1" shapeId="0" xr:uid="{B6ABCA27-A826-4B8E-A8BF-E450BD2D615E}">
      <text>
        <r>
          <rPr>
            <sz val="9"/>
            <color indexed="81"/>
            <rFont val="Tahoma"/>
            <family val="2"/>
          </rPr>
          <t>6B04 : Sauvegarde des données utilisateurs stockées sur les postes de travail</t>
        </r>
      </text>
    </comment>
    <comment ref="Q11" authorId="1" shapeId="0" xr:uid="{14E1C010-4329-4DFF-9D8C-012DEBE76966}">
      <text>
        <r>
          <rPr>
            <sz val="9"/>
            <color indexed="81"/>
            <rFont val="Tahoma"/>
            <family val="2"/>
          </rPr>
          <t>6B06 : Sauvegarde des courriels émis ou reçus sur les serveurs de l'entreprise</t>
        </r>
      </text>
    </comment>
    <comment ref="T11" authorId="1" shapeId="0" xr:uid="{62A88A6A-9E4E-47C7-9C24-CB39D1C8A56E}">
      <text>
        <r>
          <rPr>
            <sz val="9"/>
            <color indexed="81"/>
            <rFont val="Tahoma"/>
            <family val="2"/>
          </rPr>
          <t>6B07 : Sauvegarde des configurations des postes de travail des utilisateurs</t>
        </r>
      </text>
    </comment>
    <comment ref="K12" authorId="1" shapeId="0" xr:uid="{1ACAF4D7-DA67-46B0-9B3F-79D12CBCF3C9}">
      <text>
        <r>
          <rPr>
            <sz val="9"/>
            <color indexed="81"/>
            <rFont val="Tahoma"/>
            <family val="2"/>
          </rPr>
          <t>4E02 : Sécurité physique des medias</t>
        </r>
      </text>
    </comment>
    <comment ref="N12" authorId="1" shapeId="0" xr:uid="{B7F1C73E-0A3D-432A-9A73-5E28DFCEF48F}">
      <text>
        <r>
          <rPr>
            <sz val="9"/>
            <color indexed="81"/>
            <rFont val="Tahoma"/>
            <family val="2"/>
          </rPr>
          <t>4E04 : Sécurité physique des media en transit</t>
        </r>
      </text>
    </comment>
    <comment ref="K13" authorId="1" shapeId="0" xr:uid="{5BF6D857-8AE2-43C1-A492-046DC96F6AE9}">
      <text>
        <r>
          <rPr>
            <sz val="9"/>
            <color indexed="81"/>
            <rFont val="Tahoma"/>
            <family val="2"/>
          </rPr>
          <t>3A08 : Surveillance des actions effectuées avec des droits privilégiés</t>
        </r>
      </text>
    </comment>
    <comment ref="N13" authorId="1" shapeId="0" xr:uid="{6249EFBF-7014-4A4B-87D4-348BCD27FFD4}">
      <text>
        <r>
          <rPr>
            <sz val="9"/>
            <color indexed="81"/>
            <rFont val="Tahoma"/>
            <family val="2"/>
          </rPr>
          <t>4A11 : Journalisation et contrôle des journaux</t>
        </r>
      </text>
    </comment>
    <comment ref="K14" authorId="1" shapeId="0" xr:uid="{6ECC320C-C333-4FE4-A20D-E8BDCF2B32E5}">
      <text>
        <r>
          <rPr>
            <sz val="9"/>
            <color indexed="81"/>
            <rFont val="Tahoma"/>
            <family val="2"/>
          </rPr>
          <t>2B03 : Surveillance des locaux sensibles</t>
        </r>
      </text>
    </comment>
    <comment ref="K16" authorId="1" shapeId="0" xr:uid="{3A4F285A-6FBF-4210-943F-291E74285A08}">
      <text>
        <r>
          <rPr>
            <sz val="9"/>
            <color indexed="81"/>
            <rFont val="Tahoma"/>
            <family val="2"/>
          </rPr>
          <t>2B01 : Contrôle des accès aux locaux sensibles</t>
        </r>
      </text>
    </comment>
    <comment ref="N16" authorId="1" shapeId="0" xr:uid="{51205335-FCD3-4772-9A76-359FEBC4D05C}">
      <text>
        <r>
          <rPr>
            <sz val="9"/>
            <color indexed="81"/>
            <rFont val="Tahoma"/>
            <family val="2"/>
          </rPr>
          <t xml:space="preserve">2B02 : Détection des intrusions dans les locaux sensibles </t>
        </r>
      </text>
    </comment>
    <comment ref="K17" authorId="1" shapeId="0" xr:uid="{FE4FA188-F256-4B98-832A-726F8241FAC0}">
      <text>
        <r>
          <rPr>
            <sz val="9"/>
            <color indexed="81"/>
            <rFont val="Tahoma"/>
            <family val="2"/>
          </rPr>
          <t>3A02 : Gestion des autorisations d'accès  (attribution, délégation, retrait)</t>
        </r>
      </text>
    </comment>
    <comment ref="N17" authorId="1" shapeId="0" xr:uid="{DA71268D-C4F0-4150-B0AB-E63880A2097A}">
      <text>
        <r>
          <rPr>
            <sz val="9"/>
            <color indexed="81"/>
            <rFont val="Tahoma"/>
            <family val="2"/>
          </rPr>
          <t>3A04 : Contrôle d'accès aux systèmes et applications</t>
        </r>
      </text>
    </comment>
    <comment ref="Q17" authorId="1" shapeId="0" xr:uid="{CF150684-2251-436A-A916-E67AC1E9D413}">
      <text>
        <r>
          <rPr>
            <sz val="9"/>
            <color indexed="81"/>
            <rFont val="Tahoma"/>
            <family val="2"/>
          </rPr>
          <t>3A06 : Gestion des autorisations d'accès privilégiés (droits d'administration)</t>
        </r>
      </text>
    </comment>
    <comment ref="T17" authorId="1" shapeId="0" xr:uid="{2BB181F3-8BD6-4B5E-B55F-426D2A9D20D8}">
      <text>
        <r>
          <rPr>
            <sz val="9"/>
            <color indexed="81"/>
            <rFont val="Tahoma"/>
            <family val="2"/>
          </rPr>
          <t>3A07 : Contrôle des accès privilégiés</t>
        </r>
      </text>
    </comment>
    <comment ref="K18" authorId="1" shapeId="0" xr:uid="{5DCCE2BE-B2F6-4142-A680-9B57FD4C4E8B}">
      <text>
        <r>
          <rPr>
            <sz val="9"/>
            <color indexed="81"/>
            <rFont val="Tahoma"/>
            <family val="2"/>
          </rPr>
          <t>5E01 : Garantie d'origine, signature, électronique</t>
        </r>
      </text>
    </comment>
    <comment ref="N18" authorId="1" shapeId="0" xr:uid="{04251DF9-D2E7-4BFF-96F5-60887CBA2C3C}">
      <text>
        <r>
          <rPr>
            <sz val="9"/>
            <color indexed="81"/>
            <rFont val="Tahoma"/>
            <family val="2"/>
          </rPr>
          <t>5E02 : Individualisation des messages empêchant leur duplication (numérotation, séquencement,...)</t>
        </r>
      </text>
    </comment>
    <comment ref="Q18" authorId="1" shapeId="0" xr:uid="{78B45FFF-E8B2-4F01-8DF4-253FEC176710}">
      <text>
        <r>
          <rPr>
            <sz val="9"/>
            <color indexed="81"/>
            <rFont val="Tahoma"/>
            <family val="2"/>
          </rPr>
          <t>5E03 : Contrôle de la réception des messages sensibles</t>
        </r>
      </text>
    </comment>
    <comment ref="T18" authorId="1" shapeId="0" xr:uid="{6AC93A56-ECDA-4CC6-ADC0-4BDAB26551FA}">
      <text>
        <r>
          <rPr>
            <sz val="9"/>
            <color indexed="81"/>
            <rFont val="Tahoma"/>
            <family val="2"/>
          </rPr>
          <t>5E04 : Contrôle de la transmission des données</t>
        </r>
      </text>
    </comment>
    <comment ref="K19" authorId="1" shapeId="0" xr:uid="{A40A991F-E2D2-496D-BC23-64D66514F806}">
      <text>
        <r>
          <rPr>
            <sz val="9"/>
            <color indexed="81"/>
            <rFont val="Tahoma"/>
            <family val="2"/>
          </rPr>
          <t>5B02 : Chiffrement des données applicatives stockées</t>
        </r>
      </text>
    </comment>
    <comment ref="K20" authorId="1" shapeId="0" xr:uid="{A731EC21-17F3-493F-A3AB-8B6CF09A7AE5}">
      <text>
        <r>
          <rPr>
            <sz val="9"/>
            <color indexed="81"/>
            <rFont val="Tahoma"/>
            <family val="2"/>
          </rPr>
          <t xml:space="preserve">5B01 : Chiffrement des échanges de données applicatives </t>
        </r>
      </text>
    </comment>
    <comment ref="K21" authorId="1" shapeId="0" xr:uid="{2E701721-350C-4720-B760-B0FA4F7F6344}">
      <text>
        <r>
          <rPr>
            <sz val="9"/>
            <color indexed="81"/>
            <rFont val="Tahoma"/>
            <family val="2"/>
          </rPr>
          <t>5A03 : Contrôles permanents  (vraisemblance, ...) sur les données et traitements</t>
        </r>
      </text>
    </comment>
    <comment ref="K22" authorId="1" shapeId="0" xr:uid="{C61B523E-752D-45B2-B949-6D67EC55C1FA}">
      <text>
        <r>
          <rPr>
            <sz val="9"/>
            <color indexed="81"/>
            <rFont val="Tahoma"/>
            <family val="2"/>
          </rPr>
          <t>5A04 : Contrôle de la saisie des données</t>
        </r>
      </text>
    </comment>
    <comment ref="K23" authorId="1" shapeId="0" xr:uid="{A671AA18-8FB7-4947-8FD2-0A967335B7BC}">
      <text>
        <r>
          <rPr>
            <sz val="9"/>
            <color indexed="81"/>
            <rFont val="Tahoma"/>
            <family val="2"/>
          </rPr>
          <t>5A02 : Protection de l'intégrité des fichiers de données applicatives sensibles</t>
        </r>
      </text>
    </comment>
    <comment ref="K24" authorId="1" shapeId="0" xr:uid="{68BCD547-380A-45D2-A4FE-37E06B48B502}">
      <text>
        <r>
          <rPr>
            <sz val="9"/>
            <color indexed="81"/>
            <rFont val="Tahoma"/>
            <family val="2"/>
          </rPr>
          <t xml:space="preserve">5A01 : Protection de l'intégrité des données applicatives échangées </t>
        </r>
      </text>
    </comment>
    <comment ref="K25" authorId="1" shapeId="0" xr:uid="{DAFA2FDC-7808-40FA-B11E-7546EC8417A8}">
      <text>
        <r>
          <rPr>
            <sz val="9"/>
            <color indexed="81"/>
            <rFont val="Tahoma"/>
            <family val="2"/>
          </rPr>
          <t>3A08 : Surveillance des actions effectuées avec des droits privilégiés</t>
        </r>
      </text>
    </comment>
    <comment ref="N25" authorId="1" shapeId="0" xr:uid="{7307CE03-5D99-4400-A448-41C27EE80F91}">
      <text>
        <r>
          <rPr>
            <sz val="9"/>
            <color indexed="81"/>
            <rFont val="Tahoma"/>
            <family val="2"/>
          </rPr>
          <t>4A11 : Journalisation et contrôle des journaux</t>
        </r>
      </text>
    </comment>
    <comment ref="K26" authorId="1" shapeId="0" xr:uid="{4D91D280-733B-4941-8AB5-E558B9116A9D}">
      <text>
        <r>
          <rPr>
            <sz val="9"/>
            <color indexed="81"/>
            <rFont val="Tahoma"/>
            <family val="2"/>
          </rPr>
          <t>2B03 : Surveillance des locaux sensibles</t>
        </r>
      </text>
    </comment>
    <comment ref="K28" authorId="1" shapeId="0" xr:uid="{4220D2F5-D14A-431E-9D0B-C5BD1C170E11}">
      <text>
        <r>
          <rPr>
            <sz val="9"/>
            <color indexed="81"/>
            <rFont val="Tahoma"/>
            <family val="2"/>
          </rPr>
          <t>2B01 : Contrôle des accès aux locaux sensibles</t>
        </r>
      </text>
    </comment>
    <comment ref="N28" authorId="1" shapeId="0" xr:uid="{AB75AA0B-A3AC-43EF-BDDA-896DAFCFE894}">
      <text>
        <r>
          <rPr>
            <sz val="9"/>
            <color indexed="81"/>
            <rFont val="Tahoma"/>
            <family val="2"/>
          </rPr>
          <t xml:space="preserve">2B02 : Détection des intrusions dans les locaux sensibles </t>
        </r>
      </text>
    </comment>
    <comment ref="K29" authorId="1" shapeId="0" xr:uid="{1F32FC23-233D-47BF-A1FB-4EBE81E93DE6}">
      <text>
        <r>
          <rPr>
            <sz val="9"/>
            <color indexed="81"/>
            <rFont val="Tahoma"/>
            <family val="2"/>
          </rPr>
          <t>3A02 : Gestion des autorisations d'accès  (attribution, délégation, retrait)</t>
        </r>
      </text>
    </comment>
    <comment ref="N29" authorId="1" shapeId="0" xr:uid="{1FE0FDBB-13D2-4D2B-9554-5C6CF2F2135C}">
      <text>
        <r>
          <rPr>
            <sz val="9"/>
            <color indexed="81"/>
            <rFont val="Tahoma"/>
            <family val="2"/>
          </rPr>
          <t>3A04 : Contrôle d'accès aux systèmes et applications</t>
        </r>
      </text>
    </comment>
    <comment ref="Q29" authorId="1" shapeId="0" xr:uid="{509C3A94-135C-48B1-BA51-6CFB4483257B}">
      <text>
        <r>
          <rPr>
            <sz val="9"/>
            <color indexed="81"/>
            <rFont val="Tahoma"/>
            <family val="2"/>
          </rPr>
          <t>3A06 : Gestion des autorisations d'accès privilégiés (droits d'administration)</t>
        </r>
      </text>
    </comment>
    <comment ref="T29" authorId="1" shapeId="0" xr:uid="{974FE4DE-B680-4570-8C41-2216C8AB914A}">
      <text>
        <r>
          <rPr>
            <sz val="9"/>
            <color indexed="81"/>
            <rFont val="Tahoma"/>
            <family val="2"/>
          </rPr>
          <t>3A07 : Contrôle des accès privilégiés</t>
        </r>
      </text>
    </comment>
    <comment ref="K30" authorId="1" shapeId="0" xr:uid="{18BA12EF-F40A-40C3-A827-9C7FB839559E}">
      <text>
        <r>
          <rPr>
            <sz val="9"/>
            <color indexed="81"/>
            <rFont val="Tahoma"/>
            <family val="2"/>
          </rPr>
          <t>5B02 : Chiffrement des données applicatives stockées</t>
        </r>
      </text>
    </comment>
    <comment ref="K31" authorId="1" shapeId="0" xr:uid="{FA22644B-600A-4946-8E23-F84CE97AA73B}">
      <text>
        <r>
          <rPr>
            <sz val="9"/>
            <color indexed="81"/>
            <rFont val="Tahoma"/>
            <family val="2"/>
          </rPr>
          <t xml:space="preserve">5B01 : Chiffrement des échanges de données applicatives </t>
        </r>
      </text>
    </comment>
    <comment ref="K32" authorId="1" shapeId="0" xr:uid="{A7924880-53B7-44F7-8A09-FF0B4032A6C2}">
      <text>
        <r>
          <rPr>
            <sz val="9"/>
            <color indexed="81"/>
            <rFont val="Tahoma"/>
            <family val="2"/>
          </rPr>
          <t xml:space="preserve">4A09 : Contrôle des opérations de maintenance </t>
        </r>
      </text>
    </comment>
    <comment ref="N32" authorId="1" shapeId="0" xr:uid="{25AFC1BA-86B7-41AC-AF1A-0FCF94937188}">
      <text>
        <r>
          <rPr>
            <sz val="9"/>
            <color indexed="81"/>
            <rFont val="Tahoma"/>
            <family val="2"/>
          </rPr>
          <t xml:space="preserve">7B09 : Maintenance à chaud </t>
        </r>
      </text>
    </comment>
    <comment ref="K33" authorId="1" shapeId="0" xr:uid="{E2873EC8-B1A6-4CA7-AEB6-114CF905F201}">
      <text>
        <r>
          <rPr>
            <sz val="9"/>
            <color indexed="81"/>
            <rFont val="Tahoma"/>
            <family val="2"/>
          </rPr>
          <t>2D05 : Protection des écrans dse poste de travail contre les captations visuelles</t>
        </r>
      </text>
    </comment>
    <comment ref="K34" authorId="1" shapeId="0" xr:uid="{7376C541-BA78-450A-884A-366B7BAA0F1D}">
      <text>
        <r>
          <rPr>
            <sz val="9"/>
            <color indexed="81"/>
            <rFont val="Tahoma"/>
            <family val="2"/>
          </rPr>
          <t>4E03 : Sécurité des médias réaffectés ou mis au rebut</t>
        </r>
      </text>
    </comment>
    <comment ref="K35" authorId="1" shapeId="0" xr:uid="{FF91C772-5B1E-4725-808D-2414F6EFF42D}">
      <text>
        <r>
          <rPr>
            <sz val="9"/>
            <color indexed="81"/>
            <rFont val="Tahoma"/>
            <family val="2"/>
          </rPr>
          <t>3A08 : Surveillance des actions effectuées avec des droits privilégiés</t>
        </r>
      </text>
    </comment>
    <comment ref="N35" authorId="1" shapeId="0" xr:uid="{DF6EC90E-355E-4187-97ED-3EDEEEFC6AEA}">
      <text>
        <r>
          <rPr>
            <sz val="9"/>
            <color indexed="81"/>
            <rFont val="Tahoma"/>
            <family val="2"/>
          </rPr>
          <t>4A11 : Journalisation et contrôle des journaux</t>
        </r>
      </text>
    </comment>
    <comment ref="K36" authorId="1" shapeId="0" xr:uid="{145BEB45-4455-42AE-8C5E-95F8E2959C24}">
      <text>
        <r>
          <rPr>
            <sz val="9"/>
            <color indexed="81"/>
            <rFont val="Tahoma"/>
            <family val="2"/>
          </rPr>
          <t>2B03 : Surveillance des locaux sensibles</t>
        </r>
      </text>
    </comment>
    <comment ref="K38" authorId="1" shapeId="0" xr:uid="{106635BB-07FB-4B62-8BB9-F393B0C4FFD1}">
      <text>
        <r>
          <rPr>
            <sz val="9"/>
            <color indexed="81"/>
            <rFont val="Tahoma"/>
            <family val="2"/>
          </rPr>
          <t>3A02 : Gestion des autorisations d'accès  (attribution, délégation, retrait)</t>
        </r>
      </text>
    </comment>
    <comment ref="N38" authorId="1" shapeId="0" xr:uid="{87822D55-7A51-4F43-B71C-472EAABE7DAA}">
      <text>
        <r>
          <rPr>
            <sz val="9"/>
            <color indexed="81"/>
            <rFont val="Tahoma"/>
            <family val="2"/>
          </rPr>
          <t>3A04 : Contrôle d'accès aux systèmes et applications</t>
        </r>
      </text>
    </comment>
    <comment ref="Q38" authorId="1" shapeId="0" xr:uid="{B6ACDE28-DE4D-4E0F-9499-A2B6A10DAD32}">
      <text>
        <r>
          <rPr>
            <sz val="9"/>
            <color indexed="81"/>
            <rFont val="Tahoma"/>
            <family val="2"/>
          </rPr>
          <t>3A06 : Gestion des autorisations d'accès privilégiés (droits d'administration)</t>
        </r>
      </text>
    </comment>
    <comment ref="T38" authorId="1" shapeId="0" xr:uid="{C0DCD702-6CD9-49EA-98DB-7EFB81E28FDC}">
      <text>
        <r>
          <rPr>
            <sz val="9"/>
            <color indexed="81"/>
            <rFont val="Tahoma"/>
            <family val="2"/>
          </rPr>
          <t>3A07 : Contrôle des accès privilégiés</t>
        </r>
      </text>
    </comment>
    <comment ref="K39" authorId="1" shapeId="0" xr:uid="{7534E031-9A88-49A8-B10A-92F44096F5BF}">
      <text>
        <r>
          <rPr>
            <sz val="9"/>
            <color indexed="81"/>
            <rFont val="Tahoma"/>
            <family val="2"/>
          </rPr>
          <t>5E01 : Garantie d'origine, signature, électronique</t>
        </r>
      </text>
    </comment>
    <comment ref="N39" authorId="1" shapeId="0" xr:uid="{1845B150-E117-4DA1-8270-A10FED161817}">
      <text>
        <r>
          <rPr>
            <sz val="9"/>
            <color indexed="81"/>
            <rFont val="Tahoma"/>
            <family val="2"/>
          </rPr>
          <t>5E02 : Individualisation des messages empêchant leur duplication (numérotation, séquencement,...)</t>
        </r>
      </text>
    </comment>
    <comment ref="Q39" authorId="1" shapeId="0" xr:uid="{492CD363-7D8E-4522-AC76-C0ADFA752871}">
      <text>
        <r>
          <rPr>
            <sz val="9"/>
            <color indexed="81"/>
            <rFont val="Tahoma"/>
            <family val="2"/>
          </rPr>
          <t>5E03 : Contrôle de la réception des messages sensibles</t>
        </r>
      </text>
    </comment>
    <comment ref="T39" authorId="1" shapeId="0" xr:uid="{41A7E7B6-4549-487B-92FC-13DBC8162149}">
      <text>
        <r>
          <rPr>
            <sz val="9"/>
            <color indexed="81"/>
            <rFont val="Tahoma"/>
            <family val="2"/>
          </rPr>
          <t>5E04 : Contrôle de la transmission des données</t>
        </r>
      </text>
    </comment>
    <comment ref="K40" authorId="1" shapeId="0" xr:uid="{2009370E-C5C3-44E8-B1E5-E8B6E80207D5}">
      <text>
        <r>
          <rPr>
            <sz val="9"/>
            <color indexed="81"/>
            <rFont val="Tahoma"/>
            <family val="2"/>
          </rPr>
          <t>4E01 : Gestion des supports amovibles</t>
        </r>
      </text>
    </comment>
    <comment ref="N40" authorId="1" shapeId="0" xr:uid="{46DB32F9-00D7-41B0-B0C3-1F4563517D44}">
      <text>
        <r>
          <rPr>
            <sz val="9"/>
            <color indexed="81"/>
            <rFont val="Tahoma"/>
            <family val="2"/>
          </rPr>
          <t>5C01 : Gestion des moyens d'accès aux fichiers de données ou de programme</t>
        </r>
      </text>
    </comment>
    <comment ref="Q40" authorId="1" shapeId="0" xr:uid="{1F222B8A-A022-42EE-912F-201C9EDB9248}">
      <text>
        <r>
          <rPr>
            <sz val="9"/>
            <color indexed="81"/>
            <rFont val="Tahoma"/>
            <family val="2"/>
          </rPr>
          <t>5D04 : Maintien des moyens nécessaires à la mise en opération des applications critiques</t>
        </r>
      </text>
    </comment>
    <comment ref="K41" authorId="1" shapeId="0" xr:uid="{91522CB2-BBD9-4C60-BC59-64BC0EFDC138}">
      <text>
        <r>
          <rPr>
            <sz val="9"/>
            <color indexed="81"/>
            <rFont val="Tahoma"/>
            <family val="2"/>
          </rPr>
          <t>2E01 : Conservation et protection des documents et supports amovibles importants</t>
        </r>
      </text>
    </comment>
    <comment ref="N41" authorId="1" shapeId="0" xr:uid="{3ED7A84E-FEF6-499D-A548-267803F26AE9}">
      <text>
        <r>
          <rPr>
            <sz val="9"/>
            <color indexed="81"/>
            <rFont val="Tahoma"/>
            <family val="2"/>
          </rPr>
          <t>2E02 : Ramassage des corbeilles à papier et destruction des documents</t>
        </r>
      </text>
    </comment>
    <comment ref="Q41" authorId="1" shapeId="0" xr:uid="{1BB559B3-96B5-4DFE-9ED5-ACEF86C26581}">
      <text>
        <r>
          <rPr>
            <sz val="9"/>
            <color indexed="81"/>
            <rFont val="Tahoma"/>
            <family val="2"/>
          </rPr>
          <t>6A02 : Travail en dehors des locaux de l'entreprise</t>
        </r>
      </text>
    </comment>
    <comment ref="K42" authorId="1" shapeId="0" xr:uid="{B5351775-364C-4828-B827-46C199B7B302}">
      <text>
        <r>
          <rPr>
            <sz val="9"/>
            <color indexed="81"/>
            <rFont val="Tahoma"/>
            <family val="2"/>
          </rPr>
          <t>1C06 : Protection contre l'hameçonnage (phishing) et abus de confiance</t>
        </r>
      </text>
    </comment>
    <comment ref="N42" authorId="1" shapeId="0" xr:uid="{A6AFD580-2A3C-4D88-91DC-E0931BDDC686}">
      <text>
        <r>
          <rPr>
            <sz val="9"/>
            <color indexed="81"/>
            <rFont val="Tahoma"/>
            <family val="2"/>
          </rPr>
          <t>4A02 : Protection contre les malwares</t>
        </r>
      </text>
    </comment>
    <comment ref="K43" authorId="1" shapeId="0" xr:uid="{558784AD-2BE6-4C54-A850-6F42C4D18DB8}">
      <text>
        <r>
          <rPr>
            <sz val="9"/>
            <color indexed="81"/>
            <rFont val="Tahoma"/>
            <family val="2"/>
          </rPr>
          <t>6A01 : Protection du poste de travail</t>
        </r>
      </text>
    </comment>
    <comment ref="K44" authorId="1" shapeId="0" xr:uid="{DFF6B590-CB5F-4A7D-B3BC-E08FD44D6780}">
      <text>
        <r>
          <rPr>
            <sz val="9"/>
            <color indexed="81"/>
            <rFont val="Tahoma"/>
            <family val="2"/>
          </rPr>
          <t>2D01 : Contrôle d'accès physique aux zones de bureaux sensibles</t>
        </r>
      </text>
    </comment>
    <comment ref="N44" authorId="1" shapeId="0" xr:uid="{E6D09299-100A-4334-B153-22BD7F56B994}">
      <text>
        <r>
          <rPr>
            <sz val="9"/>
            <color indexed="81"/>
            <rFont val="Tahoma"/>
            <family val="2"/>
          </rPr>
          <t>2D02 : Détection des intrusions dans les zones de bureaux protégées</t>
        </r>
      </text>
    </comment>
    <comment ref="Q44" authorId="1" shapeId="0" xr:uid="{C29773AD-64C1-43C8-88F2-92FF66B8DE14}">
      <text>
        <r>
          <rPr>
            <sz val="9"/>
            <color indexed="81"/>
            <rFont val="Tahoma"/>
            <family val="2"/>
          </rPr>
          <t>2D04 : Contrôle de la circulation des visiteurs et des prestataires occasionnels amenés à intervenir dans les bureaux</t>
        </r>
      </text>
    </comment>
    <comment ref="K45" authorId="1" shapeId="0" xr:uid="{67265DFC-AAD4-4087-865E-62D2FB4CF3EC}">
      <text>
        <r>
          <rPr>
            <sz val="9"/>
            <color indexed="81"/>
            <rFont val="Tahoma"/>
            <family val="2"/>
          </rPr>
          <t>4A03 : Sauvegardes des données et configurations</t>
        </r>
      </text>
    </comment>
    <comment ref="N45" authorId="1" shapeId="0" xr:uid="{64AB8FE7-9408-4B95-B6F6-F85C6D69160B}">
      <text>
        <r>
          <rPr>
            <sz val="9"/>
            <color indexed="81"/>
            <rFont val="Tahoma"/>
            <family val="2"/>
          </rPr>
          <t>6B04 : Sauvegarde des données utilisateurs stockées sur les postes de travail</t>
        </r>
      </text>
    </comment>
    <comment ref="Q45" authorId="1" shapeId="0" xr:uid="{AE9A4F3F-F8C4-4566-9097-283B00B0FD58}">
      <text>
        <r>
          <rPr>
            <sz val="9"/>
            <color indexed="81"/>
            <rFont val="Tahoma"/>
            <family val="2"/>
          </rPr>
          <t>6B06 : Sauvegarde des courriels émis ou reçus sur les serveurs de l'entreprise</t>
        </r>
      </text>
    </comment>
    <comment ref="T45" authorId="1" shapeId="0" xr:uid="{26E957A1-24FA-43E8-8A21-1FDCEA6E9063}">
      <text>
        <r>
          <rPr>
            <sz val="9"/>
            <color indexed="81"/>
            <rFont val="Tahoma"/>
            <family val="2"/>
          </rPr>
          <t>6B07 : Sauvegarde des configurations des postes de travail des utilisateurs</t>
        </r>
      </text>
    </comment>
    <comment ref="K46" authorId="1" shapeId="0" xr:uid="{BA2CB959-44F2-4932-A1C4-3C9583BF8826}">
      <text>
        <r>
          <rPr>
            <sz val="9"/>
            <color indexed="81"/>
            <rFont val="Tahoma"/>
            <family val="2"/>
          </rPr>
          <t>3A08 : Surveillance des actions effectuées avec des droits privilégiés</t>
        </r>
      </text>
    </comment>
    <comment ref="N46" authorId="1" shapeId="0" xr:uid="{8E850993-038A-4718-B081-06A9A6141CCE}">
      <text>
        <r>
          <rPr>
            <sz val="9"/>
            <color indexed="81"/>
            <rFont val="Tahoma"/>
            <family val="2"/>
          </rPr>
          <t>4A11 : Journalisation et contrôle des journaux</t>
        </r>
      </text>
    </comment>
    <comment ref="K47" authorId="1" shapeId="0" xr:uid="{C632619E-EA0B-40D3-B856-3B8C2517AB71}">
      <text>
        <r>
          <rPr>
            <sz val="9"/>
            <color indexed="81"/>
            <rFont val="Tahoma"/>
            <family val="2"/>
          </rPr>
          <t>2D03 : Surveillance des zones de bureaux protégées</t>
        </r>
      </text>
    </comment>
    <comment ref="K49" authorId="1" shapeId="0" xr:uid="{2D3BE6AE-9F66-49C6-9B90-2A9891A1679A}">
      <text>
        <r>
          <rPr>
            <sz val="9"/>
            <color indexed="81"/>
            <rFont val="Tahoma"/>
            <family val="2"/>
          </rPr>
          <t>3A02 : Gestion des autorisations d'accès  (attribution, délégation, retrait)</t>
        </r>
      </text>
    </comment>
    <comment ref="N49" authorId="1" shapeId="0" xr:uid="{95E8A392-C019-4A50-8E40-1D10A145DF30}">
      <text>
        <r>
          <rPr>
            <sz val="9"/>
            <color indexed="81"/>
            <rFont val="Tahoma"/>
            <family val="2"/>
          </rPr>
          <t>3A04 : Contrôle d'accès aux systèmes et applications</t>
        </r>
      </text>
    </comment>
    <comment ref="Q49" authorId="1" shapeId="0" xr:uid="{708B993F-1E6F-4F19-AA88-C20034DEF7E0}">
      <text>
        <r>
          <rPr>
            <sz val="9"/>
            <color indexed="81"/>
            <rFont val="Tahoma"/>
            <family val="2"/>
          </rPr>
          <t>3A06 : Gestion des autorisations d'accès privilégiés (droits d'administration)</t>
        </r>
      </text>
    </comment>
    <comment ref="T49" authorId="1" shapeId="0" xr:uid="{DE40D71B-7DFD-4E94-B55F-DA8636E0767C}">
      <text>
        <r>
          <rPr>
            <sz val="9"/>
            <color indexed="81"/>
            <rFont val="Tahoma"/>
            <family val="2"/>
          </rPr>
          <t>3A07 : Contrôle des accès privilégiés</t>
        </r>
      </text>
    </comment>
    <comment ref="K50" authorId="1" shapeId="0" xr:uid="{10A78D0A-6F0F-4178-9D85-FADCD61DB66E}">
      <text>
        <r>
          <rPr>
            <sz val="9"/>
            <color indexed="81"/>
            <rFont val="Tahoma"/>
            <family val="2"/>
          </rPr>
          <t>5E01 : Garantie d'origine, signature, électronique</t>
        </r>
      </text>
    </comment>
    <comment ref="N50" authorId="1" shapeId="0" xr:uid="{588E1CC9-EC62-41DD-BCF1-C66EB85B7D16}">
      <text>
        <r>
          <rPr>
            <sz val="9"/>
            <color indexed="81"/>
            <rFont val="Tahoma"/>
            <family val="2"/>
          </rPr>
          <t>5E02 : Individualisation des messages empêchant leur duplication (numérotation, séquencement,...)</t>
        </r>
      </text>
    </comment>
    <comment ref="Q50" authorId="1" shapeId="0" xr:uid="{0C790B1D-8752-4A3C-B52C-EB36FCC3F924}">
      <text>
        <r>
          <rPr>
            <sz val="9"/>
            <color indexed="81"/>
            <rFont val="Tahoma"/>
            <family val="2"/>
          </rPr>
          <t>5E03 : Contrôle de la réception des messages sensibles</t>
        </r>
      </text>
    </comment>
    <comment ref="T50" authorId="1" shapeId="0" xr:uid="{234BCEB5-FD47-49B9-BAD8-7B2837596651}">
      <text>
        <r>
          <rPr>
            <sz val="9"/>
            <color indexed="81"/>
            <rFont val="Tahoma"/>
            <family val="2"/>
          </rPr>
          <t>5E04 : Contrôle de la transmission des données</t>
        </r>
      </text>
    </comment>
    <comment ref="K51" authorId="1" shapeId="0" xr:uid="{D10BCA04-20B7-4F8B-8135-841DAEE550FC}">
      <text>
        <r>
          <rPr>
            <sz val="9"/>
            <color indexed="81"/>
            <rFont val="Tahoma"/>
            <family val="2"/>
          </rPr>
          <t>6B01 : Protection de la confidentialité des données contenues sur le poste de travail ou sur un serveur de données (disque logique pour le poste de travail)</t>
        </r>
      </text>
    </comment>
    <comment ref="K52" authorId="1" shapeId="0" xr:uid="{7A4B48D4-5A68-43EF-9FE8-589553A2FF10}">
      <text>
        <r>
          <rPr>
            <sz val="9"/>
            <color indexed="81"/>
            <rFont val="Tahoma"/>
            <family val="2"/>
          </rPr>
          <t xml:space="preserve">5B01 : Chiffrement des échanges de données applicatives </t>
        </r>
      </text>
    </comment>
    <comment ref="K53" authorId="1" shapeId="0" xr:uid="{03B1766A-FE5E-4488-B511-91B4439D049C}">
      <text>
        <r>
          <rPr>
            <sz val="9"/>
            <color indexed="81"/>
            <rFont val="Tahoma"/>
            <family val="2"/>
          </rPr>
          <t>6B02 : Protection de l'intégrité des fichiers contenus sur le poste de travail ou sur un serveur de données (disque logique pour le poste de travail)</t>
        </r>
      </text>
    </comment>
    <comment ref="K54" authorId="1" shapeId="0" xr:uid="{A19A50C2-81FA-4ABE-92BA-ADFC89AB9149}">
      <text>
        <r>
          <rPr>
            <sz val="9"/>
            <color indexed="81"/>
            <rFont val="Tahoma"/>
            <family val="2"/>
          </rPr>
          <t xml:space="preserve">5A01 : Protection de l'intégrité des données applicatives échangées </t>
        </r>
      </text>
    </comment>
    <comment ref="K55" authorId="1" shapeId="0" xr:uid="{BDABAC1B-2ECE-4AE6-B51C-520E4CDF7B3B}">
      <text>
        <r>
          <rPr>
            <sz val="9"/>
            <color indexed="81"/>
            <rFont val="Tahoma"/>
            <family val="2"/>
          </rPr>
          <t>6A01 : Protection du poste de travail</t>
        </r>
      </text>
    </comment>
    <comment ref="K56" authorId="1" shapeId="0" xr:uid="{510A00E7-44BC-419F-BD09-206A47262C60}">
      <text>
        <r>
          <rPr>
            <sz val="9"/>
            <color indexed="81"/>
            <rFont val="Tahoma"/>
            <family val="2"/>
          </rPr>
          <t>3A08 : Surveillance des actions effectuées avec des droits privilégiés</t>
        </r>
      </text>
    </comment>
    <comment ref="N56" authorId="1" shapeId="0" xr:uid="{A0C5FCC2-608F-42AE-8558-FD3C02FD4FC7}">
      <text>
        <r>
          <rPr>
            <sz val="9"/>
            <color indexed="81"/>
            <rFont val="Tahoma"/>
            <family val="2"/>
          </rPr>
          <t>4A11 : Journalisation et contrôle des journaux</t>
        </r>
      </text>
    </comment>
    <comment ref="K57" authorId="1" shapeId="0" xr:uid="{092F4720-2245-4A92-B4BC-075D8C80D0AD}">
      <text>
        <r>
          <rPr>
            <sz val="9"/>
            <color indexed="81"/>
            <rFont val="Tahoma"/>
            <family val="2"/>
          </rPr>
          <t>2D03 : Surveillance des zones de bureaux protégées</t>
        </r>
      </text>
    </comment>
    <comment ref="K59" authorId="1" shapeId="0" xr:uid="{1E829EDB-0BA7-49C9-8820-C0823F3ED429}">
      <text>
        <r>
          <rPr>
            <sz val="9"/>
            <color indexed="81"/>
            <rFont val="Tahoma"/>
            <family val="2"/>
          </rPr>
          <t>3A02 : Gestion des autorisations d'accès  (attribution, délégation, retrait)</t>
        </r>
      </text>
    </comment>
    <comment ref="N59" authorId="1" shapeId="0" xr:uid="{88A38045-8EC0-46CD-8D78-EBE3357B7552}">
      <text>
        <r>
          <rPr>
            <sz val="9"/>
            <color indexed="81"/>
            <rFont val="Tahoma"/>
            <family val="2"/>
          </rPr>
          <t>3A04 : Contrôle d'accès aux systèmes et applications</t>
        </r>
      </text>
    </comment>
    <comment ref="Q59" authorId="1" shapeId="0" xr:uid="{12894D53-6A06-4FAF-9748-92F97B503AC1}">
      <text>
        <r>
          <rPr>
            <sz val="9"/>
            <color indexed="81"/>
            <rFont val="Tahoma"/>
            <family val="2"/>
          </rPr>
          <t>3A06 : Gestion des autorisations d'accès privilégiés (droits d'administration)</t>
        </r>
      </text>
    </comment>
    <comment ref="T59" authorId="1" shapeId="0" xr:uid="{6FDDEE3C-35FC-4751-8C72-7E4B8FE4097E}">
      <text>
        <r>
          <rPr>
            <sz val="9"/>
            <color indexed="81"/>
            <rFont val="Tahoma"/>
            <family val="2"/>
          </rPr>
          <t>3A07 : Contrôle des accès privilégiés</t>
        </r>
      </text>
    </comment>
    <comment ref="K60" authorId="1" shapeId="0" xr:uid="{7C7A1697-510F-4B78-A89C-14B76AD2E0D5}">
      <text>
        <r>
          <rPr>
            <sz val="9"/>
            <color indexed="81"/>
            <rFont val="Tahoma"/>
            <family val="2"/>
          </rPr>
          <t>6B01 : Protection de la confidentialité des données contenues sur le poste de travail ou sur un serveur de données (disque logique pour le poste de travail)</t>
        </r>
      </text>
    </comment>
    <comment ref="K61" authorId="1" shapeId="0" xr:uid="{583D01E6-C5FE-4737-8C11-1D2BFB92B6C1}">
      <text>
        <r>
          <rPr>
            <sz val="9"/>
            <color indexed="81"/>
            <rFont val="Tahoma"/>
            <family val="2"/>
          </rPr>
          <t xml:space="preserve">5B01 : Chiffrement des échanges de données applicatives </t>
        </r>
      </text>
    </comment>
    <comment ref="K62" authorId="1" shapeId="0" xr:uid="{7911E31F-EDB4-4E60-9D29-6958D8962839}">
      <text>
        <r>
          <rPr>
            <sz val="9"/>
            <color indexed="81"/>
            <rFont val="Tahoma"/>
            <family val="2"/>
          </rPr>
          <t xml:space="preserve">4A09 : Contrôle des opérations de maintenance </t>
        </r>
      </text>
    </comment>
    <comment ref="N62" authorId="1" shapeId="0" xr:uid="{AB450157-8CAE-46E2-8DB1-49A4373612E3}">
      <text>
        <r>
          <rPr>
            <sz val="9"/>
            <color indexed="81"/>
            <rFont val="Tahoma"/>
            <family val="2"/>
          </rPr>
          <t xml:space="preserve">7B09 : Maintenance à chaud </t>
        </r>
      </text>
    </comment>
    <comment ref="K63" authorId="1" shapeId="0" xr:uid="{6A3ACF2C-275C-40BC-88E7-1B80E334F69B}">
      <text>
        <r>
          <rPr>
            <sz val="9"/>
            <color indexed="81"/>
            <rFont val="Tahoma"/>
            <family val="2"/>
          </rPr>
          <t>1C06 : Protection contre l'hameçonnage (phishing) et abus de confiance</t>
        </r>
      </text>
    </comment>
    <comment ref="N63" authorId="1" shapeId="0" xr:uid="{55B832CC-BB10-4333-8C09-CC278B6213BC}">
      <text>
        <r>
          <rPr>
            <sz val="9"/>
            <color indexed="81"/>
            <rFont val="Tahoma"/>
            <family val="2"/>
          </rPr>
          <t>4A02 : Protection contre les malwares</t>
        </r>
      </text>
    </comment>
    <comment ref="K64" authorId="1" shapeId="0" xr:uid="{0B70C79A-E090-4BF9-93D9-93BC0BCCDFA5}">
      <text>
        <r>
          <rPr>
            <sz val="9"/>
            <color indexed="81"/>
            <rFont val="Tahoma"/>
            <family val="2"/>
          </rPr>
          <t>6A01 : Protection du poste de travail</t>
        </r>
      </text>
    </comment>
    <comment ref="K65" authorId="1" shapeId="0" xr:uid="{D460DB6F-39A2-42BD-B69A-533796C92293}">
      <text>
        <r>
          <rPr>
            <sz val="9"/>
            <color indexed="81"/>
            <rFont val="Tahoma"/>
            <family val="2"/>
          </rPr>
          <t>6C02 : Dispositifs de sécurité relatifs aux appareils mobiles personnels</t>
        </r>
      </text>
    </comment>
    <comment ref="K66" authorId="1" shapeId="0" xr:uid="{B8F0BB6F-2F6C-46F1-90DB-53DCB264B0FF}">
      <text>
        <r>
          <rPr>
            <sz val="9"/>
            <color indexed="81"/>
            <rFont val="Tahoma"/>
            <family val="2"/>
          </rPr>
          <t>2D01 : Contrôle d'accès physique aux zones de bureaux sensibles</t>
        </r>
      </text>
    </comment>
    <comment ref="N66" authorId="1" shapeId="0" xr:uid="{A84B4B38-C90F-4E2E-B110-2AAB7D7855A9}">
      <text>
        <r>
          <rPr>
            <sz val="9"/>
            <color indexed="81"/>
            <rFont val="Tahoma"/>
            <family val="2"/>
          </rPr>
          <t>2D02 : Détection des intrusions dans les zones de bureaux protégées</t>
        </r>
      </text>
    </comment>
    <comment ref="Q66" authorId="1" shapeId="0" xr:uid="{12CC2510-ADC1-461F-B10A-2DF55F38284C}">
      <text>
        <r>
          <rPr>
            <sz val="9"/>
            <color indexed="81"/>
            <rFont val="Tahoma"/>
            <family val="2"/>
          </rPr>
          <t>2D04 : Contrôle de la circulation des visiteurs et des prestataires occasionnels amenés à intervenir dans les bureaux</t>
        </r>
      </text>
    </comment>
    <comment ref="K67" authorId="1" shapeId="0" xr:uid="{7C085245-AD32-4509-9035-F7064C71DB33}">
      <text>
        <r>
          <rPr>
            <sz val="9"/>
            <color indexed="81"/>
            <rFont val="Tahoma"/>
            <family val="2"/>
          </rPr>
          <t>4E03 : Sécurité des médias réaffectés ou mis au rebut</t>
        </r>
      </text>
    </comment>
    <comment ref="K68" authorId="1" shapeId="0" xr:uid="{FCAB56A8-0F4E-40D9-B679-3BE8A2AF7933}">
      <text>
        <r>
          <rPr>
            <sz val="9"/>
            <color indexed="81"/>
            <rFont val="Tahoma"/>
            <family val="2"/>
          </rPr>
          <t>3A08 : Surveillance des actions effectuées avec des droits privilégiés</t>
        </r>
      </text>
    </comment>
    <comment ref="N68" authorId="1" shapeId="0" xr:uid="{4F498501-0FB3-4A87-9A00-96039BD57DB9}">
      <text>
        <r>
          <rPr>
            <sz val="9"/>
            <color indexed="81"/>
            <rFont val="Tahoma"/>
            <family val="2"/>
          </rPr>
          <t>4A11 : Journalisation et contrôle des journaux</t>
        </r>
      </text>
    </comment>
    <comment ref="K69" authorId="1" shapeId="0" xr:uid="{D4C3C249-BA1A-4DC9-AD85-97BEC64FAB83}">
      <text>
        <r>
          <rPr>
            <sz val="9"/>
            <color indexed="81"/>
            <rFont val="Tahoma"/>
            <family val="2"/>
          </rPr>
          <t>2D03 : Surveillance des zones de bureaux protégées</t>
        </r>
      </text>
    </comment>
    <comment ref="K71" authorId="1" shapeId="0" xr:uid="{6C19BD2F-F439-404C-A71B-38C180D8B956}">
      <text>
        <r>
          <rPr>
            <sz val="9"/>
            <color indexed="81"/>
            <rFont val="Tahoma"/>
            <family val="2"/>
          </rPr>
          <t>2E01 : Conservation et protection des documents et supports amovibles importants</t>
        </r>
      </text>
    </comment>
    <comment ref="N71" authorId="1" shapeId="0" xr:uid="{5D2AB4F6-7B5C-4D13-A55B-8D7BB01142DE}">
      <text>
        <r>
          <rPr>
            <sz val="9"/>
            <color indexed="81"/>
            <rFont val="Tahoma"/>
            <family val="2"/>
          </rPr>
          <t>2E02 : Ramassage des corbeilles à papier et destruction des documents</t>
        </r>
      </text>
    </comment>
    <comment ref="Q71" authorId="1" shapeId="0" xr:uid="{30B01914-D044-4DAB-9A15-A7E89530775F}">
      <text>
        <r>
          <rPr>
            <sz val="9"/>
            <color indexed="81"/>
            <rFont val="Tahoma"/>
            <family val="2"/>
          </rPr>
          <t>6A02 : Travail en dehors des locaux de l'entreprise</t>
        </r>
      </text>
    </comment>
    <comment ref="K72" authorId="1" shapeId="0" xr:uid="{349C76E0-9A9A-4078-AE42-FD5496F528BD}">
      <text>
        <r>
          <rPr>
            <sz val="9"/>
            <color indexed="81"/>
            <rFont val="Tahoma"/>
            <family val="2"/>
          </rPr>
          <t>6B05 : Protection des impressions sur imprimantes partagées</t>
        </r>
      </text>
    </comment>
    <comment ref="K73" authorId="1" shapeId="0" xr:uid="{84C33723-45D5-43EC-A0D2-641C2D23AC8C}">
      <text>
        <r>
          <rPr>
            <sz val="9"/>
            <color indexed="81"/>
            <rFont val="Tahoma"/>
            <family val="2"/>
          </rPr>
          <t>2D01 : Contrôle d'accès physique aux zones de bureaux sensibles</t>
        </r>
      </text>
    </comment>
    <comment ref="N73" authorId="1" shapeId="0" xr:uid="{31724A27-BFEB-4C76-B43E-C11D92C12D63}">
      <text>
        <r>
          <rPr>
            <sz val="9"/>
            <color indexed="81"/>
            <rFont val="Tahoma"/>
            <family val="2"/>
          </rPr>
          <t>2D02 : Détection des intrusions dans les zones de bureaux protégées</t>
        </r>
      </text>
    </comment>
    <comment ref="Q73" authorId="1" shapeId="0" xr:uid="{E69AA511-B2C7-4011-BD9F-517BE82B11EA}">
      <text>
        <r>
          <rPr>
            <sz val="9"/>
            <color indexed="81"/>
            <rFont val="Tahoma"/>
            <family val="2"/>
          </rPr>
          <t>2D04 : Contrôle de la circulation des visiteurs et des prestataires occasionnels amenés à intervenir dans les bureaux</t>
        </r>
      </text>
    </comment>
    <comment ref="K74" authorId="1" shapeId="0" xr:uid="{7C937D95-3607-4759-954C-750F441C064A}">
      <text>
        <r>
          <rPr>
            <sz val="9"/>
            <color indexed="81"/>
            <rFont val="Tahoma"/>
            <family val="2"/>
          </rPr>
          <t>2D03 : Surveillance des zones de bureaux protégées</t>
        </r>
      </text>
    </comment>
    <comment ref="K76" authorId="1" shapeId="0" xr:uid="{675FA53A-C216-4B88-8681-B398422193FD}">
      <text>
        <r>
          <rPr>
            <sz val="9"/>
            <color indexed="81"/>
            <rFont val="Tahoma"/>
            <family val="2"/>
          </rPr>
          <t>2E01 : Conservation et protection des documents et supports amovibles importants</t>
        </r>
      </text>
    </comment>
    <comment ref="N76" authorId="1" shapeId="0" xr:uid="{282A014B-7859-401A-A0B9-9A4D8C08F0C1}">
      <text>
        <r>
          <rPr>
            <sz val="9"/>
            <color indexed="81"/>
            <rFont val="Tahoma"/>
            <family val="2"/>
          </rPr>
          <t>2E02 : Ramassage des corbeilles à papier et destruction des documents</t>
        </r>
      </text>
    </comment>
    <comment ref="Q76" authorId="1" shapeId="0" xr:uid="{1E93E66E-4EFB-49EA-909F-5F209CF163D9}">
      <text>
        <r>
          <rPr>
            <sz val="9"/>
            <color indexed="81"/>
            <rFont val="Tahoma"/>
            <family val="2"/>
          </rPr>
          <t>6A02 : Travail en dehors des locaux de l'entreprise</t>
        </r>
      </text>
    </comment>
    <comment ref="K77" authorId="1" shapeId="0" xr:uid="{F490FD0C-1765-4B2A-8D86-392F577DF2B2}">
      <text>
        <r>
          <rPr>
            <sz val="9"/>
            <color indexed="81"/>
            <rFont val="Tahoma"/>
            <family val="2"/>
          </rPr>
          <t>2D01 : Contrôle d'accès physique aux zones de bureaux sensibles</t>
        </r>
      </text>
    </comment>
    <comment ref="N77" authorId="1" shapeId="0" xr:uid="{3A659F81-EA31-470E-AFD2-5FA1C8A62066}">
      <text>
        <r>
          <rPr>
            <sz val="9"/>
            <color indexed="81"/>
            <rFont val="Tahoma"/>
            <family val="2"/>
          </rPr>
          <t>2D02 : Détection des intrusions dans les zones de bureaux protégées</t>
        </r>
      </text>
    </comment>
    <comment ref="Q77" authorId="1" shapeId="0" xr:uid="{85B63198-E3AD-409D-BF52-E2AB6CC62152}">
      <text>
        <r>
          <rPr>
            <sz val="9"/>
            <color indexed="81"/>
            <rFont val="Tahoma"/>
            <family val="2"/>
          </rPr>
          <t>2D04 : Contrôle de la circulation des visiteurs et des prestataires occasionnels amenés à intervenir dans les bureaux</t>
        </r>
      </text>
    </comment>
    <comment ref="K78" authorId="1" shapeId="0" xr:uid="{577FBED1-371B-4952-9A7E-FCEFE3D58EE3}">
      <text>
        <r>
          <rPr>
            <sz val="9"/>
            <color indexed="81"/>
            <rFont val="Tahoma"/>
            <family val="2"/>
          </rPr>
          <t>2D03 : Surveillance des zones de bureaux protégées</t>
        </r>
      </text>
    </comment>
    <comment ref="K81" authorId="1" shapeId="0" xr:uid="{7A746C3F-C69E-442A-A9A8-1DB81000CD22}">
      <text>
        <r>
          <rPr>
            <sz val="9"/>
            <color indexed="81"/>
            <rFont val="Tahoma"/>
            <family val="2"/>
          </rPr>
          <t>2E01 : Conservation et protection des documents et supports amovibles importants</t>
        </r>
      </text>
    </comment>
    <comment ref="N81" authorId="1" shapeId="0" xr:uid="{30A5DC58-7095-4BF4-90BE-DC2FD11E4108}">
      <text>
        <r>
          <rPr>
            <sz val="9"/>
            <color indexed="81"/>
            <rFont val="Tahoma"/>
            <family val="2"/>
          </rPr>
          <t>2E02 : Ramassage des corbeilles à papier et destruction des documents</t>
        </r>
      </text>
    </comment>
    <comment ref="Q81" authorId="1" shapeId="0" xr:uid="{89D69451-08AF-4213-986F-6AFB48AAA96E}">
      <text>
        <r>
          <rPr>
            <sz val="9"/>
            <color indexed="81"/>
            <rFont val="Tahoma"/>
            <family val="2"/>
          </rPr>
          <t>6A02 : Travail en dehors des locaux de l'entreprise</t>
        </r>
      </text>
    </comment>
    <comment ref="K82" authorId="1" shapeId="0" xr:uid="{3A847C79-9D32-4984-8535-A1B41DE96F86}">
      <text>
        <r>
          <rPr>
            <sz val="9"/>
            <color indexed="81"/>
            <rFont val="Tahoma"/>
            <family val="2"/>
          </rPr>
          <t>6B05 : Protection des impressions sur imprimantes partagées</t>
        </r>
      </text>
    </comment>
    <comment ref="K83" authorId="1" shapeId="0" xr:uid="{AEBECB9A-266D-41DB-B59B-D8FB273F3772}">
      <text>
        <r>
          <rPr>
            <sz val="9"/>
            <color indexed="81"/>
            <rFont val="Tahoma"/>
            <family val="2"/>
          </rPr>
          <t>2D01 : Contrôle d'accès physique aux zones de bureaux sensibles</t>
        </r>
      </text>
    </comment>
    <comment ref="N83" authorId="1" shapeId="0" xr:uid="{8ABBCAAF-4E23-4C4A-A926-6E7D7041F020}">
      <text>
        <r>
          <rPr>
            <sz val="9"/>
            <color indexed="81"/>
            <rFont val="Tahoma"/>
            <family val="2"/>
          </rPr>
          <t>2D02 : Détection des intrusions dans les zones de bureaux protégées</t>
        </r>
      </text>
    </comment>
    <comment ref="Q83" authorId="1" shapeId="0" xr:uid="{B794EB56-ED72-47AB-82B2-8A6213394174}">
      <text>
        <r>
          <rPr>
            <sz val="9"/>
            <color indexed="81"/>
            <rFont val="Tahoma"/>
            <family val="2"/>
          </rPr>
          <t>2D04 : Contrôle de la circulation des visiteurs et des prestataires occasionnels amenés à intervenir dans les bureaux</t>
        </r>
      </text>
    </comment>
    <comment ref="K84" authorId="1" shapeId="0" xr:uid="{F8487098-FCE7-43B5-BDBE-97B0569B25A0}">
      <text>
        <r>
          <rPr>
            <sz val="9"/>
            <color indexed="81"/>
            <rFont val="Tahoma"/>
            <family val="2"/>
          </rPr>
          <t>2D03 : Surveillance des zones de bureaux protégées</t>
        </r>
      </text>
    </comment>
    <comment ref="K86" authorId="1" shapeId="0" xr:uid="{CB0BB8CB-BD77-418F-BCCE-C04F34BE1DF8}">
      <text>
        <r>
          <rPr>
            <sz val="9"/>
            <color indexed="81"/>
            <rFont val="Tahoma"/>
            <family val="2"/>
          </rPr>
          <t>2B01 : Contrôle des accès aux locaux sensibles</t>
        </r>
      </text>
    </comment>
    <comment ref="N86" authorId="1" shapeId="0" xr:uid="{B510CC73-E386-4514-9301-75883A7FADD0}">
      <text>
        <r>
          <rPr>
            <sz val="9"/>
            <color indexed="81"/>
            <rFont val="Tahoma"/>
            <family val="2"/>
          </rPr>
          <t xml:space="preserve">2B02 : Détection des intrusions dans les locaux sensibles </t>
        </r>
      </text>
    </comment>
    <comment ref="K87" authorId="1" shapeId="0" xr:uid="{1317440A-E60A-4D5B-BFFD-322ED0DE8C2D}">
      <text>
        <r>
          <rPr>
            <sz val="9"/>
            <color indexed="81"/>
            <rFont val="Tahoma"/>
            <family val="2"/>
          </rPr>
          <t>2E05 : Sécurité du courrier postal</t>
        </r>
      </text>
    </comment>
    <comment ref="K88" authorId="1" shapeId="0" xr:uid="{0AA4423D-0FE2-4108-981A-10F23C58F120}">
      <text>
        <r>
          <rPr>
            <sz val="9"/>
            <color indexed="81"/>
            <rFont val="Tahoma"/>
            <family val="2"/>
          </rPr>
          <t>6A03 : Plan de continuité de la messagerie électronique</t>
        </r>
      </text>
    </comment>
    <comment ref="N88" authorId="1" shapeId="0" xr:uid="{2534DD2C-A3D5-44FB-871B-5CCBB3F90F60}">
      <text>
        <r>
          <rPr>
            <sz val="9"/>
            <color indexed="81"/>
            <rFont val="Tahoma"/>
            <family val="2"/>
          </rPr>
          <t>6B03 : Sécurité de la messagerie électronique (courriels) et des échanges électroniques d'information</t>
        </r>
      </text>
    </comment>
    <comment ref="K89" authorId="1" shapeId="0" xr:uid="{35C5F633-625E-4F97-93AD-9E45A033DB6A}">
      <text>
        <r>
          <rPr>
            <sz val="9"/>
            <color indexed="81"/>
            <rFont val="Tahoma"/>
            <family val="2"/>
          </rPr>
          <t>2B03 : Surveillance des locaux sensibles</t>
        </r>
      </text>
    </comment>
    <comment ref="K91" authorId="1" shapeId="0" xr:uid="{2F8AA52F-A53A-4B4E-B5C1-85CEADBED30B}">
      <text>
        <r>
          <rPr>
            <sz val="9"/>
            <color indexed="81"/>
            <rFont val="Tahoma"/>
            <family val="2"/>
          </rPr>
          <t>6A03 : Plan de continuité de la messagerie électronique</t>
        </r>
      </text>
    </comment>
    <comment ref="N91" authorId="1" shapeId="0" xr:uid="{048BF7CF-F690-4F56-BF6A-A5BE278CB8BD}">
      <text>
        <r>
          <rPr>
            <sz val="9"/>
            <color indexed="81"/>
            <rFont val="Tahoma"/>
            <family val="2"/>
          </rPr>
          <t>6B03 : Sécurité de la messagerie électronique (courriels) et des échanges électroniques d'information</t>
        </r>
      </text>
    </comment>
    <comment ref="K92" authorId="1" shapeId="0" xr:uid="{D454DCD3-E61A-46A2-86B9-1BBCB1BBFC15}">
      <text>
        <r>
          <rPr>
            <sz val="9"/>
            <color indexed="81"/>
            <rFont val="Tahoma"/>
            <family val="2"/>
          </rPr>
          <t>1C06 : Protection contre l'hameçonnage (phishing) et abus de confiance</t>
        </r>
      </text>
    </comment>
    <comment ref="N92" authorId="1" shapeId="0" xr:uid="{EE2313A6-897E-4B30-A678-245AD3B144D2}">
      <text>
        <r>
          <rPr>
            <sz val="9"/>
            <color indexed="81"/>
            <rFont val="Tahoma"/>
            <family val="2"/>
          </rPr>
          <t>4A02 : Protection contre les malwares</t>
        </r>
      </text>
    </comment>
    <comment ref="K96" authorId="1" shapeId="0" xr:uid="{6B741106-B3C7-440A-8138-356185B0C106}">
      <text>
        <r>
          <rPr>
            <sz val="9"/>
            <color indexed="81"/>
            <rFont val="Tahoma"/>
            <family val="2"/>
          </rPr>
          <t>2E05 : Sécurité du courrier postal</t>
        </r>
      </text>
    </comment>
    <comment ref="K97" authorId="1" shapeId="0" xr:uid="{4B9C3CD2-45C7-4732-8E80-5C993A78375E}">
      <text>
        <r>
          <rPr>
            <sz val="9"/>
            <color indexed="81"/>
            <rFont val="Tahoma"/>
            <family val="2"/>
          </rPr>
          <t>6A03 : Plan de continuité de la messagerie électronique</t>
        </r>
      </text>
    </comment>
    <comment ref="N97" authorId="1" shapeId="0" xr:uid="{72881C83-0040-490C-B63B-CE86085FB943}">
      <text>
        <r>
          <rPr>
            <sz val="9"/>
            <color indexed="81"/>
            <rFont val="Tahoma"/>
            <family val="2"/>
          </rPr>
          <t>6B03 : Sécurité de la messagerie électronique (courriels) et des échanges électroniques d'information</t>
        </r>
      </text>
    </comment>
    <comment ref="K101" authorId="1" shapeId="0" xr:uid="{4F766BA5-007E-4F10-976A-F460C35A9926}">
      <text>
        <r>
          <rPr>
            <sz val="9"/>
            <color indexed="81"/>
            <rFont val="Tahoma"/>
            <family val="2"/>
          </rPr>
          <t>2E04 : Gestion des archives documentaires</t>
        </r>
      </text>
    </comment>
    <comment ref="N101" authorId="1" shapeId="0" xr:uid="{0F6F6BB2-A0E7-4507-B1D1-E947EA2F6858}">
      <text>
        <r>
          <rPr>
            <sz val="9"/>
            <color indexed="81"/>
            <rFont val="Tahoma"/>
            <family val="2"/>
          </rPr>
          <t>4F01 : Organisation de la gestion des archives informatiques</t>
        </r>
      </text>
    </comment>
    <comment ref="Q101" authorId="1" shapeId="0" xr:uid="{F86B8A84-4974-48B2-A053-A59B4D08B918}">
      <text>
        <r>
          <rPr>
            <sz val="9"/>
            <color indexed="81"/>
            <rFont val="Tahoma"/>
            <family val="2"/>
          </rPr>
          <t>4F02 : Gestion des accès aux archives</t>
        </r>
      </text>
    </comment>
    <comment ref="T101" authorId="1" shapeId="0" xr:uid="{295B4A05-9422-4F15-8F2A-40EAD1861B0D}">
      <text>
        <r>
          <rPr>
            <sz val="9"/>
            <color indexed="81"/>
            <rFont val="Tahoma"/>
            <family val="2"/>
          </rPr>
          <t>4F03 : Sécurité des archives</t>
        </r>
      </text>
    </comment>
    <comment ref="K102" authorId="1" shapeId="0" xr:uid="{28EB8F96-08D6-47B8-9A79-5EC7BC3B61F7}">
      <text>
        <r>
          <rPr>
            <sz val="9"/>
            <color indexed="81"/>
            <rFont val="Tahoma"/>
            <family val="2"/>
          </rPr>
          <t>3A08 : Surveillance des actions effectuées avec des droits privilégiés</t>
        </r>
      </text>
    </comment>
    <comment ref="N102" authorId="1" shapeId="0" xr:uid="{6ECE12D5-160F-48DE-A6A4-61DD54BDF03A}">
      <text>
        <r>
          <rPr>
            <sz val="9"/>
            <color indexed="81"/>
            <rFont val="Tahoma"/>
            <family val="2"/>
          </rPr>
          <t>4A11 : Journalisation et contrôle des journaux</t>
        </r>
      </text>
    </comment>
    <comment ref="K106" authorId="1" shapeId="0" xr:uid="{DAF89652-A245-4DAD-9E19-E2858CC75645}">
      <text>
        <r>
          <rPr>
            <sz val="9"/>
            <color indexed="81"/>
            <rFont val="Tahoma"/>
            <family val="2"/>
          </rPr>
          <t>5B02 : Chiffrement des données applicatives stockées</t>
        </r>
      </text>
    </comment>
    <comment ref="K107" authorId="1" shapeId="0" xr:uid="{853A6701-590B-4D7F-86E5-4B5290A75985}">
      <text>
        <r>
          <rPr>
            <sz val="9"/>
            <color indexed="81"/>
            <rFont val="Tahoma"/>
            <family val="2"/>
          </rPr>
          <t>2E04 : Gestion des archives documentaires</t>
        </r>
      </text>
    </comment>
    <comment ref="N107" authorId="1" shapeId="0" xr:uid="{F49B6357-0D2D-4AC7-8103-60DC9B83286A}">
      <text>
        <r>
          <rPr>
            <sz val="9"/>
            <color indexed="81"/>
            <rFont val="Tahoma"/>
            <family val="2"/>
          </rPr>
          <t>4F01 : Organisation de la gestion des archives informatiques</t>
        </r>
      </text>
    </comment>
    <comment ref="Q107" authorId="1" shapeId="0" xr:uid="{0817038E-9D7F-492A-8102-9F11FF984946}">
      <text>
        <r>
          <rPr>
            <sz val="9"/>
            <color indexed="81"/>
            <rFont val="Tahoma"/>
            <family val="2"/>
          </rPr>
          <t>4F02 : Gestion des accès aux archives</t>
        </r>
      </text>
    </comment>
    <comment ref="T107" authorId="1" shapeId="0" xr:uid="{595AA167-F12A-4131-88DE-14531BC951DC}">
      <text>
        <r>
          <rPr>
            <sz val="9"/>
            <color indexed="81"/>
            <rFont val="Tahoma"/>
            <family val="2"/>
          </rPr>
          <t>4F03 : Sécurité des archives</t>
        </r>
      </text>
    </comment>
    <comment ref="K108" authorId="1" shapeId="0" xr:uid="{8389704A-BA42-4641-8C11-8E2E41C755F0}">
      <text>
        <r>
          <rPr>
            <sz val="9"/>
            <color indexed="81"/>
            <rFont val="Tahoma"/>
            <family val="2"/>
          </rPr>
          <t>3A08 : Surveillance des actions effectuées avec des droits privilégiés</t>
        </r>
      </text>
    </comment>
    <comment ref="N108" authorId="1" shapeId="0" xr:uid="{E9B8327B-C22D-49F0-81F7-CEE608372E34}">
      <text>
        <r>
          <rPr>
            <sz val="9"/>
            <color indexed="81"/>
            <rFont val="Tahoma"/>
            <family val="2"/>
          </rPr>
          <t>4A11 : Journalisation et contrôle des journaux</t>
        </r>
      </text>
    </comment>
    <comment ref="K111" authorId="1" shapeId="0" xr:uid="{A9B28DE5-A6A0-44A6-9769-F1FBE90D5A14}">
      <text>
        <r>
          <rPr>
            <sz val="9"/>
            <color indexed="81"/>
            <rFont val="Tahoma"/>
            <family val="2"/>
          </rPr>
          <t>4A03 : Sauvegardes des données et configurations</t>
        </r>
      </text>
    </comment>
    <comment ref="N111" authorId="1" shapeId="0" xr:uid="{85CE6941-31F1-4509-9D76-C5D6CCA38A92}">
      <text>
        <r>
          <rPr>
            <sz val="9"/>
            <color indexed="81"/>
            <rFont val="Tahoma"/>
            <family val="2"/>
          </rPr>
          <t>6B04 : Sauvegarde des données utilisateurs stockées sur les postes de travail</t>
        </r>
      </text>
    </comment>
    <comment ref="Q111" authorId="1" shapeId="0" xr:uid="{C7E7C8D6-9D20-4D7A-AE3B-D11DC93CAC11}">
      <text>
        <r>
          <rPr>
            <sz val="9"/>
            <color indexed="81"/>
            <rFont val="Tahoma"/>
            <family val="2"/>
          </rPr>
          <t>6B06 : Sauvegarde des courriels émis ou reçus sur les serveurs de l'entreprise</t>
        </r>
      </text>
    </comment>
    <comment ref="T111" authorId="1" shapeId="0" xr:uid="{85A33C19-EF1C-49A6-AD83-814BB85D0636}">
      <text>
        <r>
          <rPr>
            <sz val="9"/>
            <color indexed="81"/>
            <rFont val="Tahoma"/>
            <family val="2"/>
          </rPr>
          <t>6B07 : Sauvegarde des configurations des postes de travail des utilisateurs</t>
        </r>
      </text>
    </comment>
    <comment ref="K112" authorId="1" shapeId="0" xr:uid="{79B5DCD1-CFDF-4145-978F-4AC355151D44}">
      <text>
        <r>
          <rPr>
            <sz val="9"/>
            <color indexed="81"/>
            <rFont val="Tahoma"/>
            <family val="2"/>
          </rPr>
          <t>5A05 : Surveillance des informations publiées sur un site web ou interne</t>
        </r>
      </text>
    </comment>
    <comment ref="K116" authorId="1" shapeId="0" xr:uid="{23DD9F72-6EC4-4594-8991-12ACFA463491}">
      <text>
        <r>
          <rPr>
            <sz val="9"/>
            <color indexed="81"/>
            <rFont val="Tahoma"/>
            <family val="2"/>
          </rPr>
          <t>3A02 : Gestion des autorisations d'accès  (attribution, délégation, retrait)</t>
        </r>
      </text>
    </comment>
    <comment ref="N116" authorId="1" shapeId="0" xr:uid="{3FE38CBD-7630-4334-AA88-81AF3081135F}">
      <text>
        <r>
          <rPr>
            <sz val="9"/>
            <color indexed="81"/>
            <rFont val="Tahoma"/>
            <family val="2"/>
          </rPr>
          <t>3A04 : Contrôle d'accès aux systèmes et applications</t>
        </r>
      </text>
    </comment>
    <comment ref="Q116" authorId="1" shapeId="0" xr:uid="{9E6AD136-DCFB-49C7-9824-C2AFDD367FB3}">
      <text>
        <r>
          <rPr>
            <sz val="9"/>
            <color indexed="81"/>
            <rFont val="Tahoma"/>
            <family val="2"/>
          </rPr>
          <t>3A06 : Gestion des autorisations d'accès privilégiés (droits d'administration)</t>
        </r>
      </text>
    </comment>
    <comment ref="T116" authorId="1" shapeId="0" xr:uid="{D9669669-74F3-48FD-BD2B-8484EA736BCB}">
      <text>
        <r>
          <rPr>
            <sz val="9"/>
            <color indexed="81"/>
            <rFont val="Tahoma"/>
            <family val="2"/>
          </rPr>
          <t>3A07 : Contrôle des accès privilégiés</t>
        </r>
      </text>
    </comment>
    <comment ref="K117" authorId="1" shapeId="0" xr:uid="{6A7B0E1A-2848-4C71-BA9D-55DE8FA4E5A3}">
      <text>
        <r>
          <rPr>
            <sz val="9"/>
            <color indexed="81"/>
            <rFont val="Tahoma"/>
            <family val="2"/>
          </rPr>
          <t>3A08 : Surveillance des actions effectuées avec des droits privilégiés</t>
        </r>
      </text>
    </comment>
    <comment ref="N117" authorId="1" shapeId="0" xr:uid="{3F3159AF-32E3-4565-A58B-D749A1520CCB}">
      <text>
        <r>
          <rPr>
            <sz val="9"/>
            <color indexed="81"/>
            <rFont val="Tahoma"/>
            <family val="2"/>
          </rPr>
          <t>4A11 : Journalisation et contrôle des journaux</t>
        </r>
      </text>
    </comment>
    <comment ref="K118" authorId="1" shapeId="0" xr:uid="{98B00E14-91ED-45FE-8051-341A68FE95F1}">
      <text>
        <r>
          <rPr>
            <sz val="9"/>
            <color indexed="81"/>
            <rFont val="Tahoma"/>
            <family val="2"/>
          </rPr>
          <t>5A05 : Surveillance des informations publiées sur un site web ou interne</t>
        </r>
      </text>
    </comment>
    <comment ref="K121" authorId="1" shapeId="0" xr:uid="{C27AC4B0-1BFC-415B-9070-40A6A62DDEC0}">
      <text>
        <r>
          <rPr>
            <sz val="9"/>
            <color indexed="81"/>
            <rFont val="Tahoma"/>
            <family val="2"/>
          </rPr>
          <t>3A09 : Contrôle d'accès aux systèmes et services externalisés</t>
        </r>
      </text>
    </comment>
    <comment ref="K122" authorId="1" shapeId="0" xr:uid="{2AEF9B62-6C05-47F5-8167-7BF3DFF69984}">
      <text>
        <r>
          <rPr>
            <sz val="9"/>
            <color indexed="81"/>
            <rFont val="Tahoma"/>
            <family val="2"/>
          </rPr>
          <t>5E01 : Garantie d'origine, signature, électronique</t>
        </r>
      </text>
    </comment>
    <comment ref="N122" authorId="1" shapeId="0" xr:uid="{58513912-AFB2-41EF-A572-AEFE30B57ED4}">
      <text>
        <r>
          <rPr>
            <sz val="9"/>
            <color indexed="81"/>
            <rFont val="Tahoma"/>
            <family val="2"/>
          </rPr>
          <t>5E02 : Individualisation des messages empêchant leur duplication (numérotation, séquencement,...)</t>
        </r>
      </text>
    </comment>
    <comment ref="Q122" authorId="1" shapeId="0" xr:uid="{CEED0F68-2ADD-45F6-A38E-DB57C30381B4}">
      <text>
        <r>
          <rPr>
            <sz val="9"/>
            <color indexed="81"/>
            <rFont val="Tahoma"/>
            <family val="2"/>
          </rPr>
          <t>5E03 : Contrôle de la réception des messages sensibles</t>
        </r>
      </text>
    </comment>
    <comment ref="T122" authorId="1" shapeId="0" xr:uid="{2EB8946C-317B-46DB-8994-E44B5A4A8400}">
      <text>
        <r>
          <rPr>
            <sz val="9"/>
            <color indexed="81"/>
            <rFont val="Tahoma"/>
            <family val="2"/>
          </rPr>
          <t>5E04 : Contrôle de la transmission des données</t>
        </r>
      </text>
    </comment>
    <comment ref="K123" authorId="1" shapeId="0" xr:uid="{9656E57D-490C-415A-8C2B-67E4E0095005}">
      <text>
        <r>
          <rPr>
            <sz val="9"/>
            <color indexed="81"/>
            <rFont val="Tahoma"/>
            <family val="2"/>
          </rPr>
          <t>3C01 : Sûreté de fonctionnement des éléments d'architecture des services externalisés</t>
        </r>
      </text>
    </comment>
    <comment ref="N123" authorId="1" shapeId="0" xr:uid="{FC7CDB48-14DF-439E-B7B0-DAC19E19AB23}">
      <text>
        <r>
          <rPr>
            <sz val="9"/>
            <color indexed="81"/>
            <rFont val="Tahoma"/>
            <family val="2"/>
          </rPr>
          <t>4A04 : Sauvegardes de recours des données externalisées</t>
        </r>
      </text>
    </comment>
    <comment ref="K126" authorId="1" shapeId="0" xr:uid="{2B622809-79A8-4707-9676-AA458C041A20}">
      <text>
        <r>
          <rPr>
            <sz val="9"/>
            <color indexed="81"/>
            <rFont val="Tahoma"/>
            <family val="2"/>
          </rPr>
          <t>3A09 : Contrôle d'accès aux systèmes et services externalisés</t>
        </r>
      </text>
    </comment>
    <comment ref="K127" authorId="1" shapeId="0" xr:uid="{D2BE5651-C5D6-4E3B-AFC5-9FFE2D0F35F3}">
      <text>
        <r>
          <rPr>
            <sz val="9"/>
            <color indexed="81"/>
            <rFont val="Tahoma"/>
            <family val="2"/>
          </rPr>
          <t>5F02 : Protection de l'intégrité des fichiers de données sensibles externalisés</t>
        </r>
      </text>
    </comment>
    <comment ref="K128" authorId="1" shapeId="0" xr:uid="{7AFB1AB7-C99B-4411-A26D-558EBDA69B5A}">
      <text>
        <r>
          <rPr>
            <sz val="9"/>
            <color indexed="81"/>
            <rFont val="Tahoma"/>
            <family val="2"/>
          </rPr>
          <t xml:space="preserve">5F01 : Protection de l'intégrité des échanges lors des accès aux services externalisés
</t>
        </r>
      </text>
    </comment>
    <comment ref="N128" authorId="1" shapeId="0" xr:uid="{CF00C12D-5B2C-4B19-A240-1C3928E0A09B}">
      <text>
        <r>
          <rPr>
            <sz val="9"/>
            <color indexed="81"/>
            <rFont val="Tahoma"/>
            <family val="2"/>
          </rPr>
          <t xml:space="preserve">5G01 : Protection de la confidentialité des échanges, lors de l'utilisation des services externalisés
</t>
        </r>
      </text>
    </comment>
    <comment ref="K131" authorId="1" shapeId="0" xr:uid="{F8F417A4-897F-4250-B1E0-7197EF170012}">
      <text>
        <r>
          <rPr>
            <sz val="9"/>
            <color indexed="81"/>
            <rFont val="Tahoma"/>
            <family val="2"/>
          </rPr>
          <t>3A09 : Contrôle d'accès aux systèmes et services externalisés</t>
        </r>
      </text>
    </comment>
    <comment ref="K132" authorId="1" shapeId="0" xr:uid="{04CD3276-B2E9-4035-AF83-A01DA884F68C}">
      <text>
        <r>
          <rPr>
            <sz val="9"/>
            <color indexed="81"/>
            <rFont val="Tahoma"/>
            <family val="2"/>
          </rPr>
          <t xml:space="preserve">5F01 : Protection de l'intégrité des échanges lors des accès aux services externalisés
</t>
        </r>
      </text>
    </comment>
    <comment ref="N132" authorId="1" shapeId="0" xr:uid="{BF72B02D-D510-4B17-9653-FCA0BFBC5F2F}">
      <text>
        <r>
          <rPr>
            <sz val="9"/>
            <color indexed="81"/>
            <rFont val="Tahoma"/>
            <family val="2"/>
          </rPr>
          <t xml:space="preserve">5G01 : Protection de la confidentialité des échanges, lors de l'utilisation des services externalisés
</t>
        </r>
      </text>
    </comment>
    <comment ref="K133" authorId="1" shapeId="0" xr:uid="{C520612A-7318-48D2-8DB8-01A91B2F7106}">
      <text>
        <r>
          <rPr>
            <sz val="9"/>
            <color indexed="81"/>
            <rFont val="Tahoma"/>
            <family val="2"/>
          </rPr>
          <t>5G02 : Protection de la confidentialité de données externalisées</t>
        </r>
      </text>
    </comment>
    <comment ref="K134" authorId="1" shapeId="0" xr:uid="{C2039BBA-A408-4BB0-94DD-AF8C455FD1B2}">
      <text>
        <r>
          <rPr>
            <sz val="9"/>
            <color indexed="81"/>
            <rFont val="Tahoma"/>
            <family val="2"/>
          </rPr>
          <t>2D05 : Protection des écrans dse poste de travail contre les captations visuelles</t>
        </r>
      </text>
    </comment>
    <comment ref="K136" authorId="1" shapeId="0" xr:uid="{8A7C7CF9-53BF-40C3-8663-8F66CD0A0AFF}">
      <text>
        <r>
          <rPr>
            <sz val="9"/>
            <color indexed="81"/>
            <rFont val="Tahoma"/>
            <family val="2"/>
          </rPr>
          <t>3A02 : Gestion des autorisations d'accès  (attribution, délégation, retrait)</t>
        </r>
      </text>
    </comment>
    <comment ref="N136" authorId="1" shapeId="0" xr:uid="{8B65BA92-5AE9-4D2A-9DD1-AC39B9DE410B}">
      <text>
        <r>
          <rPr>
            <sz val="9"/>
            <color indexed="81"/>
            <rFont val="Tahoma"/>
            <family val="2"/>
          </rPr>
          <t>3A04 : Contrôle d'accès aux systèmes et applications</t>
        </r>
      </text>
    </comment>
    <comment ref="Q136" authorId="1" shapeId="0" xr:uid="{56F002AC-A71B-42C2-928A-2AFBC2B843A8}">
      <text>
        <r>
          <rPr>
            <sz val="9"/>
            <color indexed="81"/>
            <rFont val="Tahoma"/>
            <family val="2"/>
          </rPr>
          <t>3A06 : Gestion des autorisations d'accès privilégiés (droits d'administration)</t>
        </r>
      </text>
    </comment>
    <comment ref="T136" authorId="1" shapeId="0" xr:uid="{43B1AF2B-CD6B-4E18-92F9-6DBA0195A1CA}">
      <text>
        <r>
          <rPr>
            <sz val="9"/>
            <color indexed="81"/>
            <rFont val="Tahoma"/>
            <family val="2"/>
          </rPr>
          <t>3A07 : Contrôle des accès privilégiés</t>
        </r>
      </text>
    </comment>
    <comment ref="K137" authorId="1" shapeId="0" xr:uid="{659C7198-6513-4064-BD1D-B82238B85B60}">
      <text>
        <r>
          <rPr>
            <sz val="9"/>
            <color indexed="81"/>
            <rFont val="Tahoma"/>
            <family val="2"/>
          </rPr>
          <t>2B01 : Contrôle des accès aux locaux sensibles</t>
        </r>
      </text>
    </comment>
    <comment ref="N137" authorId="1" shapeId="0" xr:uid="{7629CC3B-38C5-4A3D-B898-34F35A0A0ADA}">
      <text>
        <r>
          <rPr>
            <sz val="9"/>
            <color indexed="81"/>
            <rFont val="Tahoma"/>
            <family val="2"/>
          </rPr>
          <t xml:space="preserve">2B02 : Détection des intrusions dans les locaux sensibles </t>
        </r>
      </text>
    </comment>
    <comment ref="K138" authorId="1" shapeId="0" xr:uid="{D23A65E4-0AA3-4B01-8F5E-B11C1A202AA6}">
      <text>
        <r>
          <rPr>
            <sz val="9"/>
            <color indexed="81"/>
            <rFont val="Tahoma"/>
            <family val="2"/>
          </rPr>
          <t>5A03 : Contrôles permanents  (vraisemblance, ...) sur les données et traitements</t>
        </r>
      </text>
    </comment>
    <comment ref="K139" authorId="1" shapeId="0" xr:uid="{7E3AC5D5-5798-435A-B2C5-58DC68B23217}">
      <text>
        <r>
          <rPr>
            <sz val="9"/>
            <color indexed="81"/>
            <rFont val="Tahoma"/>
            <family val="2"/>
          </rPr>
          <t>4A05 : Contrôle des systèmes opérationnels</t>
        </r>
      </text>
    </comment>
    <comment ref="N139" authorId="1" shapeId="0" xr:uid="{9376115C-6CD4-4F5C-A90F-6A59EC2F7E97}">
      <text>
        <r>
          <rPr>
            <sz val="9"/>
            <color indexed="81"/>
            <rFont val="Tahoma"/>
            <family val="2"/>
          </rPr>
          <t xml:space="preserve">4A14 : Protection des programmes </t>
        </r>
      </text>
    </comment>
    <comment ref="Q139" authorId="1" shapeId="0" xr:uid="{BCDCD615-6939-450B-8368-FCE8523663A7}">
      <text>
        <r>
          <rPr>
            <sz val="9"/>
            <color indexed="81"/>
            <rFont val="Tahoma"/>
            <family val="2"/>
          </rPr>
          <t>7B02 : Contrôles des changements et évolutions systèmes ou applicatifs</t>
        </r>
      </text>
    </comment>
    <comment ref="K140" authorId="1" shapeId="0" xr:uid="{725BE34A-41A7-4799-9AD4-5F36AA5690C7}">
      <text>
        <r>
          <rPr>
            <sz val="9"/>
            <color indexed="81"/>
            <rFont val="Tahoma"/>
            <family val="2"/>
          </rPr>
          <t>4E01 : Gestion des supports amovibles</t>
        </r>
      </text>
    </comment>
    <comment ref="N140" authorId="1" shapeId="0" xr:uid="{EB2B421F-E268-4D2D-8E35-61D2C52B2374}">
      <text>
        <r>
          <rPr>
            <sz val="9"/>
            <color indexed="81"/>
            <rFont val="Tahoma"/>
            <family val="2"/>
          </rPr>
          <t>5C01 : Gestion des moyens d'accès aux fichiers de données ou de programme</t>
        </r>
      </text>
    </comment>
    <comment ref="Q140" authorId="1" shapeId="0" xr:uid="{D2004414-8BB2-4514-A773-CDEDBDF493F2}">
      <text>
        <r>
          <rPr>
            <sz val="9"/>
            <color indexed="81"/>
            <rFont val="Tahoma"/>
            <family val="2"/>
          </rPr>
          <t>5D04 : Maintien des moyens nécessaires à la mise en opération des applications critiques</t>
        </r>
      </text>
    </comment>
    <comment ref="K141" authorId="1" shapeId="0" xr:uid="{A7D3D311-D679-499F-BC99-4432B228FF35}">
      <text>
        <r>
          <rPr>
            <sz val="9"/>
            <color indexed="81"/>
            <rFont val="Tahoma"/>
            <family val="2"/>
          </rPr>
          <t>1E03 : Gestion du personnel et des partenaires ou prestataires stratégiques</t>
        </r>
      </text>
    </comment>
    <comment ref="K142" authorId="1" shapeId="0" xr:uid="{5BFDA499-9C50-4F09-9725-6F3750D753F7}">
      <text>
        <r>
          <rPr>
            <sz val="9"/>
            <color indexed="81"/>
            <rFont val="Tahoma"/>
            <family val="2"/>
          </rPr>
          <t>4C01 : Organisation de la maintenance des systèmes informatiques (matériel, logiciel et applications) et des équipements de réseaux</t>
        </r>
      </text>
    </comment>
    <comment ref="N142" authorId="1" shapeId="0" xr:uid="{AF16F266-5538-4F80-8263-54EA29BF21B7}">
      <text>
        <r>
          <rPr>
            <sz val="9"/>
            <color indexed="81"/>
            <rFont val="Tahoma"/>
            <family val="2"/>
          </rPr>
          <t>4C06 : Gestion des systèmes et applications critiques (vis-à-vis de la permanence de la maintenance)</t>
        </r>
      </text>
    </comment>
    <comment ref="K143" authorId="1" shapeId="0" xr:uid="{99371D3B-1A05-4DBD-A707-B43A5164E903}">
      <text>
        <r>
          <rPr>
            <sz val="9"/>
            <color indexed="81"/>
            <rFont val="Tahoma"/>
            <family val="2"/>
          </rPr>
          <t>1E01 : Plans de continuité de l'activité</t>
        </r>
      </text>
    </comment>
    <comment ref="K144" authorId="1" shapeId="0" xr:uid="{BAAF84F3-9170-4978-AF71-A746BC43E16D}">
      <text>
        <r>
          <rPr>
            <sz val="9"/>
            <color indexed="81"/>
            <rFont val="Tahoma"/>
            <family val="2"/>
          </rPr>
          <t>1E02 : Plans de Reprise de l'Environnement de Travail</t>
        </r>
      </text>
    </comment>
    <comment ref="K145" authorId="1" shapeId="0" xr:uid="{5B7F3329-5F59-4E34-93B7-3319AB94BB6C}">
      <text>
        <r>
          <rPr>
            <sz val="9"/>
            <color indexed="81"/>
            <rFont val="Tahoma"/>
            <family val="2"/>
          </rPr>
          <t>1C06 : Protection contre l'hameçonnage (phishing) et abus de confiance</t>
        </r>
      </text>
    </comment>
    <comment ref="N145" authorId="1" shapeId="0" xr:uid="{2E9A01EF-D011-4949-9496-FD1106506166}">
      <text>
        <r>
          <rPr>
            <sz val="9"/>
            <color indexed="81"/>
            <rFont val="Tahoma"/>
            <family val="2"/>
          </rPr>
          <t>4A02 : Protection contre les malwares</t>
        </r>
      </text>
    </comment>
    <comment ref="K146" authorId="1" shapeId="0" xr:uid="{89E43DE9-3BC3-4136-B337-5F329C7155C7}">
      <text>
        <r>
          <rPr>
            <sz val="9"/>
            <color indexed="81"/>
            <rFont val="Tahoma"/>
            <family val="2"/>
          </rPr>
          <t>4C03 : Plans de Reprise d'Activité de l'infrastructure informatique et des systèmes</t>
        </r>
      </text>
    </comment>
    <comment ref="N146" authorId="1" shapeId="0" xr:uid="{836421BE-9FE1-45B5-91A8-8C30CFC345A4}">
      <text>
        <r>
          <rPr>
            <sz val="9"/>
            <color indexed="81"/>
            <rFont val="Tahoma"/>
            <family val="2"/>
          </rPr>
          <t>5D01 : Plans de Continuité des processus applicatifs</t>
        </r>
      </text>
    </comment>
    <comment ref="K147" authorId="1" shapeId="0" xr:uid="{162653E0-0EC6-4E60-A838-4386455C343A}">
      <text>
        <r>
          <rPr>
            <sz val="9"/>
            <color indexed="81"/>
            <rFont val="Tahoma"/>
            <family val="2"/>
          </rPr>
          <t>4A03 : Sauvegardes des données et configurations</t>
        </r>
      </text>
    </comment>
    <comment ref="N147" authorId="1" shapeId="0" xr:uid="{3F2F7DC7-C289-445C-A362-F31BF3C704A3}">
      <text>
        <r>
          <rPr>
            <sz val="9"/>
            <color indexed="81"/>
            <rFont val="Tahoma"/>
            <family val="2"/>
          </rPr>
          <t>6B04 : Sauvegarde des données utilisateurs stockées sur les postes de travail</t>
        </r>
      </text>
    </comment>
    <comment ref="Q147" authorId="1" shapeId="0" xr:uid="{85AC42F8-1AC2-4C99-AD76-5FAA9DCAF4C5}">
      <text>
        <r>
          <rPr>
            <sz val="9"/>
            <color indexed="81"/>
            <rFont val="Tahoma"/>
            <family val="2"/>
          </rPr>
          <t>6B06 : Sauvegarde des courriels émis ou reçus sur les serveurs de l'entreprise</t>
        </r>
      </text>
    </comment>
    <comment ref="T147" authorId="1" shapeId="0" xr:uid="{4C8C589B-9D86-487E-864C-8F23581E1D92}">
      <text>
        <r>
          <rPr>
            <sz val="9"/>
            <color indexed="81"/>
            <rFont val="Tahoma"/>
            <family val="2"/>
          </rPr>
          <t>6B07 : Sauvegarde des configurations des postes de travail des utilisateurs</t>
        </r>
      </text>
    </comment>
    <comment ref="K148" authorId="1" shapeId="0" xr:uid="{1E97BBE6-39DA-49A1-81D8-D3A536F3DF91}">
      <text>
        <r>
          <rPr>
            <sz val="9"/>
            <color indexed="81"/>
            <rFont val="Tahoma"/>
            <family val="2"/>
          </rPr>
          <t>2C02 : Sécurité des équipements de servitude</t>
        </r>
      </text>
    </comment>
    <comment ref="N148" authorId="1" shapeId="0" xr:uid="{0DA7AC3A-8F13-4E4A-99BA-6BBC42DA1E12}">
      <text>
        <r>
          <rPr>
            <sz val="9"/>
            <color indexed="81"/>
            <rFont val="Tahoma"/>
            <family val="2"/>
          </rPr>
          <t xml:space="preserve">2C04 : Continuité de la fourniture de l'énergie </t>
        </r>
      </text>
    </comment>
    <comment ref="Q148" authorId="1" shapeId="0" xr:uid="{C16A014E-13BB-4984-A096-72AFF2238E00}">
      <text>
        <r>
          <rPr>
            <sz val="9"/>
            <color indexed="81"/>
            <rFont val="Tahoma"/>
            <family val="2"/>
          </rPr>
          <t>3B01 : Sûreté de fonctionnement des éléments d'architecture</t>
        </r>
      </text>
    </comment>
    <comment ref="K149" authorId="1" shapeId="0" xr:uid="{E4E46562-6730-46D2-9431-33A178FDDE19}">
      <text>
        <r>
          <rPr>
            <sz val="9"/>
            <color indexed="81"/>
            <rFont val="Tahoma"/>
            <family val="2"/>
          </rPr>
          <t>4E02 : Sécurité physique des medias</t>
        </r>
      </text>
    </comment>
    <comment ref="N149" authorId="1" shapeId="0" xr:uid="{4AF0C1EE-5D19-44B9-A5A8-6127ADAE2238}">
      <text>
        <r>
          <rPr>
            <sz val="9"/>
            <color indexed="81"/>
            <rFont val="Tahoma"/>
            <family val="2"/>
          </rPr>
          <t>4E04 : Sécurité physique des media en transit</t>
        </r>
      </text>
    </comment>
    <comment ref="K150" authorId="1" shapeId="0" xr:uid="{9F244847-E9CF-44C2-B64A-AF36EAA8BE26}">
      <text>
        <r>
          <rPr>
            <sz val="9"/>
            <color indexed="81"/>
            <rFont val="Tahoma"/>
            <family val="2"/>
          </rPr>
          <t>3A08 : Surveillance des actions effectuées avec des droits privilégiés</t>
        </r>
      </text>
    </comment>
    <comment ref="N150" authorId="1" shapeId="0" xr:uid="{BB578029-9976-4FED-8906-9A55CC7B0C90}">
      <text>
        <r>
          <rPr>
            <sz val="9"/>
            <color indexed="81"/>
            <rFont val="Tahoma"/>
            <family val="2"/>
          </rPr>
          <t>4A11 : Journalisation et contrôle des journaux</t>
        </r>
      </text>
    </comment>
    <comment ref="K151" authorId="1" shapeId="0" xr:uid="{47A08833-33EA-4ADE-9D77-8C7A25AD9571}">
      <text>
        <r>
          <rPr>
            <sz val="9"/>
            <color indexed="81"/>
            <rFont val="Tahoma"/>
            <family val="2"/>
          </rPr>
          <t>4A10 : Surveillance en temps réel de l'activité et gestion des anomalies</t>
        </r>
      </text>
    </comment>
    <comment ref="N151" authorId="1" shapeId="0" xr:uid="{A701BC16-9CEA-45BF-ABC7-1C2447A21DAC}">
      <text>
        <r>
          <rPr>
            <sz val="9"/>
            <color indexed="81"/>
            <rFont val="Tahoma"/>
            <family val="2"/>
          </rPr>
          <t>4C05 : Maintien des comptes d'accès</t>
        </r>
      </text>
    </comment>
    <comment ref="Q151" authorId="1" shapeId="0" xr:uid="{FE7C5675-20F5-408E-BF3D-EEECCA3ABEF2}">
      <text>
        <r>
          <rPr>
            <sz val="9"/>
            <color indexed="81"/>
            <rFont val="Tahoma"/>
            <family val="2"/>
          </rPr>
          <t>5C03 : Surveillance en temps réel de l'accessibilité et de la disponibilité de services sensibles</t>
        </r>
      </text>
    </comment>
    <comment ref="K152" authorId="1" shapeId="0" xr:uid="{D6D90ECA-FF52-4CED-A1A6-0B1D7F31EAF4}">
      <text>
        <r>
          <rPr>
            <sz val="9"/>
            <color indexed="81"/>
            <rFont val="Tahoma"/>
            <family val="2"/>
          </rPr>
          <t>2B03 : Surveillance des locaux sensibles</t>
        </r>
      </text>
    </comment>
    <comment ref="K154" authorId="1" shapeId="0" xr:uid="{046D9291-88AC-43BF-B6B6-CA3F40860F64}">
      <text>
        <r>
          <rPr>
            <sz val="9"/>
            <color indexed="81"/>
            <rFont val="Tahoma"/>
            <family val="2"/>
          </rPr>
          <t>2B01 : Contrôle des accès aux locaux sensibles</t>
        </r>
      </text>
    </comment>
    <comment ref="N154" authorId="1" shapeId="0" xr:uid="{D9223334-0A82-4C4D-8145-DC75C161FC8B}">
      <text>
        <r>
          <rPr>
            <sz val="9"/>
            <color indexed="81"/>
            <rFont val="Tahoma"/>
            <family val="2"/>
          </rPr>
          <t xml:space="preserve">2B02 : Détection des intrusions dans les locaux sensibles </t>
        </r>
      </text>
    </comment>
    <comment ref="K155" authorId="1" shapeId="0" xr:uid="{95E7382A-141A-4565-ACC1-CA5BCD590F6D}">
      <text>
        <r>
          <rPr>
            <sz val="9"/>
            <color indexed="81"/>
            <rFont val="Tahoma"/>
            <family val="2"/>
          </rPr>
          <t>3A02 : Gestion des autorisations d'accès  (attribution, délégation, retrait)</t>
        </r>
      </text>
    </comment>
    <comment ref="N155" authorId="1" shapeId="0" xr:uid="{82CB87C0-BAFB-4669-827A-89CD7353B990}">
      <text>
        <r>
          <rPr>
            <sz val="9"/>
            <color indexed="81"/>
            <rFont val="Tahoma"/>
            <family val="2"/>
          </rPr>
          <t>3A04 : Contrôle d'accès aux systèmes et applications</t>
        </r>
      </text>
    </comment>
    <comment ref="Q155" authorId="1" shapeId="0" xr:uid="{1849120F-94C2-4054-A5FD-6E9E76668A8E}">
      <text>
        <r>
          <rPr>
            <sz val="9"/>
            <color indexed="81"/>
            <rFont val="Tahoma"/>
            <family val="2"/>
          </rPr>
          <t>3A06 : Gestion des autorisations d'accès privilégiés (droits d'administration)</t>
        </r>
      </text>
    </comment>
    <comment ref="T155" authorId="1" shapeId="0" xr:uid="{486E290A-82B0-4BFF-99B1-767C8DF770AE}">
      <text>
        <r>
          <rPr>
            <sz val="9"/>
            <color indexed="81"/>
            <rFont val="Tahoma"/>
            <family val="2"/>
          </rPr>
          <t>3A07 : Contrôle des accès privilégiés</t>
        </r>
      </text>
    </comment>
    <comment ref="K156" authorId="1" shapeId="0" xr:uid="{3B757381-B6C5-4AA7-A358-9221271EED33}">
      <text>
        <r>
          <rPr>
            <sz val="9"/>
            <color indexed="81"/>
            <rFont val="Tahoma"/>
            <family val="2"/>
          </rPr>
          <t>5E01 : Garantie d'origine, signature, électronique</t>
        </r>
      </text>
    </comment>
    <comment ref="N156" authorId="1" shapeId="0" xr:uid="{7C683484-E33B-47E8-985A-A78003181C1F}">
      <text>
        <r>
          <rPr>
            <sz val="9"/>
            <color indexed="81"/>
            <rFont val="Tahoma"/>
            <family val="2"/>
          </rPr>
          <t>5E02 : Individualisation des messages empêchant leur duplication (numérotation, séquencement,...)</t>
        </r>
      </text>
    </comment>
    <comment ref="Q156" authorId="1" shapeId="0" xr:uid="{838F8B79-2DB9-4DF0-9A83-63E69C09EBF4}">
      <text>
        <r>
          <rPr>
            <sz val="9"/>
            <color indexed="81"/>
            <rFont val="Tahoma"/>
            <family val="2"/>
          </rPr>
          <t>5E03 : Contrôle de la réception des messages sensibles</t>
        </r>
      </text>
    </comment>
    <comment ref="T156" authorId="1" shapeId="0" xr:uid="{CBA3A3CC-833E-48CD-99A9-C8A0B945C055}">
      <text>
        <r>
          <rPr>
            <sz val="9"/>
            <color indexed="81"/>
            <rFont val="Tahoma"/>
            <family val="2"/>
          </rPr>
          <t>5E04 : Contrôle de la transmission des données</t>
        </r>
      </text>
    </comment>
    <comment ref="K157" authorId="1" shapeId="0" xr:uid="{29F27983-DE23-41E6-981A-BF6D5D74E61D}">
      <text>
        <r>
          <rPr>
            <sz val="9"/>
            <color indexed="81"/>
            <rFont val="Tahoma"/>
            <family val="2"/>
          </rPr>
          <t xml:space="preserve">4B01 : Paramétrage des systèmes et applications et contrôle de la conformité </t>
        </r>
      </text>
    </comment>
    <comment ref="N157" authorId="1" shapeId="0" xr:uid="{E206A816-8374-4012-A1B7-F63FF49C4861}">
      <text>
        <r>
          <rPr>
            <sz val="9"/>
            <color indexed="81"/>
            <rFont val="Tahoma"/>
            <family val="2"/>
          </rPr>
          <t>5A06 : Contrôle de l'intégrité des fonctionnalités logicielles</t>
        </r>
      </text>
    </comment>
    <comment ref="K158" authorId="1" shapeId="0" xr:uid="{D1A0F6FB-2F38-4430-BC7B-8DDB3F2724A9}">
      <text>
        <r>
          <rPr>
            <sz val="9"/>
            <color indexed="81"/>
            <rFont val="Tahoma"/>
            <family val="2"/>
          </rPr>
          <t xml:space="preserve">4A09 : Contrôle des opérations de maintenance </t>
        </r>
      </text>
    </comment>
    <comment ref="N158" authorId="1" shapeId="0" xr:uid="{BDF04DD4-9B42-422F-BEBA-0571AA0AB41E}">
      <text>
        <r>
          <rPr>
            <sz val="9"/>
            <color indexed="81"/>
            <rFont val="Tahoma"/>
            <family val="2"/>
          </rPr>
          <t xml:space="preserve">7B09 : Maintenance à chaud </t>
        </r>
      </text>
    </comment>
    <comment ref="K159" authorId="1" shapeId="0" xr:uid="{2FF59518-AD1F-4412-AF16-AF2EA44F323E}">
      <text>
        <r>
          <rPr>
            <sz val="9"/>
            <color indexed="81"/>
            <rFont val="Tahoma"/>
            <family val="2"/>
          </rPr>
          <t>6A01 : Protection du poste de travail</t>
        </r>
      </text>
    </comment>
    <comment ref="K160" authorId="1" shapeId="0" xr:uid="{D70C1327-8395-449E-B243-3BDA4E4819B9}">
      <text>
        <r>
          <rPr>
            <sz val="9"/>
            <color indexed="81"/>
            <rFont val="Tahoma"/>
            <family val="2"/>
          </rPr>
          <t>2D01 : Contrôle d'accès physique aux zones de bureaux sensibles</t>
        </r>
      </text>
    </comment>
    <comment ref="N160" authorId="1" shapeId="0" xr:uid="{3121C384-716F-4CF2-9B83-D5BCF9F4906E}">
      <text>
        <r>
          <rPr>
            <sz val="9"/>
            <color indexed="81"/>
            <rFont val="Tahoma"/>
            <family val="2"/>
          </rPr>
          <t>2D02 : Détection des intrusions dans les zones de bureaux protégées</t>
        </r>
      </text>
    </comment>
    <comment ref="Q160" authorId="1" shapeId="0" xr:uid="{F1AF4FA9-6732-4E9E-8464-8109893C16FC}">
      <text>
        <r>
          <rPr>
            <sz val="9"/>
            <color indexed="81"/>
            <rFont val="Tahoma"/>
            <family val="2"/>
          </rPr>
          <t>2D04 : Contrôle de la circulation des visiteurs et des prestataires occasionnels amenés à intervenir dans les bureaux</t>
        </r>
      </text>
    </comment>
    <comment ref="K161" authorId="1" shapeId="0" xr:uid="{4D53C61E-C762-4350-8FBA-5F5495F233C0}">
      <text>
        <r>
          <rPr>
            <sz val="9"/>
            <color indexed="81"/>
            <rFont val="Tahoma"/>
            <family val="2"/>
          </rPr>
          <t>7B08 : Sécurité de la maintenance applicative</t>
        </r>
      </text>
    </comment>
    <comment ref="K162" authorId="1" shapeId="0" xr:uid="{5020E1FB-F5CA-4A27-9E64-D387C044CEC3}">
      <text>
        <r>
          <rPr>
            <sz val="9"/>
            <color indexed="81"/>
            <rFont val="Tahoma"/>
            <family val="2"/>
          </rPr>
          <t>3A08 : Surveillance des actions effectuées avec des droits privilégiés</t>
        </r>
      </text>
    </comment>
    <comment ref="N162" authorId="1" shapeId="0" xr:uid="{D336DD73-7296-4DE5-8B30-C35E59D1CAB1}">
      <text>
        <r>
          <rPr>
            <sz val="9"/>
            <color indexed="81"/>
            <rFont val="Tahoma"/>
            <family val="2"/>
          </rPr>
          <t>4A11 : Journalisation et contrôle des journaux</t>
        </r>
      </text>
    </comment>
    <comment ref="K163" authorId="1" shapeId="0" xr:uid="{D23C0CA4-8BB3-4E08-AEBB-81567B6E1657}">
      <text>
        <r>
          <rPr>
            <sz val="9"/>
            <color indexed="81"/>
            <rFont val="Tahoma"/>
            <family val="2"/>
          </rPr>
          <t>2B03 : Surveillance des locaux sensibles</t>
        </r>
      </text>
    </comment>
    <comment ref="K165" authorId="1" shapeId="0" xr:uid="{AA54AA41-AAF9-4467-AE28-685966CF7539}">
      <text>
        <r>
          <rPr>
            <sz val="9"/>
            <color indexed="81"/>
            <rFont val="Tahoma"/>
            <family val="2"/>
          </rPr>
          <t>2B01 : Contrôle des accès aux locaux sensibles</t>
        </r>
      </text>
    </comment>
    <comment ref="N165" authorId="1" shapeId="0" xr:uid="{8157AFA1-5566-4A89-8430-90D31810A927}">
      <text>
        <r>
          <rPr>
            <sz val="9"/>
            <color indexed="81"/>
            <rFont val="Tahoma"/>
            <family val="2"/>
          </rPr>
          <t xml:space="preserve">2B02 : Détection des intrusions dans les locaux sensibles </t>
        </r>
      </text>
    </comment>
    <comment ref="K166" authorId="1" shapeId="0" xr:uid="{C6A34822-29C9-4B38-8BDE-ABACC68DD547}">
      <text>
        <r>
          <rPr>
            <sz val="9"/>
            <color indexed="81"/>
            <rFont val="Tahoma"/>
            <family val="2"/>
          </rPr>
          <t>3A02 : Gestion des autorisations d'accès  (attribution, délégation, retrait)</t>
        </r>
      </text>
    </comment>
    <comment ref="N166" authorId="1" shapeId="0" xr:uid="{CB42BDEB-ACF3-4376-9290-791BBD195D8C}">
      <text>
        <r>
          <rPr>
            <sz val="9"/>
            <color indexed="81"/>
            <rFont val="Tahoma"/>
            <family val="2"/>
          </rPr>
          <t>3A04 : Contrôle d'accès aux systèmes et applications</t>
        </r>
      </text>
    </comment>
    <comment ref="Q166" authorId="1" shapeId="0" xr:uid="{586C1D47-40F0-4057-9950-1E97ADC93AEA}">
      <text>
        <r>
          <rPr>
            <sz val="9"/>
            <color indexed="81"/>
            <rFont val="Tahoma"/>
            <family val="2"/>
          </rPr>
          <t>3A06 : Gestion des autorisations d'accès privilégiés (droits d'administration)</t>
        </r>
      </text>
    </comment>
    <comment ref="T166" authorId="1" shapeId="0" xr:uid="{2B0E1A33-B7E4-42C0-BE67-48DB863C5F4C}">
      <text>
        <r>
          <rPr>
            <sz val="9"/>
            <color indexed="81"/>
            <rFont val="Tahoma"/>
            <family val="2"/>
          </rPr>
          <t>3A07 : Contrôle des accès privilégiés</t>
        </r>
      </text>
    </comment>
    <comment ref="K167" authorId="1" shapeId="0" xr:uid="{BA85DAA8-5A3F-45E3-ADB0-1011F4344855}">
      <text>
        <r>
          <rPr>
            <sz val="9"/>
            <color indexed="81"/>
            <rFont val="Tahoma"/>
            <family val="2"/>
          </rPr>
          <t>5B02 : Chiffrement des données applicatives stockées</t>
        </r>
      </text>
    </comment>
    <comment ref="K168" authorId="1" shapeId="0" xr:uid="{6694ACBE-6DF0-45F2-B0C9-DE014C72BA96}">
      <text>
        <r>
          <rPr>
            <sz val="9"/>
            <color indexed="81"/>
            <rFont val="Tahoma"/>
            <family val="2"/>
          </rPr>
          <t>4E03 : Sécurité des médias réaffectés ou mis au rebut</t>
        </r>
      </text>
    </comment>
    <comment ref="K169" authorId="1" shapeId="0" xr:uid="{77F96BD0-B17A-4DE4-AF91-15D3131B04D5}">
      <text>
        <r>
          <rPr>
            <sz val="9"/>
            <color indexed="81"/>
            <rFont val="Tahoma"/>
            <family val="2"/>
          </rPr>
          <t>3A08 : Surveillance des actions effectuées avec des droits privilégiés</t>
        </r>
      </text>
    </comment>
    <comment ref="N169" authorId="1" shapeId="0" xr:uid="{08F95F87-CDA2-4610-85BC-15E1C6BCF890}">
      <text>
        <r>
          <rPr>
            <sz val="9"/>
            <color indexed="81"/>
            <rFont val="Tahoma"/>
            <family val="2"/>
          </rPr>
          <t>4A11 : Journalisation et contrôle des journaux</t>
        </r>
      </text>
    </comment>
    <comment ref="K170" authorId="1" shapeId="0" xr:uid="{727DD463-6CBA-4D05-A607-A77236093666}">
      <text>
        <r>
          <rPr>
            <sz val="9"/>
            <color indexed="81"/>
            <rFont val="Tahoma"/>
            <family val="2"/>
          </rPr>
          <t>2B03 : Surveillance des locaux sensibles</t>
        </r>
      </text>
    </comment>
    <comment ref="K171" authorId="1" shapeId="0" xr:uid="{C51732DC-D59D-4B0D-9316-7229BA6E6487}">
      <text>
        <r>
          <rPr>
            <sz val="9"/>
            <color indexed="81"/>
            <rFont val="Tahoma"/>
            <family val="2"/>
          </rPr>
          <t>7B10 : Protection de la confidentialité des codes sources</t>
        </r>
      </text>
    </comment>
    <comment ref="K173" authorId="1" shapeId="0" xr:uid="{EE28AA71-4AFD-4C16-94CC-A1062CB96514}">
      <text>
        <r>
          <rPr>
            <sz val="9"/>
            <color indexed="81"/>
            <rFont val="Tahoma"/>
            <family val="2"/>
          </rPr>
          <t>1E03 : Gestion du personnel et des partenaires ou prestataires stratégiques</t>
        </r>
      </text>
    </comment>
    <comment ref="K174" authorId="1" shapeId="0" xr:uid="{90F01E00-93D4-42A5-AB35-F728FFD4412A}">
      <text>
        <r>
          <rPr>
            <sz val="9"/>
            <color indexed="81"/>
            <rFont val="Tahoma"/>
            <family val="2"/>
          </rPr>
          <t>4C04 : Plans de Reprise d'Activité de l'infrastructure informatique externalisée</t>
        </r>
      </text>
    </comment>
    <comment ref="N174" authorId="1" shapeId="0" xr:uid="{F78154C8-4961-444A-8C14-86E54E7DCE0D}">
      <text>
        <r>
          <rPr>
            <sz val="9"/>
            <color indexed="81"/>
            <rFont val="Tahoma"/>
            <family val="2"/>
          </rPr>
          <t>5D02 : Plan de continuité des services externalisés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D1" authorId="0" shapeId="0" xr:uid="{00000000-0006-0000-1500-000001000000}">
      <text>
        <r>
          <rPr>
            <b/>
            <sz val="8"/>
            <color indexed="81"/>
            <rFont val="Tahoma"/>
            <family val="2"/>
          </rPr>
          <t>Indiquer par un 1 la sélection d'un projet ou
 par un 0 sa désélection</t>
        </r>
        <r>
          <rPr>
            <sz val="8"/>
            <color indexed="81"/>
            <rFont val="Tahoma"/>
            <family val="2"/>
          </rPr>
          <t xml:space="preserve">
</t>
        </r>
      </text>
    </comment>
    <comment ref="G4" authorId="1" shapeId="0" xr:uid="{FD1EEFD7-D635-426F-9F60-9695D7DF145A}">
      <text>
        <r>
          <rPr>
            <sz val="9"/>
            <color indexed="81"/>
            <rFont val="Tahoma"/>
            <family val="2"/>
          </rPr>
          <t>4C01 : Organisation de la maintenance des systèmes informatiques (matériel, logiciel et applications) et des équipements de réseaux</t>
        </r>
      </text>
    </comment>
    <comment ref="G5" authorId="1" shapeId="0" xr:uid="{1357FBE4-96A9-4AE0-B64E-45C705CDD2E1}">
      <text>
        <r>
          <rPr>
            <sz val="9"/>
            <color indexed="81"/>
            <rFont val="Tahoma"/>
            <family val="2"/>
          </rPr>
          <t>2C02 : Sécurité des équipements de servitude</t>
        </r>
      </text>
    </comment>
    <comment ref="J5" authorId="1" shapeId="0" xr:uid="{B223C86C-6121-4685-87FF-7E67F60052E9}">
      <text>
        <r>
          <rPr>
            <sz val="9"/>
            <color indexed="81"/>
            <rFont val="Tahoma"/>
            <family val="2"/>
          </rPr>
          <t xml:space="preserve">2C04 : Continuité de la fourniture de l'énergie </t>
        </r>
      </text>
    </comment>
    <comment ref="M5" authorId="1" shapeId="0" xr:uid="{4129BD40-3A29-45F5-871F-076A11F517F5}">
      <text>
        <r>
          <rPr>
            <sz val="9"/>
            <color indexed="81"/>
            <rFont val="Tahoma"/>
            <family val="2"/>
          </rPr>
          <t>3B01 : Sûreté de fonctionnement des éléments d'architecture</t>
        </r>
      </text>
    </comment>
    <comment ref="G6" authorId="1" shapeId="0" xr:uid="{A27C7623-DC98-430F-A822-B75DB4020E70}">
      <text>
        <r>
          <rPr>
            <sz val="9"/>
            <color indexed="81"/>
            <rFont val="Tahoma"/>
            <family val="2"/>
          </rPr>
          <t>2A03 : Protection contre les risques environnementaux divers</t>
        </r>
      </text>
    </comment>
    <comment ref="G8" authorId="1" shapeId="0" xr:uid="{BCAF5534-93DB-40CE-9F73-EAB135CBE0AE}">
      <text>
        <r>
          <rPr>
            <sz val="9"/>
            <color indexed="81"/>
            <rFont val="Tahoma"/>
            <family val="2"/>
          </rPr>
          <t>4A03 : Sauvegardes des données et configurations</t>
        </r>
      </text>
    </comment>
    <comment ref="J8" authorId="1" shapeId="0" xr:uid="{19EB3CDB-B719-4234-B7A5-F85EBB6C74B2}">
      <text>
        <r>
          <rPr>
            <sz val="9"/>
            <color indexed="81"/>
            <rFont val="Tahoma"/>
            <family val="2"/>
          </rPr>
          <t>6B04 : Sauvegarde des données utilisateurs stockées sur les postes de travail</t>
        </r>
      </text>
    </comment>
    <comment ref="M8" authorId="1" shapeId="0" xr:uid="{C4DE7152-929E-4048-9049-0917853FF0E0}">
      <text>
        <r>
          <rPr>
            <sz val="9"/>
            <color indexed="81"/>
            <rFont val="Tahoma"/>
            <family val="2"/>
          </rPr>
          <t>6B06 : Sauvegarde des courriels émis ou reçus sur les serveurs de l'entreprise</t>
        </r>
      </text>
    </comment>
    <comment ref="P8" authorId="1" shapeId="0" xr:uid="{B9D4F8F9-54FB-48E3-8904-1149B929B123}">
      <text>
        <r>
          <rPr>
            <sz val="9"/>
            <color indexed="81"/>
            <rFont val="Tahoma"/>
            <family val="2"/>
          </rPr>
          <t>6B07 : Sauvegarde des configurations des postes de travail des utilisateurs</t>
        </r>
      </text>
    </comment>
    <comment ref="G9" authorId="1" shapeId="0" xr:uid="{6A343BAF-B74F-47A6-817C-CAD2BDAD2A4B}">
      <text>
        <r>
          <rPr>
            <sz val="9"/>
            <color indexed="81"/>
            <rFont val="Tahoma"/>
            <family val="2"/>
          </rPr>
          <t>3C01 : Sûreté de fonctionnement des éléments d'architecture des services externalisés</t>
        </r>
      </text>
    </comment>
    <comment ref="J9" authorId="1" shapeId="0" xr:uid="{CD82508E-3CBE-4F80-9E7E-EF9CBB7450EF}">
      <text>
        <r>
          <rPr>
            <sz val="9"/>
            <color indexed="81"/>
            <rFont val="Tahoma"/>
            <family val="2"/>
          </rPr>
          <t>4A04 : Sauvegardes de recours des données externalisées</t>
        </r>
      </text>
    </comment>
    <comment ref="G10" authorId="1" shapeId="0" xr:uid="{933AB262-A970-4F73-87D2-212A748A9C68}">
      <text>
        <r>
          <rPr>
            <sz val="9"/>
            <color indexed="81"/>
            <rFont val="Tahoma"/>
            <family val="2"/>
          </rPr>
          <t>4E01 : Gestion des supports amovibles</t>
        </r>
      </text>
    </comment>
    <comment ref="J10" authorId="1" shapeId="0" xr:uid="{086ED76B-C117-4AD9-93B3-F3DEFB13545A}">
      <text>
        <r>
          <rPr>
            <sz val="9"/>
            <color indexed="81"/>
            <rFont val="Tahoma"/>
            <family val="2"/>
          </rPr>
          <t>5C01 : Gestion des moyens d'accès aux fichiers de données ou de programme</t>
        </r>
      </text>
    </comment>
    <comment ref="M10" authorId="1" shapeId="0" xr:uid="{4AA814E3-5A83-4FCE-AED2-0B1134D0C172}">
      <text>
        <r>
          <rPr>
            <sz val="9"/>
            <color indexed="81"/>
            <rFont val="Tahoma"/>
            <family val="2"/>
          </rPr>
          <t>5D04 : Maintien des moyens nécessaires à la mise en opération des applications critiques</t>
        </r>
      </text>
    </comment>
    <comment ref="G11" authorId="1" shapeId="0" xr:uid="{17DFE65D-F349-4C3C-9B7B-88CC0870D9BD}">
      <text>
        <r>
          <rPr>
            <sz val="9"/>
            <color indexed="81"/>
            <rFont val="Tahoma"/>
            <family val="2"/>
          </rPr>
          <t>1C06 : Protection contre l'hameçonnage (phishing) et abus de confiance</t>
        </r>
      </text>
    </comment>
    <comment ref="J11" authorId="1" shapeId="0" xr:uid="{EDF7807E-01D4-4E17-870D-1CE8FDAEDB70}">
      <text>
        <r>
          <rPr>
            <sz val="9"/>
            <color indexed="81"/>
            <rFont val="Tahoma"/>
            <family val="2"/>
          </rPr>
          <t>4A02 : Protection contre les malwares</t>
        </r>
      </text>
    </comment>
    <comment ref="G13" authorId="1" shapeId="0" xr:uid="{38BC5DC4-5D53-4857-847B-A34AABC40941}">
      <text>
        <r>
          <rPr>
            <sz val="9"/>
            <color indexed="81"/>
            <rFont val="Tahoma"/>
            <family val="2"/>
          </rPr>
          <t>4C03 : Plans de Reprise d'Activité de l'infrastructure informatique et des systèmes</t>
        </r>
      </text>
    </comment>
    <comment ref="J13" authorId="1" shapeId="0" xr:uid="{4B1696E8-95AD-4B75-B818-009E0EA9E723}">
      <text>
        <r>
          <rPr>
            <sz val="9"/>
            <color indexed="81"/>
            <rFont val="Tahoma"/>
            <family val="2"/>
          </rPr>
          <t>5D01 : Plans de Continuité des processus applicatifs</t>
        </r>
      </text>
    </comment>
    <comment ref="G14" authorId="1" shapeId="0" xr:uid="{772606A6-81BF-4C10-B8A1-5AAA9F7C9073}">
      <text>
        <r>
          <rPr>
            <sz val="9"/>
            <color indexed="81"/>
            <rFont val="Tahoma"/>
            <family val="2"/>
          </rPr>
          <t>4C04 : Plans de Reprise d'Activité de l'infrastructure informatique externalisée</t>
        </r>
      </text>
    </comment>
    <comment ref="J14" authorId="1" shapeId="0" xr:uid="{D489A472-489F-42E9-9EE3-91A5B19C169F}">
      <text>
        <r>
          <rPr>
            <sz val="9"/>
            <color indexed="81"/>
            <rFont val="Tahoma"/>
            <family val="2"/>
          </rPr>
          <t>5D02 : Plan de continuité des services externalisés</t>
        </r>
      </text>
    </comment>
    <comment ref="G15" authorId="1" shapeId="0" xr:uid="{D76CB148-E8C3-4B20-9D02-A68F9EBEDD16}">
      <text>
        <r>
          <rPr>
            <sz val="9"/>
            <color indexed="81"/>
            <rFont val="Tahoma"/>
            <family val="2"/>
          </rPr>
          <t>1E02 : Plans de Reprise de l'Environnement de Travail</t>
        </r>
      </text>
    </comment>
    <comment ref="G16" authorId="1" shapeId="0" xr:uid="{4B45CD7C-DA03-47A7-9AC0-8DB63C4B8FAE}">
      <text>
        <r>
          <rPr>
            <sz val="9"/>
            <color indexed="81"/>
            <rFont val="Tahoma"/>
            <family val="2"/>
          </rPr>
          <t>1E01 : Plans de continuité de l'activité</t>
        </r>
      </text>
    </comment>
    <comment ref="G17" authorId="1" shapeId="0" xr:uid="{9B766FBA-0FBE-430A-BE8C-A731AB24A2F2}">
      <text>
        <r>
          <rPr>
            <sz val="9"/>
            <color indexed="81"/>
            <rFont val="Tahoma"/>
            <family val="2"/>
          </rPr>
          <t>1E03 : Gestion du personnel et des partenaires ou prestataires stratégiques</t>
        </r>
      </text>
    </comment>
    <comment ref="G20" authorId="1" shapeId="0" xr:uid="{5309547B-18B9-4870-8222-4D5CFAE751C7}">
      <text>
        <r>
          <rPr>
            <sz val="9"/>
            <color indexed="81"/>
            <rFont val="Tahoma"/>
            <family val="2"/>
          </rPr>
          <t>2D01 : Contrôle d'accès physique aux zones de bureaux sensibles</t>
        </r>
      </text>
    </comment>
    <comment ref="J20" authorId="1" shapeId="0" xr:uid="{E42DBA2B-BA74-4259-8D52-5DCA72486ADB}">
      <text>
        <r>
          <rPr>
            <sz val="9"/>
            <color indexed="81"/>
            <rFont val="Tahoma"/>
            <family val="2"/>
          </rPr>
          <t>2D02 : Détection des intrusions dans les zones de bureaux protégées</t>
        </r>
      </text>
    </comment>
    <comment ref="M20" authorId="1" shapeId="0" xr:uid="{E8A0CC20-EF02-4088-A367-8D515D24282B}">
      <text>
        <r>
          <rPr>
            <sz val="9"/>
            <color indexed="81"/>
            <rFont val="Tahoma"/>
            <family val="2"/>
          </rPr>
          <t>2D04 : Contrôle de la circulation des visiteurs et des prestataires occasionnels amenés à intervenir dans les bureaux</t>
        </r>
      </text>
    </comment>
    <comment ref="G21" authorId="1" shapeId="0" xr:uid="{A36955CA-7193-4FBB-8BD0-8F1CF165B587}">
      <text>
        <r>
          <rPr>
            <sz val="9"/>
            <color indexed="81"/>
            <rFont val="Tahoma"/>
            <family val="2"/>
          </rPr>
          <t>2D03 : Surveillance des zones de bureaux protégées</t>
        </r>
      </text>
    </comment>
    <comment ref="G22" authorId="1" shapeId="0" xr:uid="{0E89BB5E-F404-4942-B15C-97E7EFA81669}">
      <text>
        <r>
          <rPr>
            <sz val="9"/>
            <color indexed="81"/>
            <rFont val="Tahoma"/>
            <family val="2"/>
          </rPr>
          <t>2B01 : Contrôle des accès aux locaux sensibles</t>
        </r>
      </text>
    </comment>
    <comment ref="J22" authorId="1" shapeId="0" xr:uid="{4A167416-400A-406E-B12D-A5FCF6FBF382}">
      <text>
        <r>
          <rPr>
            <sz val="9"/>
            <color indexed="81"/>
            <rFont val="Tahoma"/>
            <family val="2"/>
          </rPr>
          <t xml:space="preserve">2B02 : Détection des intrusions dans les locaux sensibles </t>
        </r>
      </text>
    </comment>
    <comment ref="G23" authorId="1" shapeId="0" xr:uid="{8ED29323-341D-4341-8BE5-6060BBB7511D}">
      <text>
        <r>
          <rPr>
            <sz val="9"/>
            <color indexed="81"/>
            <rFont val="Tahoma"/>
            <family val="2"/>
          </rPr>
          <t>2B03 : Surveillance des locaux sensibles</t>
        </r>
      </text>
    </comment>
    <comment ref="G25" authorId="1" shapeId="0" xr:uid="{288CCB24-B0E4-4EAD-AC64-F6DD99AFD2C1}">
      <text>
        <r>
          <rPr>
            <sz val="9"/>
            <color indexed="81"/>
            <rFont val="Tahoma"/>
            <family val="2"/>
          </rPr>
          <t>3A02 : Gestion des autorisations d'accès  (attribution, délégation, retrait)</t>
        </r>
      </text>
    </comment>
    <comment ref="J25" authorId="1" shapeId="0" xr:uid="{7092EF8E-4474-4BB3-906A-66A11CB32A61}">
      <text>
        <r>
          <rPr>
            <sz val="9"/>
            <color indexed="81"/>
            <rFont val="Tahoma"/>
            <family val="2"/>
          </rPr>
          <t>3A04 : Contrôle d'accès aux systèmes et applications</t>
        </r>
      </text>
    </comment>
    <comment ref="M25" authorId="1" shapeId="0" xr:uid="{C823D8E3-2CF8-4936-951A-9B04CA6EFABA}">
      <text>
        <r>
          <rPr>
            <sz val="9"/>
            <color indexed="81"/>
            <rFont val="Tahoma"/>
            <family val="2"/>
          </rPr>
          <t>3A06 : Gestion des autorisations d'accès privilégiés (droits d'administration)</t>
        </r>
      </text>
    </comment>
    <comment ref="P25" authorId="1" shapeId="0" xr:uid="{B5D0DCD7-1616-421F-8369-FD8101D20504}">
      <text>
        <r>
          <rPr>
            <sz val="9"/>
            <color indexed="81"/>
            <rFont val="Tahoma"/>
            <family val="2"/>
          </rPr>
          <t>3A07 : Contrôle des accès privilégiés</t>
        </r>
      </text>
    </comment>
    <comment ref="G26" authorId="1" shapeId="0" xr:uid="{FC7B9728-03DF-4594-A194-FEFE4DD4933A}">
      <text>
        <r>
          <rPr>
            <sz val="9"/>
            <color indexed="81"/>
            <rFont val="Tahoma"/>
            <family val="2"/>
          </rPr>
          <t>3A09 : Contrôle d'accès aux systèmes et services externalisés</t>
        </r>
      </text>
    </comment>
    <comment ref="G28" authorId="1" shapeId="0" xr:uid="{6A0DD317-934D-450D-B9C2-BBF91E7E9424}">
      <text>
        <r>
          <rPr>
            <sz val="9"/>
            <color indexed="81"/>
            <rFont val="Tahoma"/>
            <family val="2"/>
          </rPr>
          <t>6A01 : Protection du poste de travail</t>
        </r>
      </text>
    </comment>
    <comment ref="G29" authorId="1" shapeId="0" xr:uid="{E2DA353B-354F-4577-AF5B-5EEF34B69EA7}">
      <text>
        <r>
          <rPr>
            <sz val="9"/>
            <color indexed="81"/>
            <rFont val="Tahoma"/>
            <family val="2"/>
          </rPr>
          <t>6C02 : Dispositifs de sécurité relatifs aux appareils mobiles personnels</t>
        </r>
      </text>
    </comment>
    <comment ref="G32" authorId="1" shapeId="0" xr:uid="{9BB4FD40-239B-47C5-9633-C3F7457B067A}">
      <text>
        <r>
          <rPr>
            <sz val="9"/>
            <color indexed="81"/>
            <rFont val="Tahoma"/>
            <family val="2"/>
          </rPr>
          <t xml:space="preserve">4B01 : Paramétrage des systèmes et applications et contrôle de la conformité </t>
        </r>
      </text>
    </comment>
    <comment ref="J32" authorId="1" shapeId="0" xr:uid="{392D8C5F-58BC-49BD-AF32-6E886C1AE16E}">
      <text>
        <r>
          <rPr>
            <sz val="9"/>
            <color indexed="81"/>
            <rFont val="Tahoma"/>
            <family val="2"/>
          </rPr>
          <t>5A06 : Contrôle de l'intégrité des fonctionnalités logicielles</t>
        </r>
      </text>
    </comment>
    <comment ref="G33" authorId="1" shapeId="0" xr:uid="{2D6A4291-7312-40BD-B0F5-BB296A99C497}">
      <text>
        <r>
          <rPr>
            <sz val="9"/>
            <color indexed="81"/>
            <rFont val="Tahoma"/>
            <family val="2"/>
          </rPr>
          <t>4A05 : Contrôle des systèmes opérationnels</t>
        </r>
      </text>
    </comment>
    <comment ref="J33" authorId="1" shapeId="0" xr:uid="{1535C269-44B5-4B7B-9836-E277BC3CCFF6}">
      <text>
        <r>
          <rPr>
            <sz val="9"/>
            <color indexed="81"/>
            <rFont val="Tahoma"/>
            <family val="2"/>
          </rPr>
          <t xml:space="preserve">4A14 : Protection des programmes </t>
        </r>
      </text>
    </comment>
    <comment ref="M33" authorId="1" shapeId="0" xr:uid="{5DC24E5E-C19E-4BE7-AD40-905CE0D098A2}">
      <text>
        <r>
          <rPr>
            <sz val="9"/>
            <color indexed="81"/>
            <rFont val="Tahoma"/>
            <family val="2"/>
          </rPr>
          <t>7B02 : Contrôles des changements et évolutions systèmes ou applicatifs</t>
        </r>
      </text>
    </comment>
    <comment ref="G34" authorId="1" shapeId="0" xr:uid="{91BF48C8-1D19-451E-9A5F-521D470359BA}">
      <text>
        <r>
          <rPr>
            <sz val="9"/>
            <color indexed="81"/>
            <rFont val="Tahoma"/>
            <family val="2"/>
          </rPr>
          <t>7B08 : Sécurité de la maintenance applicative</t>
        </r>
      </text>
    </comment>
    <comment ref="G36" authorId="1" shapeId="0" xr:uid="{1EE6588C-053C-41C7-95FE-FDF6262F782C}">
      <text>
        <r>
          <rPr>
            <sz val="9"/>
            <color indexed="81"/>
            <rFont val="Tahoma"/>
            <family val="2"/>
          </rPr>
          <t>3A08 : Surveillance des actions effectuées avec des droits privilégiés</t>
        </r>
      </text>
    </comment>
    <comment ref="J36" authorId="1" shapeId="0" xr:uid="{46B6539C-22E6-4ED0-B353-1CD3276610A9}">
      <text>
        <r>
          <rPr>
            <sz val="9"/>
            <color indexed="81"/>
            <rFont val="Tahoma"/>
            <family val="2"/>
          </rPr>
          <t>4A11 : Journalisation et contrôle des journaux</t>
        </r>
      </text>
    </comment>
    <comment ref="G37" authorId="1" shapeId="0" xr:uid="{C010B1C3-78E9-489B-B72B-BF8EE8E272A7}">
      <text>
        <r>
          <rPr>
            <sz val="9"/>
            <color indexed="81"/>
            <rFont val="Tahoma"/>
            <family val="2"/>
          </rPr>
          <t>5A05 : Surveillance des informations publiées sur un site web ou interne</t>
        </r>
      </text>
    </comment>
    <comment ref="G38" authorId="1" shapeId="0" xr:uid="{B9B8EA4B-F85D-4961-AE47-BF4AA479A0A0}">
      <text>
        <r>
          <rPr>
            <sz val="9"/>
            <color indexed="81"/>
            <rFont val="Tahoma"/>
            <family val="2"/>
          </rPr>
          <t>4A10 : Surveillance en temps réel de l'activité et gestion des anomalies</t>
        </r>
      </text>
    </comment>
    <comment ref="J38" authorId="1" shapeId="0" xr:uid="{3746D115-B3C3-48B5-8E16-C944B5F8BFBC}">
      <text>
        <r>
          <rPr>
            <sz val="9"/>
            <color indexed="81"/>
            <rFont val="Tahoma"/>
            <family val="2"/>
          </rPr>
          <t>4C05 : Maintien des comptes d'accès</t>
        </r>
      </text>
    </comment>
    <comment ref="M38" authorId="1" shapeId="0" xr:uid="{8B72A427-297E-4188-AE08-5707A472685A}">
      <text>
        <r>
          <rPr>
            <sz val="9"/>
            <color indexed="81"/>
            <rFont val="Tahoma"/>
            <family val="2"/>
          </rPr>
          <t>5C03 : Surveillance en temps réel de l'accessibilité et de la disponibilité de services sensibles</t>
        </r>
      </text>
    </comment>
    <comment ref="G39" authorId="1" shapeId="0" xr:uid="{3F0A450F-4C0C-4D3F-94A2-1B4994E1CB2F}">
      <text>
        <r>
          <rPr>
            <sz val="9"/>
            <color indexed="81"/>
            <rFont val="Tahoma"/>
            <family val="2"/>
          </rPr>
          <t xml:space="preserve">4A09 : Contrôle des opérations de maintenance </t>
        </r>
      </text>
    </comment>
    <comment ref="J39" authorId="1" shapeId="0" xr:uid="{6ECC1262-DEB8-47D1-AE54-17083EB6FB75}">
      <text>
        <r>
          <rPr>
            <sz val="9"/>
            <color indexed="81"/>
            <rFont val="Tahoma"/>
            <family val="2"/>
          </rPr>
          <t xml:space="preserve">7B09 : Maintenance à chaud </t>
        </r>
      </text>
    </comment>
    <comment ref="G42" authorId="1" shapeId="0" xr:uid="{A7E32C7F-FFC0-4CD1-8008-AB1C27E25898}">
      <text>
        <r>
          <rPr>
            <sz val="9"/>
            <color indexed="81"/>
            <rFont val="Tahoma"/>
            <family val="2"/>
          </rPr>
          <t>5B02 : Chiffrement des données applicatives stockées</t>
        </r>
      </text>
    </comment>
    <comment ref="G43" authorId="1" shapeId="0" xr:uid="{08C14CA3-770E-4082-A259-FCE65DD0758A}">
      <text>
        <r>
          <rPr>
            <sz val="9"/>
            <color indexed="81"/>
            <rFont val="Tahoma"/>
            <family val="2"/>
          </rPr>
          <t>6B01 : Protection de la confidentialité des données contenues sur le poste de travail ou sur un serveur de données (disque logique pour le poste de travail)</t>
        </r>
      </text>
    </comment>
    <comment ref="G44" authorId="1" shapeId="0" xr:uid="{E44AF8D4-4CDD-474F-921B-5B6F6D6BB8C6}">
      <text>
        <r>
          <rPr>
            <sz val="9"/>
            <color indexed="81"/>
            <rFont val="Tahoma"/>
            <family val="2"/>
          </rPr>
          <t xml:space="preserve">5B01 : Chiffrement des échanges de données applicatives </t>
        </r>
      </text>
    </comment>
    <comment ref="G45" authorId="1" shapeId="0" xr:uid="{77AF64DB-8C9D-4DBB-894B-3ABD5A47A5C7}">
      <text>
        <r>
          <rPr>
            <sz val="9"/>
            <color indexed="81"/>
            <rFont val="Tahoma"/>
            <family val="2"/>
          </rPr>
          <t>5G02 : Protection de la confidentialité de données externalisées</t>
        </r>
      </text>
    </comment>
    <comment ref="G46" authorId="1" shapeId="0" xr:uid="{2469060E-E950-423C-9DC1-843129B14F5E}">
      <text>
        <r>
          <rPr>
            <sz val="9"/>
            <color indexed="81"/>
            <rFont val="Tahoma"/>
            <family val="2"/>
          </rPr>
          <t>6A03 : Plan de continuité de la messagerie électronique</t>
        </r>
      </text>
    </comment>
    <comment ref="J46" authorId="1" shapeId="0" xr:uid="{B7BE5546-E826-4B38-AC1B-8FF567512CF3}">
      <text>
        <r>
          <rPr>
            <sz val="9"/>
            <color indexed="81"/>
            <rFont val="Tahoma"/>
            <family val="2"/>
          </rPr>
          <t>6B03 : Sécurité de la messagerie électronique (courriels) et des échanges électroniques d'information</t>
        </r>
      </text>
    </comment>
    <comment ref="G47" authorId="1" shapeId="0" xr:uid="{97672559-8647-4DB5-A05E-3A03A22B43E8}">
      <text>
        <r>
          <rPr>
            <sz val="9"/>
            <color indexed="81"/>
            <rFont val="Tahoma"/>
            <family val="2"/>
          </rPr>
          <t>4E03 : Sécurité des médias réaffectés ou mis au rebut</t>
        </r>
      </text>
    </comment>
    <comment ref="G48" authorId="1" shapeId="0" xr:uid="{C99AA3FC-9537-44BB-881A-2B74525016BA}">
      <text>
        <r>
          <rPr>
            <sz val="9"/>
            <color indexed="81"/>
            <rFont val="Tahoma"/>
            <family val="2"/>
          </rPr>
          <t>2E05 : Sécurité du courrier postal</t>
        </r>
      </text>
    </comment>
    <comment ref="G49" authorId="1" shapeId="0" xr:uid="{215E0B31-0A14-4CE7-8A35-9ED3DF9A41DE}">
      <text>
        <r>
          <rPr>
            <sz val="9"/>
            <color indexed="81"/>
            <rFont val="Tahoma"/>
            <family val="2"/>
          </rPr>
          <t>2D05 : Protection des écrans dse poste de travail contre les captations visuelles</t>
        </r>
      </text>
    </comment>
    <comment ref="G51" authorId="1" shapeId="0" xr:uid="{69AB6116-A08E-46AA-A2F9-D7077A00AE02}">
      <text>
        <r>
          <rPr>
            <sz val="9"/>
            <color indexed="81"/>
            <rFont val="Tahoma"/>
            <family val="2"/>
          </rPr>
          <t>5A02 : Protection de l'intégrité des fichiers de données applicatives sensibles</t>
        </r>
      </text>
    </comment>
    <comment ref="G52" authorId="1" shapeId="0" xr:uid="{A85AC087-9B0D-4399-95A9-2969C1061F78}">
      <text>
        <r>
          <rPr>
            <sz val="9"/>
            <color indexed="81"/>
            <rFont val="Tahoma"/>
            <family val="2"/>
          </rPr>
          <t>6B02 : Protection de l'intégrité des fichiers contenus sur le poste de travail ou sur un serveur de données (disque logique pour le poste de travail)</t>
        </r>
      </text>
    </comment>
    <comment ref="G53" authorId="1" shapeId="0" xr:uid="{C706EDCD-D49A-45F3-8CBC-3134DBA67C2C}">
      <text>
        <r>
          <rPr>
            <sz val="9"/>
            <color indexed="81"/>
            <rFont val="Tahoma"/>
            <family val="2"/>
          </rPr>
          <t>5F02 : Protection de l'intégrité des fichiers de données sensibles externalisés</t>
        </r>
      </text>
    </comment>
    <comment ref="G54" authorId="1" shapeId="0" xr:uid="{BB146046-D035-4231-9AB5-B6B9C021DFA4}">
      <text>
        <r>
          <rPr>
            <sz val="9"/>
            <color indexed="81"/>
            <rFont val="Tahoma"/>
            <family val="2"/>
          </rPr>
          <t xml:space="preserve">5A01 : Protection de l'intégrité des données applicatives échangées </t>
        </r>
      </text>
    </comment>
    <comment ref="G55" authorId="1" shapeId="0" xr:uid="{DB27BA74-DE88-4817-805D-61C7472199AA}">
      <text>
        <r>
          <rPr>
            <sz val="9"/>
            <color indexed="81"/>
            <rFont val="Tahoma"/>
            <family val="2"/>
          </rPr>
          <t xml:space="preserve">5F01 : Protection de l'intégrité des échanges lors des accès aux services externalisés
</t>
        </r>
      </text>
    </comment>
    <comment ref="J55" authorId="1" shapeId="0" xr:uid="{B03DE9BF-70DB-4F98-9650-38F9345897B8}">
      <text>
        <r>
          <rPr>
            <sz val="9"/>
            <color indexed="81"/>
            <rFont val="Tahoma"/>
            <family val="2"/>
          </rPr>
          <t xml:space="preserve">5G01 : Protection de la confidentialité des échanges, lors de l'utilisation des services externalisés
</t>
        </r>
      </text>
    </comment>
    <comment ref="G56" authorId="1" shapeId="0" xr:uid="{0774FDFD-B746-40F3-A5F4-ADF2DF1F4DEF}">
      <text>
        <r>
          <rPr>
            <sz val="9"/>
            <color indexed="81"/>
            <rFont val="Tahoma"/>
            <family val="2"/>
          </rPr>
          <t>5F03 : Contrôls de l'intégrité des fonctionnalités  externalisés</t>
        </r>
      </text>
    </comment>
    <comment ref="G58" authorId="1" shapeId="0" xr:uid="{40BEFEED-5F8C-4CF5-B57B-CB564A4CD3C2}">
      <text>
        <r>
          <rPr>
            <sz val="9"/>
            <color indexed="81"/>
            <rFont val="Tahoma"/>
            <family val="2"/>
          </rPr>
          <t>4C02 : Procédures et plans de reprise des applications sur incidents</t>
        </r>
      </text>
    </comment>
    <comment ref="G59" authorId="1" shapeId="0" xr:uid="{A592E660-5FFB-4646-AC3D-7C8DB42AC1C5}">
      <text>
        <r>
          <rPr>
            <sz val="9"/>
            <color indexed="81"/>
            <rFont val="Tahoma"/>
            <family val="2"/>
          </rPr>
          <t>5A03 : Contrôles permanents  (vraisemblance, ...) sur les données et traitements</t>
        </r>
      </text>
    </comment>
    <comment ref="G60" authorId="1" shapeId="0" xr:uid="{53E203C1-8386-4BB4-8B08-33B555D8BB96}">
      <text>
        <r>
          <rPr>
            <sz val="9"/>
            <color indexed="81"/>
            <rFont val="Tahoma"/>
            <family val="2"/>
          </rPr>
          <t>5A04 : Contrôle de la saisie des données</t>
        </r>
      </text>
    </comment>
    <comment ref="G61" authorId="1" shapeId="0" xr:uid="{296F704C-A134-4A2C-9F1D-7CAE62D1EA9A}">
      <text>
        <r>
          <rPr>
            <sz val="9"/>
            <color indexed="81"/>
            <rFont val="Tahoma"/>
            <family val="2"/>
          </rPr>
          <t>5E01 : Garantie d'origine, signature, électronique</t>
        </r>
      </text>
    </comment>
    <comment ref="J61" authorId="1" shapeId="0" xr:uid="{617A7C53-D178-4024-A49C-7AFDA47BDC0D}">
      <text>
        <r>
          <rPr>
            <sz val="9"/>
            <color indexed="81"/>
            <rFont val="Tahoma"/>
            <family val="2"/>
          </rPr>
          <t>5E02 : Individualisation des messages empêchant leur duplication (numérotation, séquencement,...)</t>
        </r>
      </text>
    </comment>
    <comment ref="M61" authorId="1" shapeId="0" xr:uid="{31D0DD32-0F16-4E21-8D24-F63A34E4C8E0}">
      <text>
        <r>
          <rPr>
            <sz val="9"/>
            <color indexed="81"/>
            <rFont val="Tahoma"/>
            <family val="2"/>
          </rPr>
          <t>5E03 : Contrôle de la réception des messages sensibles</t>
        </r>
      </text>
    </comment>
    <comment ref="P61" authorId="1" shapeId="0" xr:uid="{94E5E4DE-5233-44FE-9643-955EDFEDB654}">
      <text>
        <r>
          <rPr>
            <sz val="9"/>
            <color indexed="81"/>
            <rFont val="Tahoma"/>
            <family val="2"/>
          </rPr>
          <t>5E04 : Contrôle de la transmission des données</t>
        </r>
      </text>
    </comment>
    <comment ref="G63" authorId="1" shapeId="0" xr:uid="{86712FDF-50EF-49BC-8B0E-7F30617F6973}">
      <text>
        <r>
          <rPr>
            <sz val="9"/>
            <color indexed="81"/>
            <rFont val="Tahoma"/>
            <family val="2"/>
          </rPr>
          <t>2E01 : Conservation et protection des documents et supports amovibles importants</t>
        </r>
      </text>
    </comment>
    <comment ref="J63" authorId="1" shapeId="0" xr:uid="{B9266765-CCC9-4C92-8131-8C18E81CBA4F}">
      <text>
        <r>
          <rPr>
            <sz val="9"/>
            <color indexed="81"/>
            <rFont val="Tahoma"/>
            <family val="2"/>
          </rPr>
          <t>2E02 : Ramassage des corbeilles à papier et destruction des documents</t>
        </r>
      </text>
    </comment>
    <comment ref="M63" authorId="1" shapeId="0" xr:uid="{F7BFF28E-6DF4-428D-B74A-5171CE9DBF71}">
      <text>
        <r>
          <rPr>
            <sz val="9"/>
            <color indexed="81"/>
            <rFont val="Tahoma"/>
            <family val="2"/>
          </rPr>
          <t>6A02 : Travail en dehors des locaux de l'entreprise</t>
        </r>
      </text>
    </comment>
    <comment ref="G64" authorId="1" shapeId="0" xr:uid="{020493C0-E983-4B58-8C95-B2DEC848C4DA}">
      <text>
        <r>
          <rPr>
            <sz val="9"/>
            <color indexed="81"/>
            <rFont val="Tahoma"/>
            <family val="2"/>
          </rPr>
          <t>6B05 : Protection des impressions sur imprimantes partagées</t>
        </r>
      </text>
    </comment>
    <comment ref="G66" authorId="1" shapeId="0" xr:uid="{0982934D-75E7-45D1-BB91-5C4A788C6BCD}">
      <text>
        <r>
          <rPr>
            <sz val="9"/>
            <color indexed="81"/>
            <rFont val="Tahoma"/>
            <family val="2"/>
          </rPr>
          <t>4E02 : Sécurité physique des medias</t>
        </r>
      </text>
    </comment>
    <comment ref="J66" authorId="1" shapeId="0" xr:uid="{085B486A-821A-4095-B6FB-EDEFC02AF2B6}">
      <text>
        <r>
          <rPr>
            <sz val="9"/>
            <color indexed="81"/>
            <rFont val="Tahoma"/>
            <family val="2"/>
          </rPr>
          <t>4E04 : Sécurité physique des media en transit</t>
        </r>
      </text>
    </comment>
    <comment ref="G67" authorId="1" shapeId="0" xr:uid="{A42FD6AF-F9A9-44CF-A42B-D929A41C18A7}">
      <text>
        <r>
          <rPr>
            <sz val="9"/>
            <color indexed="81"/>
            <rFont val="Tahoma"/>
            <family val="2"/>
          </rPr>
          <t>2E04 : Gestion des archives documentaires</t>
        </r>
      </text>
    </comment>
    <comment ref="J67" authorId="1" shapeId="0" xr:uid="{A2B0205E-C512-4B16-87B2-45DB42A1B2C4}">
      <text>
        <r>
          <rPr>
            <sz val="9"/>
            <color indexed="81"/>
            <rFont val="Tahoma"/>
            <family val="2"/>
          </rPr>
          <t>4F01 : Organisation de la gestion des archives informatiques</t>
        </r>
      </text>
    </comment>
    <comment ref="M67" authorId="1" shapeId="0" xr:uid="{A9A0A12D-01F3-41F4-8350-6D5B27AD2F50}">
      <text>
        <r>
          <rPr>
            <sz val="9"/>
            <color indexed="81"/>
            <rFont val="Tahoma"/>
            <family val="2"/>
          </rPr>
          <t>4F02 : Gestion des accès aux archives</t>
        </r>
      </text>
    </comment>
    <comment ref="P67" authorId="1" shapeId="0" xr:uid="{CAEFFBC3-1265-4317-A4A5-7ED2C966E9FA}">
      <text>
        <r>
          <rPr>
            <sz val="9"/>
            <color indexed="81"/>
            <rFont val="Tahoma"/>
            <family val="2"/>
          </rPr>
          <t>4F03 : Sécurité des archives</t>
        </r>
      </text>
    </comment>
    <comment ref="G69" authorId="1" shapeId="0" xr:uid="{C4AAEFCE-4D14-43BD-B681-B9832C4B6FC9}">
      <text>
        <r>
          <rPr>
            <sz val="9"/>
            <color indexed="81"/>
            <rFont val="Tahoma"/>
            <family val="2"/>
          </rPr>
          <t>7B10 : Protection de la confidentialité des codes sources</t>
        </r>
      </text>
    </comment>
    <comment ref="G71" authorId="1" shapeId="0" xr:uid="{D58A98EB-5A2D-4E34-AF5A-DCDE17AF6313}">
      <text>
        <r>
          <rPr>
            <sz val="9"/>
            <color indexed="81"/>
            <rFont val="Tahoma"/>
            <family val="2"/>
          </rPr>
          <t>8A01 : Mise en place des processus et procédures adaptés aux exigences légales ou contractuelles</t>
        </r>
      </text>
    </comment>
    <comment ref="J71" authorId="1" shapeId="0" xr:uid="{C66F294F-6D9B-48C4-A8B1-E172E112EF4B}">
      <text>
        <r>
          <rPr>
            <sz val="9"/>
            <color indexed="81"/>
            <rFont val="Tahoma"/>
            <family val="2"/>
          </rPr>
          <t>8A02 : Contrôle de l'application des procédures visant le respect des exigences légales et contractuelles</t>
        </r>
      </text>
    </comment>
    <comment ref="M71" authorId="1" shapeId="0" xr:uid="{F1291E3F-B225-4AE0-831A-9530C02639B1}">
      <text>
        <r>
          <rPr>
            <sz val="9"/>
            <color indexed="81"/>
            <rFont val="Tahoma"/>
            <family val="2"/>
          </rPr>
          <t>8A03 : Supervision des processus et procédures adaptés aux exigences légales et contractuelles</t>
        </r>
      </text>
    </comment>
    <comment ref="G72" authorId="1" shapeId="0" xr:uid="{199CD9A2-D129-41F3-9749-A9F5FA25ABA5}">
      <text>
        <r>
          <rPr>
            <sz val="9"/>
            <color indexed="81"/>
            <rFont val="Tahoma"/>
            <family val="2"/>
          </rPr>
          <t>8B01 : Mise en place des processus et procédures adaptés aux règles de gouvernance et de prise de décision</t>
        </r>
      </text>
    </comment>
    <comment ref="J72" authorId="1" shapeId="0" xr:uid="{BC479D45-298F-4FB8-8DCC-3EC50DBE06D0}">
      <text>
        <r>
          <rPr>
            <sz val="9"/>
            <color indexed="81"/>
            <rFont val="Tahoma"/>
            <family val="2"/>
          </rPr>
          <t>8B02 : Contrôle de l'application des procédures vusant le respect des règles de gouvernance et de prise de décision</t>
        </r>
      </text>
    </comment>
    <comment ref="M72" authorId="1" shapeId="0" xr:uid="{525DEE64-F662-4B8D-8105-39CFCC8A755B}">
      <text>
        <r>
          <rPr>
            <sz val="9"/>
            <color indexed="81"/>
            <rFont val="Tahoma"/>
            <family val="2"/>
          </rPr>
          <t xml:space="preserve">8B03 : Supervision des processus et procédures adaptés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<sst xmlns="http://schemas.openxmlformats.org/spreadsheetml/2006/main" count="13622" uniqueCount="7540">
  <si>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</si>
  <si>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</si>
  <si>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</si>
  <si>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t>Les contrats de maintenance, le choix des prestataires et les procédures de maintenance associées font-ils l'objet d'un audit régulier ?</t>
  </si>
  <si>
    <t>L'intégrité des configurations par rapport aux configurations théoriquement attendues est-elle testée très régulièrement (au moins hebdomadairement, si ce n'est à chaque initialisation du système) ?</t>
  </si>
  <si>
    <t>Gestion des supports amovibles</t>
  </si>
  <si>
    <t>Synchronisation des horloges</t>
  </si>
  <si>
    <t>Politique de contrôle d'accès</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</si>
  <si>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</si>
  <si>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Y a-t-il un système soutenant la gestion des incidents ?</t>
  </si>
  <si>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</si>
  <si>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</si>
  <si>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t>Les solutions de continuité des services informatiques sont-elles décrites en détail dans des Plans de Reprise d'Activité incluant les règles de déclenchement, les actions à mener, les priorités, les acteurs à mobiliser et leurs coordonnées ?</t>
  </si>
  <si>
    <t>Ces plans sont-ils testés au moins une fois par an ?</t>
  </si>
  <si>
    <t>L'arrêt ou l'inhibition des systèmes de sécurité (incendie, dégâts des eaux, contrôle d'accès, détection d'intrusion) déclenchent-ils une alarme auprès d'un centre de surveillance pouvant intervenir rapidement ?</t>
  </si>
  <si>
    <t>Plans de Reprise de l'Environnement de Travail (PRET)</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</si>
  <si>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</si>
  <si>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L'interruption du service de contrôle d'accès au poste de travail est-elle détectée dynamiquement lors de la connexion au réseau d'entreprise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</si>
  <si>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</si>
  <si>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Protection des données du poste de travail </t>
  </si>
  <si>
    <t xml:space="preserve">Les éléments du processus de chiffrement sont-ils fortement protégés contre toute altération, modification ou arrêt ?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</si>
  <si>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</si>
  <si>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</si>
  <si>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</si>
  <si>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</si>
  <si>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</si>
  <si>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L'impact éventuel des changements de systèmes sur les plans de continuité d'activité a-t-il été pris en compte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</si>
  <si>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</si>
  <si>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Sécurité de la messagerie électronique (courriels) et des échanges électroniques d'information</t>
  </si>
  <si>
    <t>Un cahier des charges concernant les règles d'archivage est-il établi et tenu à jour par chaque propriétaire de données à archiver ?</t>
  </si>
  <si>
    <t>L'ensemble des procédures concernant la politique d'archivage fait-il l'objet d'un audit régulier ?</t>
  </si>
  <si>
    <t>Contrôle de la circulation des visiteurs et des prestataires occasionnels amenés à intervenir dans les bureaux</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</si>
  <si>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</si>
  <si>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t>Les moyens nécessaires à l'intervention du personnel d'exploitation pour résoudre tout incident critique d'exploitation sont-ils protégés contre toute inhibition ou altération non justifiées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</si>
  <si>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</si>
  <si>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</si>
  <si>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</si>
  <si>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</si>
  <si>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t>Le processus ou les directives concernant le chiffrement des fichiers s'étend-il aux informations contenues dans les carnets d'adresses électroniques ?</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</si>
  <si>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</si>
  <si>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</si>
  <si>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</si>
  <si>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</si>
  <si>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Les mises à jour de ces plans sont-elles régulièrement auditées (au moins une fois par an) ?</t>
  </si>
  <si>
    <t>Cette politique de sécurité est-elle revue à intervalles réguliers ou lors de changements significatifs, afin d'assurer le maintien de sa pertinence et de son efficacité ?</t>
  </si>
  <si>
    <t>Cloisonnement des réseaux</t>
  </si>
  <si>
    <t>Télétravail</t>
  </si>
  <si>
    <t>Gestion des vulnérabilités techniques</t>
  </si>
  <si>
    <t>Droits de propriété intellectuelle</t>
  </si>
  <si>
    <t>Les postes de travail sont-ils équipés d'un système d'effacement empêchant effectivement de relire toute donnée effacée sur le disque local ou sur un disque partagé ?</t>
  </si>
  <si>
    <t xml:space="preserve">Protection des postes de travail </t>
  </si>
  <si>
    <t>Les environnements de développement et de test sont-ils séparés des environnements opérationnels ?</t>
  </si>
  <si>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</si>
  <si>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Organisation de la gestion des archives informatiques</t>
  </si>
  <si>
    <t>Le poste de travail est-il équipé d'un système d'effacement réel et efficace des fichiers temporaires créés sur le disque local ou sur un disque partagé ?</t>
  </si>
  <si>
    <t>Garantie d'origine, signature électronique</t>
  </si>
  <si>
    <t>Attaque en blocage de compte</t>
  </si>
  <si>
    <t>La mise hors service ou le contournement des dispositifs de sécurité sont-ils immédiatement détectés et signalés à une équipe responsable ?</t>
  </si>
  <si>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</si>
  <si>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compatible avec les exigences de disponibilité ?</t>
  </si>
  <si>
    <t xml:space="preserve">A-t-on établi, pour chaque incident d'exploitation, les moyens de diagnostic correspondants ? </t>
  </si>
  <si>
    <t>S'assure-t-on régulièrement de la mise à jour de la documentation d'exploitation correspondante ?</t>
  </si>
  <si>
    <t>S'assure-t-on régulièrement des possibilités réelles de restauration des données et de reprise du service en cas d'incident d'exploitation ?</t>
  </si>
  <si>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</si>
  <si>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</si>
  <si>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</si>
  <si>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</si>
  <si>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</si>
  <si>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</si>
  <si>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</si>
  <si>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</si>
  <si>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</si>
  <si>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Niveau cible</t>
  </si>
  <si>
    <t>Obj</t>
  </si>
  <si>
    <t>A-t-on défini et mis en place, en conséquence et pour faire face à chaque scénario retenu, une solution de secours respectant les demandes des utilisateurs ?</t>
  </si>
  <si>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</si>
  <si>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Les moyens informatiques utilisés pour le travail en dehors des locaux de l'entreprise (micro-ordinateurs portables) sont-ils exclusivement des moyens de l'entreprise, configurés spécifiquement (en particulier s'ils permettent la connexion au réseau interne) ?</t>
  </si>
  <si>
    <t>La configuration des moyens informatiques utilisés pour le travail en dehors des locaux de l'entreprise (micro-ordinateurs portables) est-elle régulièrement contrôlée ?</t>
  </si>
  <si>
    <t>Questions ou services support du scoring</t>
  </si>
  <si>
    <t>5.1</t>
  </si>
  <si>
    <t>Politique de sécurité de l'information</t>
  </si>
  <si>
    <t>Organisation de la sécurité de l'information</t>
  </si>
  <si>
    <t>6.1</t>
  </si>
  <si>
    <t>Revue indépendante de la sécurité de l'information</t>
  </si>
  <si>
    <t>6.2</t>
  </si>
  <si>
    <t>7.1</t>
  </si>
  <si>
    <t>8.1</t>
  </si>
  <si>
    <t>8.2</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</si>
  <si>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</si>
  <si>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</si>
  <si>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</si>
  <si>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</si>
  <si>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t>Le cas de défaillance ou d'indisponibilité d'un moyen de secours a-t-il été envisagé et y a-t-il, pour chacun, une solution de secours de deuxième niveau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</si>
  <si>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</si>
  <si>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</si>
  <si>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Ces plans prennent-ils en compte tous les aspects organisationnels liés aux moyens à mettre en œuvre pour assurer la continuité entre la détection d'incident et la reprise effective des processus applicatifs (personnel, logistique, encadrement, etc.) ?</t>
  </si>
  <si>
    <t xml:space="preserve">Le Plan de déclenchement de crise est-il en phase avec ce plan de continuité des activités global ? </t>
  </si>
  <si>
    <t>Ces plans sont-ils régulièrement testés en vraie grandeur (avec toute la volumétrie réelle) et actualisés (au moins une fois par an) ?</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</si>
  <si>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</si>
  <si>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</si>
  <si>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</si>
  <si>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</si>
  <si>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</si>
  <si>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t>Gestion du personnel et des partenaires ou prestataires stratégiques</t>
  </si>
  <si>
    <t>Protection de la confidentialité des données contenues sur le poste de travail ou sur un serveur de données (disque logique pour le poste de travail)</t>
  </si>
  <si>
    <t>Mesures (formules littérales)</t>
  </si>
  <si>
    <t xml:space="preserve">  Type AEM</t>
  </si>
  <si>
    <t xml:space="preserve">  Exposition</t>
  </si>
  <si>
    <t xml:space="preserve">  Dissuasion</t>
  </si>
  <si>
    <t xml:space="preserve">  Prévention</t>
  </si>
  <si>
    <t xml:space="preserve">  Palliation</t>
  </si>
  <si>
    <t xml:space="preserve">  I calculé</t>
  </si>
  <si>
    <t xml:space="preserve">  Gravité calculée</t>
  </si>
  <si>
    <t>Existe-t-il un plan regroupant l'ensemble des solutions de secours pour pallier tous les arrêts des processus critiques et applications sensibles ?</t>
  </si>
  <si>
    <t xml:space="preserve">L'ensemble des données utilisateurs (stockées sur les postes de travail) est-il systématiquement sauvegardé (à l'initiative des utilisateurs, à fréquence fixe ou à l'occasion d'une connexion au réseau interne) ? </t>
  </si>
  <si>
    <t>Le poste de travail est-il protégé contre toute utilisation par d'autres personnes que les titulaires du poste (en particulier en cas d'absence momentanée du titulaire, au-delà d'une durée tolérable, 10' par exemple) ?</t>
  </si>
  <si>
    <t>Gestion des accès aux archives</t>
  </si>
  <si>
    <t xml:space="preserve">Les éléments du processus de contrôle d'intégrité sont-ils fortement protégés contre toute altération, modification ou arrêt ?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</si>
  <si>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</si>
  <si>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A-t-on mis en place un service de messagerie électronique chiffrée ?</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</si>
  <si>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</si>
  <si>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Les procédures et les instructions relatives à la sécurité de la messagerie électronique et des échanges électroniques d'information sont-elles régulièrement auditées ?</t>
  </si>
  <si>
    <t>Légende :</t>
  </si>
  <si>
    <t>La politique de sécurité interdit-elle formellement d'emporter en dehors de l'entreprise des documents classifiés comme importants ou ayant valeur de preuve ?</t>
  </si>
  <si>
    <t>Absence de service : Impossibilité d'accès aux locaux</t>
  </si>
  <si>
    <t>Processus disciplinaire</t>
  </si>
  <si>
    <t>8.3</t>
  </si>
  <si>
    <t>Sécurité du câblage</t>
  </si>
  <si>
    <t>Séparation des tâches</t>
  </si>
  <si>
    <t>Sécurité des services réseaux</t>
  </si>
  <si>
    <t>Cette procédure est-elle connue de tous les utilisateurs ?</t>
  </si>
  <si>
    <t>Procédures inappliquées volontairement</t>
  </si>
  <si>
    <t>PR.N.Api</t>
  </si>
  <si>
    <t>Code type</t>
  </si>
  <si>
    <t>AC.E</t>
  </si>
  <si>
    <t>AC.M</t>
  </si>
  <si>
    <t>Les décisions de changement s'appuient-elles sur des analyses de la capacité des nouveaux équipements et systèmes à assurer la charge  requise en fonction des évolutions des demandes prévisibles ?</t>
  </si>
  <si>
    <t>Procédures et plans de reprise des applications sur incidents</t>
  </si>
  <si>
    <t>Décompte pour panorama</t>
  </si>
  <si>
    <t>Gr = 1</t>
  </si>
  <si>
    <t>Gr = 2</t>
  </si>
  <si>
    <t>Gr = 3</t>
  </si>
  <si>
    <t>Gr = 4</t>
  </si>
  <si>
    <t>Nombre de scénarios par niveau de gravité</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</si>
  <si>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</si>
  <si>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</si>
  <si>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</si>
  <si>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</si>
  <si>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</si>
  <si>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</si>
  <si>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</si>
  <si>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</si>
  <si>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</si>
  <si>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</si>
  <si>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Tous les états et rapports sensibles sont-ils imprimés dans des locaux protégés contre des intrusions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</si>
  <si>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</si>
  <si>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</si>
  <si>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</si>
  <si>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</si>
  <si>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</si>
  <si>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t>Les états et rapports imprimés sont-ils "marqués" anonymement à l'exclusion de toute classification ?</t>
  </si>
  <si>
    <t>L'ensemble des procédures de diffusion des états et rapports imprimés sensibles fait-il l'objet d'un audit régulier ?</t>
  </si>
  <si>
    <t>L'accès aux équipements de stockage fait-il l'objet d'une authentification forte des éléments autorisés (serveurs et stations d'administration) ?</t>
  </si>
  <si>
    <t>Les données stockées via les réseaux de stockage (SAN) sont-elles chiffrées avant leur transmission sur ces réseaux ?</t>
  </si>
  <si>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</si>
  <si>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utilisateurs ont-ils la possibilité de déclencher eux-mêmes une sauvegarde en cas de besoin ?</t>
  </si>
  <si>
    <t>Panorama des gravités de scénarios</t>
  </si>
  <si>
    <t>Dispose-t-on systématiquement de plusieurs générations de fichiers de sauvegardes afin de pouvoir s'affranchir d'un manque ou d'un illisible, en organisant par exemple une rotation des supports de sauvegarde ?</t>
  </si>
  <si>
    <t>Conserve-t-on systématiquement un jeu de sauvegardes trimestrielles ou semestrielles, afin de pouvoir servir d'archives de secours ?</t>
  </si>
  <si>
    <t>Plan de sauvegardes des données utilisateurs stockées sur les postes de travail</t>
  </si>
  <si>
    <t>ACTIF</t>
  </si>
  <si>
    <t>MENACE</t>
  </si>
  <si>
    <t>Actif</t>
  </si>
  <si>
    <t>support</t>
  </si>
  <si>
    <t>Création de faux (messages ou données)</t>
  </si>
  <si>
    <t>MA.L.Fau</t>
  </si>
  <si>
    <t>Les demandes d'extraction d'archives ne peuvent-elles provenir que du propriétaire désigné ?</t>
  </si>
  <si>
    <t>La demande du propriétaire fait-elle l'objet d'un contrôle d'authenticité ?</t>
  </si>
  <si>
    <t>Ce contrôle est-il considéré comme "fort" ?</t>
  </si>
  <si>
    <t>Pour la récupération des données chiffrées, la gestion des clés prévoit-elle la récupération des clés perdues ou altérées ?</t>
  </si>
  <si>
    <t>Accident grave d'environnement</t>
  </si>
  <si>
    <t>Disparition</t>
  </si>
  <si>
    <t xml:space="preserve">Vol physique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</si>
  <si>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</si>
  <si>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</si>
  <si>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</si>
  <si>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états et rapports imprimés sensibles rebutés sont-ils détruits de manière sécurisée rendant impossible leur exploitation ?</t>
  </si>
  <si>
    <t>A-t-on analysé les événements ou successions d'événements pouvant être révélateurs de comportements anormaux ou d'actions illicites et a-t-on mis en place des points ou indicateurs de surveillance en conséquence ?</t>
  </si>
  <si>
    <t>Le système dispose-t-il d'une fonction automatique de surveillance en temps réel en cas d'accumulation d'événements anormaux (par exemple tentatives infructueuses de connexion sur stations voisines ou sur des transactions sensibles) ?</t>
  </si>
  <si>
    <t>A-t-on défini, pour chaque cas d'alerte, la réaction attendue de l'équipe d'intervention et sa disponibilité est-elle suffisante pour faire face à cette attente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</si>
  <si>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</si>
  <si>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</si>
  <si>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</si>
  <si>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</si>
  <si>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Existe-t-il une procédure qui permette à un administrateur autorisé d'accéder au poste de travail en cas de départ ou de disparition de son titulaire ?</t>
  </si>
  <si>
    <t>Procède-t-on à des audits réguliers des procédures et des services de contrôle d'accès ?</t>
  </si>
  <si>
    <t>Gestion et traitement des incidents systèmes et applicatifs</t>
  </si>
  <si>
    <t>Gr 1</t>
  </si>
  <si>
    <t>Gr 2</t>
  </si>
  <si>
    <t>Les mécanismes de chiffrement des données stockées, leur paramétrage et les procédures associées (en particulier la gestion et la protection des clés) font-ils l'objet d'audits réguliers ?</t>
  </si>
  <si>
    <t>Enregistrements de Très Haute Sécurité (THS)</t>
  </si>
  <si>
    <t>Plans de Continuité des processus applicatifs</t>
  </si>
  <si>
    <t>Individualisation des messages empêchant leur duplication (numérotation, séquencement,...)</t>
  </si>
  <si>
    <t>IF.L.Lsp</t>
  </si>
  <si>
    <t>Saturation malveillante d'équipements informatiques ou réseaux</t>
  </si>
  <si>
    <t>MA.L.Sam</t>
  </si>
  <si>
    <t>Plans de Reprise de l'Environnement de Travail</t>
  </si>
  <si>
    <t>Tableau T1</t>
  </si>
  <si>
    <t>Processus métier,  application ou domaine applicatif
Services communs</t>
  </si>
  <si>
    <t>Les utilisateurs n'ont-ils accès qu'à des copies d'archives, le service des archives conservant toujours une version de l'archive originale ?</t>
  </si>
  <si>
    <t>Les accès aux archives, par le personnel de gestion des archives, fait-il lui-même l'objet d'une authentification forte ?</t>
  </si>
  <si>
    <t>Les locaux d'archivage sont-ils sous vidéosurveillance permanente ?</t>
  </si>
  <si>
    <t>Les paramètres de ces contrôles sont-ils dans des tables séparées du code de l'application et facilement vérifiables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</si>
  <si>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</si>
  <si>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t>Questionnaire d'audit : Organisation de la sécurité</t>
  </si>
  <si>
    <t>Ces mesures de protection sont-elles adaptées à la sensibilité maximale des informations (stockage intermédiaire en armoires fortes et remise en main propre pour les informations très sensibles ) ?</t>
  </si>
  <si>
    <t>Contrôle des configurations matérielles et logicielles</t>
  </si>
  <si>
    <t>Les documents de référence sont-ils protégés contre tout accès indu ou illicite, par des mécanismes forts ?</t>
  </si>
  <si>
    <t>Procède-t-on à des audits réguliers des paramètres de sécurité spécifiés ?</t>
  </si>
  <si>
    <t>Les enregistrements ou les synthèses sont-ils protégés contre toute altération ou destruction ?</t>
  </si>
  <si>
    <t>Procède-t-on régulièrement à des tests de relecture des sauvegardes des données applicatives ?</t>
  </si>
  <si>
    <t>Erreur matérielle ou de comportement du personnel</t>
  </si>
  <si>
    <t>Malveillance menée par voie logique ou fonctionnelle</t>
  </si>
  <si>
    <t>Malveillance menée par voie physique</t>
  </si>
  <si>
    <t>Enregistre-t-on ces événements ainsi que tous les paramètres utiles à leur analyse ultérieure ?</t>
  </si>
  <si>
    <t>Les procédures d'enregistrement, de traitement des enregistrements et d'analyse des synthèses ainsi que la disponibilité de l'équipe d'analyse et d'intervention font-elles l'objet d'un audit régulier ?</t>
  </si>
  <si>
    <t>Procède-t-on à des audits réguliers des procédures d'exception et d'escalade en cas de difficulté ou de problème d'installation ?</t>
  </si>
  <si>
    <t>Ce document est-il mis à jour à chaque changement de version de référence ?</t>
  </si>
  <si>
    <t>Ce (ou ces) document impose-t-il de supprimer l'ensemble des comptes génériques ou par défaut et en établit-il la liste ?</t>
  </si>
  <si>
    <t>V1</t>
  </si>
  <si>
    <t>V2</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</si>
  <si>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</si>
  <si>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</si>
  <si>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B - Contrôle des configurations matérielles et logicielles</t>
  </si>
  <si>
    <t>Ces procédures de Très Haute Sécurité emploient-elles des moyens permettant de reconstituer les données en cas d'erreur ou d'impossibilité de lecture de quelques secteurs ?</t>
  </si>
  <si>
    <t>A-t-on défini les scénarios contre lesquels les enregistrements de très haute sécurité devaient intervenir et a-t-on vérifié que la protection physique des supports d'enregistrements était adaptée à ces scénarios ?</t>
  </si>
  <si>
    <t>Ce chiffrement se fait-il de façon systématique lors de tout transfert ou téléchargement de fichiers déclenché par les applications concernées ?</t>
  </si>
  <si>
    <t>Les conditions de stockage des archives et les systèmes de sécurité associés font-ils l'objet d'audits réguliers ?</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</si>
  <si>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</si>
  <si>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</si>
  <si>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</si>
  <si>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</si>
  <si>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</si>
  <si>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</si>
  <si>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</si>
  <si>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</si>
  <si>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</si>
  <si>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</si>
  <si>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</si>
  <si>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</si>
  <si>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 xml:space="preserve">  Confinable</t>
  </si>
  <si>
    <t xml:space="preserve">  Sélection</t>
  </si>
  <si>
    <t>Services à améliorer</t>
  </si>
  <si>
    <t>Les Plans de Continuité des processus applicatifs prévoient-ils les procédures de retour à la normale ?</t>
  </si>
  <si>
    <t>Les utilisateurs ont-ils reçu une formation à l'utilisation des moyens de contrôle d'intégrité, leur indiquant, en particulier, les conditions à respecter pour que ce contrôle ne puisse être contourné ?</t>
  </si>
  <si>
    <t>Les fournisseurs disposent-ils d'un centre technique de support logiciel garantissant une assistance téléphonique rapide et compétente ?</t>
  </si>
  <si>
    <t>Le système de contrôle d'accès est-il considéré comme "fort" ?</t>
  </si>
  <si>
    <t>Les accès aux locaux d'impression sont-ils réservés aux personnes d'un même service partageant les mêmes droits ?</t>
  </si>
  <si>
    <t>Tous ces contrôles, s'ils existent, sont-ils intégrés dans un processus opérationnel d'alerte et de  traitement des erreurs ?</t>
  </si>
  <si>
    <t>Le processus de contrôle fait-il l'objet d'un audit régulier ?</t>
  </si>
  <si>
    <t>Processus métiers</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</si>
  <si>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</si>
  <si>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</si>
  <si>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t>A-t-on défini les actions à mener par le personnel informatique, pour prévenir, détecter et corriger les attaques par des codes malveillants (virus, spyware, autres) ?</t>
  </si>
  <si>
    <t>Est-on abonné à une centrale d'alerte permettant d'être prévenu  et d'anticiper certaines attaques massives pour lesquelles les antivirus ne sont pas encore à jour ?</t>
  </si>
  <si>
    <t>V3</t>
  </si>
  <si>
    <t>V4</t>
  </si>
  <si>
    <t>D06</t>
  </si>
  <si>
    <t>I</t>
  </si>
  <si>
    <t>A - Contrôle d'accès aux systèmes et applications</t>
  </si>
  <si>
    <t>A-t-on défini pour chaque cas d'alerte, la réaction attendue de l'équipe de surveillance et sa disponibilité est-elle suffisante pour faire face à cette attente ?</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</si>
  <si>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</si>
  <si>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Dissuasives
EFF-DISS</t>
  </si>
  <si>
    <t>Préventives
EFF-PREV</t>
  </si>
  <si>
    <t>Confinement
EFF-CONF</t>
  </si>
  <si>
    <t>Palliatives
EFF-PALL</t>
  </si>
  <si>
    <t>Gestion des archives documentaires</t>
  </si>
  <si>
    <t>Gr 3</t>
  </si>
  <si>
    <t>Gr 4</t>
  </si>
  <si>
    <t>DOMAINES</t>
  </si>
  <si>
    <t>SERVICES</t>
  </si>
  <si>
    <t>SOUS-SERVICES</t>
  </si>
  <si>
    <t>Le personnel a-t-il la possibilité de détruire les éléments imprimés à rebuter de manière sécurisée  ?</t>
  </si>
  <si>
    <t>Protection des impressions sur imprimantes partagées</t>
  </si>
  <si>
    <t>Efficience</t>
  </si>
  <si>
    <t>Exposition naturelle décidée</t>
  </si>
  <si>
    <t>Exposition naturelle résultante</t>
  </si>
  <si>
    <t>Plans de Continuité de l'Activité</t>
  </si>
  <si>
    <t>Plans de continuité de l'activité</t>
  </si>
  <si>
    <t xml:space="preserve">Accusé de réception </t>
  </si>
  <si>
    <t>A - Organisation des développements, de la maintenance et de la gestion des changements</t>
  </si>
  <si>
    <t>Gestion des changements</t>
  </si>
  <si>
    <t>A-t-on défini les transactions sensibles devant être protégés par des solutions de signature électronique et mis en place de telles solutions au niveau applicatif ?</t>
  </si>
  <si>
    <t>La conformité des signatures est-elle contrôlée automatiquement par l'application ?</t>
  </si>
  <si>
    <t>Contrôle de l'émission et de la réception de données</t>
  </si>
  <si>
    <t>Les utilisateurs ont-ils reçu une formation à l'utilisation des moyens de chiffrement et d'effacement des informations à supprimer, leur indiquant, en particulier, les conditions à respecter pour que ce chiffrement ne puisse être contourné ?</t>
  </si>
  <si>
    <t>Procède-t-on à des audits réguliers de l'utilisation des moyens de chiffrement et d'effacement par les utilisateurs ?</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</si>
  <si>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</si>
  <si>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A-t-on identifié précisément les scénarios de sinistre pouvant affecter l'infrastructure et les services informatiques et analysé, pour chaque scénario, ses conséquences en termes de services non rendus aux utilisateurs ?</t>
  </si>
  <si>
    <t>Les moyens nécessaires à l'archivage des données sont-ils connus et financés sur le long terme ?</t>
  </si>
  <si>
    <t>Existe-t-il, pour les données sensibles, un moyen d'imputer les données saisies ou modifiées à leur auteur ?</t>
  </si>
  <si>
    <t xml:space="preserve">Actifs de type Données et informations </t>
  </si>
  <si>
    <t>Le processus d'authentification est-il permanent (carte à puce) ?</t>
  </si>
  <si>
    <t>Si le processus d'authentification n'est pas permanent, doit-il être réinitialisé après une courte période d'inactivité ?</t>
  </si>
  <si>
    <t>L'ensemble des procédures et plans de sauvegarde de données fait-il l'objet d'un audit régulier ?</t>
  </si>
  <si>
    <t>Les mécanismes de scellement, leur paramétrage et les procédures associées font-ils l'objet d'audits réguliers ?</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</si>
  <si>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</si>
  <si>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Les données sensibles font-elles l'objet d'un contrôle de saisie indépendant (par une autre personne) ?</t>
  </si>
  <si>
    <t>A-t-on mis en place un service de signature électronique ?</t>
  </si>
  <si>
    <t>C</t>
  </si>
  <si>
    <t>MA.L.Vol</t>
  </si>
  <si>
    <t>D05</t>
  </si>
  <si>
    <t>AC.M.Ser</t>
  </si>
  <si>
    <t>S03</t>
  </si>
  <si>
    <t>Tableau des événements</t>
  </si>
  <si>
    <t>Incident d'exploitation</t>
  </si>
  <si>
    <t>Virus</t>
  </si>
  <si>
    <t>Panne d'équipement informatique ou télécom</t>
  </si>
  <si>
    <t>Panne d'équipement de servitude</t>
  </si>
  <si>
    <t>Absence de service : Énergie</t>
  </si>
  <si>
    <t>Absence de service : locaux</t>
  </si>
  <si>
    <t>Les réseaux de stockage sont-ils protégés par un pare-feu ne laissant passer que les flux de stockage et les flux d'administration ?</t>
  </si>
  <si>
    <t>Les protocoles de stockage de données comportent-ils une protection contre le rejeu ?</t>
  </si>
  <si>
    <t>Le personnel a-t-il la possibilité d'annuler une impression en attente de traitement, si nécessaire ?</t>
  </si>
  <si>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</si>
  <si>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Existe-t-il une procédure précisant la conduite à tenir en cas d'erreur ou d'alerte ?</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</si>
  <si>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</si>
  <si>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Les mécanismes de signature, leur paramétrage et les procédures associées font-ils l'objet d'audits réguliers ?</t>
  </si>
  <si>
    <t>Individualisation des messages empêchant leur duplication (numérotation, séquencement, ... )</t>
  </si>
  <si>
    <t>A-t-on défini les transactions sensibles devant être protégés par des solutions de contrôle de numérotation ou de séquencement et mis en place de telles solutions au niveau applicatif (ou éventuellement au niveau réseau) ?</t>
  </si>
  <si>
    <t>A-t-on défini, pour chaque incident d'exploitation, un délai de résolution et une procédure d'escalade en cas d'insuccès ou de retard des mesures prévues ?</t>
  </si>
  <si>
    <t>Les moyens de diagnostic nécessaires à l'intervention du personnel d'exploitation sont-ils protégés contre toute inhibition ou altération non justifiées ?</t>
  </si>
  <si>
    <t>S'assure-t-on régulièrement de l'efficacité réelle des procédures et des moyens de surveillance et de diagnostic du bon fonctionnement des applications ?</t>
  </si>
  <si>
    <t>Ce plan de sauvegarde est-il traduit en automatismes de production ?</t>
  </si>
  <si>
    <t>A-t-on prévu les instructions et la formation à donner aux personnels ?</t>
  </si>
  <si>
    <t>Les procédures de gestion des clés révoquées garantissent-elles que les systèmes de contrôle prennent en compte ces révocations en temps réel ?</t>
  </si>
  <si>
    <t>Enregistrement de Très Haute Sécurité</t>
  </si>
  <si>
    <t>Applique-t-on des procédures spécifiques de sécurité vérifiant que chaque donnée enregistrée peut être relue ?</t>
  </si>
  <si>
    <t>Existe-t-il des procédures ou une architecture de Très Haute Sécurité enregistrant chaque donnée avec redondance  (disques RAID, mirroring, etc.) ?</t>
  </si>
  <si>
    <t>Procède-t-on à des audits réguliers de l'utilisation des moyens de contrôle d'intégrité par les utilisateurs ?</t>
  </si>
  <si>
    <t>Fin</t>
  </si>
  <si>
    <t>Disponibilité</t>
  </si>
  <si>
    <t>Intégrité</t>
  </si>
  <si>
    <t>Confidentialité</t>
  </si>
  <si>
    <t>Les paramètres définissant les alarmes sont-ils strictement protégés (droits limités et authentification forte) contre tout changement illicite ?</t>
  </si>
  <si>
    <t xml:space="preserve">Contrôle des opérations de maintenance </t>
  </si>
  <si>
    <t>D02</t>
  </si>
  <si>
    <t>MA.P.Vol</t>
  </si>
  <si>
    <t>D03</t>
  </si>
  <si>
    <t>Equ</t>
  </si>
  <si>
    <t>Perte de documents</t>
  </si>
  <si>
    <t>La non application des procédures ci-dessus doit-elle obligatoirement faire l'objet d'une dérogation  formelle signée par un membre de la Direction ?</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</si>
  <si>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</si>
  <si>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</si>
  <si>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Y a-t-il une équipe (hot line) chargée de recueillir les appels et de signaler et d'enregistrer tous les incidents ?</t>
  </si>
  <si>
    <t>Y a-t-il une procédure ou des automatismes permettant de déclencher l'intervention immédiate d'un personnel spécialisé en cas d'alarme (du système de contrôle d'accès automatique ou d'une détection d'incident) ?</t>
  </si>
  <si>
    <t>Détection des intrusions sur le site ou dans l'immeuble</t>
  </si>
  <si>
    <t>E</t>
  </si>
  <si>
    <t>Services de publication d'informations sur un site web interne ou public</t>
  </si>
  <si>
    <t>Ces contrats prévoient-ils les conditions d'escalade en cas de difficulté d'intervention ?</t>
  </si>
  <si>
    <t>Contrôle des accès aux locaux sensibles</t>
  </si>
  <si>
    <t>Procède-t-on régulièrement à des tests visant à démontrer la capacité des éléments de sécurité à assurer les performances minimales en cas d'incident ou de panne ?</t>
  </si>
  <si>
    <t xml:space="preserve">  P décidée</t>
  </si>
  <si>
    <t xml:space="preserve">  Impact Intrins.</t>
  </si>
  <si>
    <t>Feuille de synthèse : Gravité globale des risques</t>
  </si>
  <si>
    <t>Impact</t>
  </si>
  <si>
    <t>Potentialité</t>
  </si>
  <si>
    <t>A-t-on un système opérationnel de détection des intrusions dans les locaux de stockage relié à un poste permanent de surveillance  ?</t>
  </si>
  <si>
    <t>Existe-t-il un service spécialement chargé de l'archivage des fichiers informatiques à conserver sur une longue période ?</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</si>
  <si>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</si>
  <si>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</si>
  <si>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</si>
  <si>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</si>
  <si>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</si>
  <si>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</si>
  <si>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</si>
  <si>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Continuité de fonctionnement</t>
  </si>
  <si>
    <t>Tous les matériels sont-ils couverts par un contrat de maintenance ?</t>
  </si>
  <si>
    <t xml:space="preserve">Existe-t-il des contrats de maintenance particuliers pour tous les matériels demandant une forte disponibilité dont la réparation ou le remplacement ne pourrait s'effectuer dans des délais acceptables ? </t>
  </si>
  <si>
    <t>Sûreté de fonctionnement des éléments d'architecture</t>
  </si>
  <si>
    <t>Les contrats de maintenance logiciel prévoient-ils la mise à disposition périodique de nouvelles versions  prenant en compte toutes les corrections apportées au produit ?</t>
  </si>
  <si>
    <t>Peut-on contrôler à tout moment, pour tous les utilisateurs, les habilitations, autorisations et privilèges en cours ?</t>
  </si>
  <si>
    <t>Y a-t-il un audit régulier, au moins une fois par an, de l'ensemble des profils ou des autorisations attribués aux utilisateurs et des procédures de gestion des profils attribués ?</t>
  </si>
  <si>
    <t>Contrôle d'accès au poste de travail</t>
  </si>
  <si>
    <t>Protection de l'intégrité des fichiers contenus sur le poste de travail ou sur un serveur de données (disque logique pour le poste de travail)</t>
  </si>
  <si>
    <t>Travail en dehors des locaux de l'entreprise</t>
  </si>
  <si>
    <t>Contrôle de la confidentialité des données</t>
  </si>
  <si>
    <t>En a-t-on déduit des architectures de redondance (ex. clusters) ou de réplication (ex. disques miroirs) appropriées pour les serveurs ou équipements concernés ?</t>
  </si>
  <si>
    <t>L'accès au poste de travail en lui-même (hors connexion au réseau) est-il protégé par un mot de passe ou un système d'authentification ?</t>
  </si>
  <si>
    <t>Ce plan de contrôle indique-t-il la conduite à tenir en cas d'incident ou d'anomalie ?</t>
  </si>
  <si>
    <t>Les locaux de stockage des supports de production sont-ils protégés contre tout risque accidentel (détection et extinction incendie, protection contre les dégâts des eaux, etc.) ?</t>
  </si>
  <si>
    <t>Existe-t-il un système permettant de détecter toute modification ou suppression d'un enregistrement passé et de déclencher une alerte immédiate auprès d'un responsable ?</t>
  </si>
  <si>
    <t>Existe-t-il une synthèse de ces enregistrements permettant à la hiérarchie de détecter des comportements anormaux ?</t>
  </si>
  <si>
    <t>Existe-t-il un système permettant de détecter toute modification des paramètres d'enregistrement et de déclencher une alerte immédiate auprès d'un responsable ?</t>
  </si>
  <si>
    <t>Les procédures d'enregistrement des actions privilégiées et de traitement de ces enregistrements font-elles l'objet d'un audit régulier ?</t>
  </si>
  <si>
    <t>Données et informations</t>
  </si>
  <si>
    <t>S01</t>
  </si>
  <si>
    <t>Divulgation</t>
  </si>
  <si>
    <t>Contrôle de la saisie des données</t>
  </si>
  <si>
    <t>Question</t>
  </si>
  <si>
    <t>R-V1</t>
  </si>
  <si>
    <t>R-V2</t>
  </si>
  <si>
    <t>R-V3</t>
  </si>
  <si>
    <t>R-V4</t>
  </si>
  <si>
    <t>Max</t>
  </si>
  <si>
    <t>Commentaires</t>
  </si>
  <si>
    <t>Erreur de saisie ou de frappe</t>
  </si>
  <si>
    <t>Effacement volontaire direct de supports logiques ou physiques</t>
  </si>
  <si>
    <t>Falsification logique (données ou fonctions)</t>
  </si>
  <si>
    <t>Les mécanismes de chiffrement des échanges, leur paramétrage et les procédures associées font-ils l'objet d'audits réguliers ?</t>
  </si>
  <si>
    <t>Ce chiffrement se fait-il de façon systématique (en fonction de la classification) et/ou automatique (en fonction du support) lors de l'écriture sur un support ou lors de la clôture d'une session de l'application ?</t>
  </si>
  <si>
    <t>Ces tables font-elles l'objet d'un processus de sauvegarde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</si>
  <si>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</si>
  <si>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</si>
  <si>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Continuité de l'activité</t>
  </si>
  <si>
    <t>Procédures non conformes</t>
  </si>
  <si>
    <t>PR.N</t>
  </si>
  <si>
    <t>Procédures inadéquates</t>
  </si>
  <si>
    <t>Procédures inappliquées par manque de moyens</t>
  </si>
  <si>
    <t>Procédures inappliquées par méconnaissance</t>
  </si>
  <si>
    <t>Services applicatifs</t>
  </si>
  <si>
    <t>F</t>
  </si>
  <si>
    <t>IF.L</t>
  </si>
  <si>
    <t>IF.L.Exp</t>
  </si>
  <si>
    <t>IF.L.Vir</t>
  </si>
  <si>
    <t>Famille de scénarios</t>
  </si>
  <si>
    <t>AB.S</t>
  </si>
  <si>
    <t xml:space="preserve">  I décidé</t>
  </si>
  <si>
    <t>Y a-t-il un responsable en charge de l’élaboration, le suivi et  les tests de ces plans ?</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</si>
  <si>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</si>
  <si>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</si>
  <si>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 xml:space="preserve">Existe-t-il un Plan de déclenchement de crise associé avec chacun de ces plans  ? </t>
  </si>
  <si>
    <t>Ces plans sont-ils régulièrement testés  (au moins une fois par an) ?</t>
  </si>
  <si>
    <t>Les résultats des tests sont-ils analysés avec le management et les parties prenantes concernées ?</t>
  </si>
  <si>
    <t>Existe-t-il des solutions de secours pour pallier l'indisponibilité de l'environnement de travail (indisponibilité des locaux, de l'alimentation en énergie, de la téléphonie, etc.) ?</t>
  </si>
  <si>
    <t>Ces solutions sont-elles décrites en détail dans des Plans de Reprise de l'Environnement de Travail (PRET) incluant les règles de déclenchement, les actions à mener, les priorités, les acteurs à mobiliser et leurs coordonnées ?</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</si>
  <si>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</si>
  <si>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</si>
  <si>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</si>
  <si>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Existe-t-il une procédure obligeant les utilisateurs à utiliser ce service d'archivage pour tout fichier devant être conservé sur une longue période ?</t>
  </si>
  <si>
    <t>Les exigences et les procédures à respecter pour les accès aux archives ont-elles été édictées par le management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</si>
  <si>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</si>
  <si>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MA.P.Fal</t>
  </si>
  <si>
    <t>MA.P.Ter</t>
  </si>
  <si>
    <t>MA.P.Van</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</si>
  <si>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</si>
  <si>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A-t-on fait une analyse approfondie des événements ou successions d'événements pouvant avoir un impact sur la sécurité (connexions refusées, reconfigurations, évolutions de performances, accès à des informations ou des outils sensibles, etc.) ?</t>
  </si>
  <si>
    <t>Les enregistrements ou les synthèses sont-ils conservés sur une longue durée ?</t>
  </si>
  <si>
    <t>Chaque incident système ou applicatif majeur fait-il l'objet d'un suivi spécifique (nature et description, priorité, solutions techniques, études en cours, délai prévu de résolution, etc.) ?</t>
  </si>
  <si>
    <t>A-t-on étudié les synchronismes nécessaires entre différentes sauvegardes, toutes plates-formes confondues, pour assurer le bon fonctionnement de la reprise des applications et la cohérence des données nécessaire à cette reprise ?</t>
  </si>
  <si>
    <t>Ce système centralise-t-il et prend-il en compte aussi bien les incidents détectés par l'exploitation que ceux signalés par les utilisateurs ?</t>
  </si>
  <si>
    <t>Ce système permet-il un suivi et une relance automatiques des actions nécessaires ?</t>
  </si>
  <si>
    <t>Ce système incorpore-t-il une typologie des incidents avec élaboration de statistiques et de tableau de bord des incidents à destination du RSSI ?</t>
  </si>
  <si>
    <t>Le poste de travail est-il protégé contre toute introduction de logiciel par d'autres personnes que les administrateurs du poste ?</t>
  </si>
  <si>
    <t>AC.M.Equ</t>
  </si>
  <si>
    <t>ER.P.Peo</t>
  </si>
  <si>
    <t>ER.P.Prs</t>
  </si>
  <si>
    <t xml:space="preserve">     Expo</t>
  </si>
  <si>
    <t xml:space="preserve">     Grilles IP</t>
  </si>
  <si>
    <t>Date</t>
  </si>
  <si>
    <t xml:space="preserve">     Score ISO</t>
  </si>
  <si>
    <t xml:space="preserve">     Gravité</t>
  </si>
  <si>
    <t>Score</t>
  </si>
  <si>
    <t>A - Sécurité des procédures d'exploitation</t>
  </si>
  <si>
    <t>Détournement logique de fichiers ou données (téléchargement ou copie)</t>
  </si>
  <si>
    <t>Manipulation ou falsification matérielle d'équipement</t>
  </si>
  <si>
    <t>Terrorisme</t>
  </si>
  <si>
    <t>Vandalisme</t>
  </si>
  <si>
    <t>Indisponibilité</t>
  </si>
  <si>
    <t>Type</t>
  </si>
  <si>
    <t>Pro</t>
  </si>
  <si>
    <t>Incident dû à l'environnement</t>
  </si>
  <si>
    <t>IC.E</t>
  </si>
  <si>
    <t>S'est-on assuré, dans ce cas, que les équipements de servitude (alimentation en énergie, climatisation, etc.) n'introduisaient pas de vulnérabilité supplémentaire ou ne détruisaient pas les redondances prévues au niveau des équipements ou de l'architecture ?</t>
  </si>
  <si>
    <t xml:space="preserve">Les mécanismes de sécurité des accès aux données sont-ils très solidement protégés contre toute violation ou altération ?
</t>
  </si>
  <si>
    <t>Nombre de scénarios</t>
  </si>
  <si>
    <t>Bug bloquant dans un logiciel système ou un progiciel</t>
  </si>
  <si>
    <t>Perte ou oubli de document ou de media</t>
  </si>
  <si>
    <t>SERVICES ET SOUS-SERVICES DE SECURITE</t>
  </si>
  <si>
    <t>Min</t>
  </si>
  <si>
    <t>Système général de reporting et de suivi des incidents</t>
  </si>
  <si>
    <t>Sécurité physique des media en transit</t>
  </si>
  <si>
    <t>D - Continuité de fonctionnement</t>
  </si>
  <si>
    <t>Nota : Les cases grisées correspondent à des cas dans lesquels il n'y a généralements pas de classification à effectuer et pour lesquels il n'y a pas de scénario de risque dans la base Méhari.</t>
  </si>
  <si>
    <t>Attaque en blocage de comptes</t>
  </si>
  <si>
    <t>MA.L.Blo</t>
  </si>
  <si>
    <t>Y a-t-il un processus d'invalidation systématique des droits privilégiés lors de départs ou mutations de personnel ?</t>
  </si>
  <si>
    <t>Y a-t-il un audit régulier, au moins une fois par an, de l'ensemble des droits privilégiés attribués ?</t>
  </si>
  <si>
    <t>C - Continuité de fonctionnement</t>
  </si>
  <si>
    <t xml:space="preserve">Continuité de la fourniture de l'énergie </t>
  </si>
  <si>
    <t>N. 1</t>
  </si>
  <si>
    <t>N. 2</t>
  </si>
  <si>
    <t>N. 3</t>
  </si>
  <si>
    <t>N. 4</t>
  </si>
  <si>
    <t>&gt;</t>
  </si>
  <si>
    <t xml:space="preserve">Détection des intrusions dans les locaux sensibles </t>
  </si>
  <si>
    <t>Ces accès sont-ils enregistrés de manière sécurisée ?</t>
  </si>
  <si>
    <t>Le transfert des archives ou d'une copie au demandeur est-il assuré de manière sécurisée ?</t>
  </si>
  <si>
    <t>Les conditions d'accès aux archives et les systèmes de sécurité associés font-ils l'objet d'audits réguliers ?</t>
  </si>
  <si>
    <t>Les locaux d'archivage sont-ils équipés de détection et d'extinction incendie adaptée, de détection de dégâts des eaux et de moyens d'évacuation ?</t>
  </si>
  <si>
    <t>Les locaux d'archivage sont-ils équipés de contrôle d'accès renforcé et de détection d'intrusion ?</t>
  </si>
  <si>
    <t>Les supports d'archives sont-ils marqués sans référence à leur contenu ?</t>
  </si>
  <si>
    <t>Les tables permettant d'associer un contenu à un numéro d'archive sont-elles rendues inaccessibles au personnel gérant les supports d'archive ?</t>
  </si>
  <si>
    <t>Gestion des actifs</t>
  </si>
  <si>
    <t xml:space="preserve">C - Gestion des ressources humaines </t>
  </si>
  <si>
    <t>Maintien des comptes d'accès</t>
  </si>
  <si>
    <t>ER.P</t>
  </si>
  <si>
    <t>MA.L</t>
  </si>
  <si>
    <t>MA.P</t>
  </si>
  <si>
    <t>PR.N.Naa</t>
  </si>
  <si>
    <t>PR.N.Nam</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</si>
  <si>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</si>
  <si>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</si>
  <si>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</si>
  <si>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</si>
  <si>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</si>
  <si>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Document</t>
  </si>
  <si>
    <t>Divulgation de documents</t>
  </si>
  <si>
    <t>S02</t>
  </si>
  <si>
    <t>D04</t>
  </si>
  <si>
    <t>D07</t>
  </si>
  <si>
    <t>MA.L.Fal</t>
  </si>
  <si>
    <t>Cette équipe (hot line) est-elle accessible en permanence ?</t>
  </si>
  <si>
    <t>Référence</t>
  </si>
  <si>
    <t>Questionnaire d'audit : Protection des postes de travail utilisateurs</t>
  </si>
  <si>
    <t>CLASSIFICATION DES DONNÉES</t>
  </si>
  <si>
    <t>Le plan de sauvegarde comprend-il un plan de contrôle indiquant les différents contrôles à effectuer et leur fréquence (volumétrie, durée, relecture, etc.) ?</t>
  </si>
  <si>
    <t>Événement</t>
  </si>
  <si>
    <t>Incident logique ou fonctionnel</t>
  </si>
  <si>
    <t>Accident matériel</t>
  </si>
  <si>
    <t>Absence accidentelle de personnel</t>
  </si>
  <si>
    <t>Absence ou indisponibilité accidentelle de service</t>
  </si>
  <si>
    <t>Erreur de manipulation ou dans le suivi d'une procédure</t>
  </si>
  <si>
    <t xml:space="preserve">Type </t>
  </si>
  <si>
    <t>DIC</t>
  </si>
  <si>
    <t>Type de</t>
  </si>
  <si>
    <t>dommage</t>
  </si>
  <si>
    <t>Code</t>
  </si>
  <si>
    <t>D01</t>
  </si>
  <si>
    <t>D</t>
  </si>
  <si>
    <t>Données publiées (web ou interne)</t>
  </si>
  <si>
    <t>Processus transverses</t>
  </si>
  <si>
    <t>Administration/ politique d'ensemble</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</si>
  <si>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</si>
  <si>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</si>
  <si>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Inexploitabilité</t>
  </si>
  <si>
    <t>ER.P.Pro</t>
  </si>
  <si>
    <t>Surveillance des locaux sensibles</t>
  </si>
  <si>
    <t>Existe-t-il une procédure et une clause contractuelle vis-à-vis du personnel de maintenance (interne et externe), spécifiant que tout support ayant contenu des informations sensibles doit être détruit en cas de mise au rebut ?</t>
  </si>
  <si>
    <t>Les procédures ci-dessus font-elles l'objet d'un audit régulier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</si>
  <si>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</si>
  <si>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4</t>
  </si>
  <si>
    <t>Une revue formelle des nouvelles fonctionnalités (ou des changements de fonctionnalités) liées à un changement majeur de système est-elle systématiquement réalisée, avec le concours de la fonction sécurité informatique ?</t>
  </si>
  <si>
    <t>Les mesures de sécurité décidées pour remédier aux nouveaux risques mis en évidence font-elles l'objet de contrôles formels avant mise en production ?</t>
  </si>
  <si>
    <t>Existe-t-il un contrôle global sur des séries de saisie (somme, fourchette, min, max., etc.) ?</t>
  </si>
  <si>
    <t>La saisie fait-elle l'objet de contrôles de cohérence incorporés au processus de saisie ?</t>
  </si>
  <si>
    <t>Engagement du personnel - clauses contractuelles</t>
  </si>
  <si>
    <t>Sensibilisation et formation à la sécurité</t>
  </si>
  <si>
    <t>Organisation du management et du pilotage de la sécurité des systèmes d'information</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</si>
  <si>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</si>
  <si>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</si>
  <si>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Les Plans de Continuité d'Activité prévoient-ils les procédures de retour à la normale ?</t>
  </si>
  <si>
    <t xml:space="preserve">Y a-t-il une répétition de la procédure d'authentification en cours de session pour les transactions jugées sensibles ? </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</si>
  <si>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</si>
  <si>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</si>
  <si>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</si>
  <si>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</si>
  <si>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</si>
  <si>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</si>
  <si>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</si>
  <si>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</si>
  <si>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</si>
  <si>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</si>
  <si>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</si>
  <si>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</si>
  <si>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</si>
  <si>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Sécurité des équipements de servitude</t>
  </si>
  <si>
    <t>Tableau T2</t>
  </si>
  <si>
    <t>FONCTION (descriptif)</t>
  </si>
  <si>
    <t>Données applicativ. (bases de données)</t>
  </si>
  <si>
    <t>MA.L.Del</t>
  </si>
  <si>
    <t>MA.L.Tot</t>
  </si>
  <si>
    <t>Services de publication sur site web</t>
  </si>
  <si>
    <t>Tableau des événements : types et exposition naturelle</t>
  </si>
  <si>
    <t>AB.P</t>
  </si>
  <si>
    <t>AB.P.Per</t>
  </si>
  <si>
    <t>AB.S.Ene</t>
  </si>
  <si>
    <t>AB.S.Loc</t>
  </si>
  <si>
    <t>MA.L.Rej</t>
  </si>
  <si>
    <t>Rejeu de transaction</t>
  </si>
  <si>
    <t>Destruction logique totale (fichiers et leurs sauvegardes)</t>
  </si>
  <si>
    <t>Protection contre les risques environnementaux divers</t>
  </si>
  <si>
    <t>La conformité des numéros et séquences est-elle contrôlée automatiquement par l'application ou par le middleware utilisé ?</t>
  </si>
  <si>
    <t>Les mécanismes de numérotation et du contrôle associé, leur paramétrage et les procédures associées font-ils l'objet d'audits réguliers ?</t>
  </si>
  <si>
    <t>Le système d'accusé de réception est-il protégé contre des interventions malveillantes ?</t>
  </si>
  <si>
    <t>Existe-t-il une procédure consignant la conduite à tenir en cas d'alerte ou d'anomalie constatée ?</t>
  </si>
  <si>
    <t>Procède-t-on régulièrement à des audits du système d'accusé de réception ?</t>
  </si>
  <si>
    <t>Processus métier,  domaine applicatif ou domaine d'activité
Services communs à particulariser</t>
  </si>
  <si>
    <t>Les nouvelles fonctionnalités (ou changements de fonctionnalités) liées à un nouveau système ou à une nouvelle version sont-elles systématiquement décrites dans une documentation (obligatoire avant tout passage en production) ?</t>
  </si>
  <si>
    <t>Les procédures de gestion des clés révoquées garantissent-elles que les systèmes de contrôle testent systématiquement que les clés ne sont pas révoquées ?</t>
  </si>
  <si>
    <t>3</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</si>
  <si>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</si>
  <si>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 xml:space="preserve">Commentaires </t>
  </si>
  <si>
    <t>Y a-t-il une dévalidation automatique de la session de l'utilisateur, en cas d'absence d'échange après un délai défini, nécessitant une nouvelle identification - authentification ?</t>
  </si>
  <si>
    <t>Y a-t-il un contrôle systématique du profil du demandeur, de son contexte et de l'adéquation de ce profil et du contexte avec l'accès demandé, en fonction de règles de contrôle d'accès formalisées ?</t>
  </si>
  <si>
    <t>Procède-t-on à des tests périodiques de pénétration du système informatique et à des audits techniques spécialisés approfondis ?</t>
  </si>
  <si>
    <t>Les données sensibles font-elles l'objet d'un autocontrôle formel (par la personne assurant la saisie) ?</t>
  </si>
  <si>
    <t>Ces contrôles additionnels (par fourchettes, cohérence, etc.) sont-ils fortement protégés contre toute altération illicite ?</t>
  </si>
  <si>
    <t>A-t-on défini les procédures à appliquer en cas d'erreur de validation ?</t>
  </si>
  <si>
    <t>Base de référence des scénarios</t>
  </si>
  <si>
    <t xml:space="preserve">  Grav. Intrins.</t>
  </si>
  <si>
    <t>Niveau actuel</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</si>
  <si>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</si>
  <si>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</si>
  <si>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</si>
  <si>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</si>
  <si>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</si>
  <si>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</si>
  <si>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</si>
  <si>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</si>
  <si>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</si>
  <si>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</si>
  <si>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</si>
  <si>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</si>
  <si>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</si>
  <si>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</si>
  <si>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</si>
  <si>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</si>
  <si>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</si>
  <si>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</si>
  <si>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</si>
  <si>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</si>
  <si>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</si>
  <si>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</si>
  <si>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</si>
  <si>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</si>
  <si>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</si>
  <si>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</si>
  <si>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</si>
  <si>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</si>
  <si>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</si>
  <si>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</si>
  <si>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</si>
  <si>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</si>
  <si>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</si>
  <si>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</si>
  <si>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</si>
  <si>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</si>
  <si>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</si>
  <si>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</si>
  <si>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</si>
  <si>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</si>
  <si>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</si>
  <si>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</si>
  <si>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</si>
  <si>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</si>
  <si>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</si>
  <si>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Politique relative à la cryptologie</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</si>
  <si>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</si>
  <si>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</si>
  <si>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</si>
  <si>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</si>
  <si>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</si>
  <si>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</si>
  <si>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</si>
  <si>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</si>
  <si>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</si>
  <si>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</si>
  <si>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</si>
  <si>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</si>
  <si>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</si>
  <si>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</si>
  <si>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</si>
  <si>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</si>
  <si>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</si>
  <si>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</si>
  <si>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</si>
  <si>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</si>
  <si>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</si>
  <si>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</si>
  <si>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</si>
  <si>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</si>
  <si>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</si>
  <si>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</si>
  <si>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</si>
  <si>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7.3</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</si>
  <si>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</si>
  <si>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</si>
  <si>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</si>
  <si>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</si>
  <si>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</si>
  <si>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</si>
  <si>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</si>
  <si>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</si>
  <si>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</si>
  <si>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</si>
  <si>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</si>
  <si>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</si>
  <si>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</si>
  <si>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</si>
  <si>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</si>
  <si>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</si>
  <si>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</si>
  <si>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</si>
  <si>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</si>
  <si>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</si>
  <si>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</si>
  <si>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</si>
  <si>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</si>
  <si>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</si>
  <si>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</si>
  <si>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</si>
  <si>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</si>
  <si>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</si>
  <si>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</si>
  <si>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</si>
  <si>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</si>
  <si>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</si>
  <si>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</si>
  <si>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</si>
  <si>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</si>
  <si>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</si>
  <si>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</si>
  <si>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</si>
  <si>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</si>
  <si>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</si>
  <si>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</si>
  <si>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</si>
  <si>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</si>
  <si>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</si>
  <si>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</si>
  <si>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</si>
  <si>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</si>
  <si>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</si>
  <si>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</si>
  <si>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</si>
  <si>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</si>
  <si>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</si>
  <si>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</si>
  <si>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</si>
  <si>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</si>
  <si>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</si>
  <si>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</si>
  <si>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</si>
  <si>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</si>
  <si>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</si>
  <si>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</si>
  <si>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</si>
  <si>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</si>
  <si>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</si>
  <si>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</si>
  <si>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</si>
  <si>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</si>
  <si>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</si>
  <si>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</si>
  <si>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</si>
  <si>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</si>
  <si>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</si>
  <si>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</si>
  <si>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</si>
  <si>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</si>
  <si>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</si>
  <si>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</si>
  <si>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</si>
  <si>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</si>
  <si>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</si>
  <si>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</si>
  <si>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</si>
  <si>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</si>
  <si>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</si>
  <si>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</si>
  <si>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</si>
  <si>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</si>
  <si>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</si>
  <si>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</si>
  <si>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</si>
  <si>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</si>
  <si>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</si>
  <si>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</si>
  <si>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</si>
  <si>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</si>
  <si>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</si>
  <si>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</si>
  <si>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</si>
  <si>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</si>
  <si>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</si>
  <si>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</si>
  <si>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</si>
  <si>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</si>
  <si>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</si>
  <si>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</si>
  <si>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</si>
  <si>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</si>
  <si>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</si>
  <si>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</si>
  <si>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</si>
  <si>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</si>
  <si>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</si>
  <si>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</si>
  <si>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</si>
  <si>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</si>
  <si>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</si>
  <si>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</si>
  <si>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</si>
  <si>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</si>
  <si>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</si>
  <si>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</si>
  <si>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</si>
  <si>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</si>
  <si>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</si>
  <si>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</si>
  <si>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</si>
  <si>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</si>
  <si>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</si>
  <si>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</si>
  <si>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</si>
  <si>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</si>
  <si>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</si>
  <si>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</si>
  <si>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</si>
  <si>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</si>
  <si>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</si>
  <si>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Données externalisées sur le cloud</t>
  </si>
  <si>
    <t>Actifs de type Processus (Services)</t>
  </si>
  <si>
    <t xml:space="preserve"> </t>
  </si>
  <si>
    <t>Questionnaire d'audit : Sécurité des systèmes et de leur architecture</t>
  </si>
  <si>
    <t>3A</t>
  </si>
  <si>
    <t>3A01-01</t>
  </si>
  <si>
    <t>3A01-02</t>
  </si>
  <si>
    <t>3A01-03</t>
  </si>
  <si>
    <t>3A01-04</t>
  </si>
  <si>
    <t>3A01-05</t>
  </si>
  <si>
    <t>Gestion des autorisations d'accès (attribution, délégation, retrait)</t>
  </si>
  <si>
    <t>3A02-01</t>
  </si>
  <si>
    <t>3A02-02</t>
  </si>
  <si>
    <t>3A02-03</t>
  </si>
  <si>
    <t>3A02-04</t>
  </si>
  <si>
    <t>Cette procédure permet-elle de vérifier que les droits accordés sont bien conformes à la politique d'accès à l'information et aux autres politiques (telle que la séparation des fonctions) ?</t>
  </si>
  <si>
    <t>3A02-05</t>
  </si>
  <si>
    <t>3A02-06</t>
  </si>
  <si>
    <t>3A02-07</t>
  </si>
  <si>
    <t>Y a-t-il un processus de révocation systématique des autorisations d'accès lors de départs de personnel (interne ou externe à l'entreprise) ?</t>
  </si>
  <si>
    <t>3A02-08</t>
  </si>
  <si>
    <t>Y a-t-il un processus d'ajustement systématique des autorisations d'accès lors de changements de fonctions ?</t>
  </si>
  <si>
    <t>3A02-09</t>
  </si>
  <si>
    <t>3A02-10</t>
  </si>
  <si>
    <t>3A03-01</t>
  </si>
  <si>
    <t>3A03-02</t>
  </si>
  <si>
    <t xml:space="preserve">Contrôle des accès (aux applications, aux données applicatives et aux fonctions systèmes) </t>
  </si>
  <si>
    <t>3A04-01</t>
  </si>
  <si>
    <t>Tout accès à un système, à des applications ou à des données applicatives requiert-il la présentation d'un identifiant reconnu et contrôlé par ledit système ou l'application ?</t>
  </si>
  <si>
    <t>3A04-02</t>
  </si>
  <si>
    <t>Le système de contrôle d'accès permet-il de contrôler quelles fonctions systèmes sont accessibles et par qui (en fonction de quels droits) ?</t>
  </si>
  <si>
    <t>3A04-03</t>
  </si>
  <si>
    <t>3A04-04</t>
  </si>
  <si>
    <t>Permet-il de contrôler les données contenues dans les sorties et extractions de données ?</t>
  </si>
  <si>
    <t>3A04-05</t>
  </si>
  <si>
    <t>3A04-06</t>
  </si>
  <si>
    <t>3A04-07</t>
  </si>
  <si>
    <t>3A04-08</t>
  </si>
  <si>
    <t>3A04-09</t>
  </si>
  <si>
    <t>3A04-10</t>
  </si>
  <si>
    <t>En cas de répétition de tentatives infructueuses d'accès, existe-t-il un processus déclenchant une dévalidation automatique de l'identifiant de l'utilisateur, éventuellement du terminal lui-même, ou un ralentissement du processus d'authentification empêchant toute routine automatique de tentative de connexion ?</t>
  </si>
  <si>
    <t>3A04-11</t>
  </si>
  <si>
    <t>Le processus de distribution ou de changement de l'authentifiant garantit-il que seul le titulaire de l'identifiant peut y avoir accès (diffusion initiale confidentielle, changement de mot de passe sous le seul contrôle de l'utilisateur, mot de passe initial obligatoirement changé dès la première utilisation, etc.) ?</t>
  </si>
  <si>
    <t>3A04-12</t>
  </si>
  <si>
    <t>Le processus d'attribution d'un authentifiant (initial) fait-il l'objet d'un accusé de réception formel ?</t>
  </si>
  <si>
    <t>3A04-13</t>
  </si>
  <si>
    <t>3A04-14</t>
  </si>
  <si>
    <t>3A04-15</t>
  </si>
  <si>
    <t>3A04-16</t>
  </si>
  <si>
    <t>3A04-17</t>
  </si>
  <si>
    <t>3A04-18</t>
  </si>
  <si>
    <t>3A04-19</t>
  </si>
  <si>
    <t>3A04-20</t>
  </si>
  <si>
    <t>3A04-21</t>
  </si>
  <si>
    <t>3A04-22</t>
  </si>
  <si>
    <t>3A04-23</t>
  </si>
  <si>
    <t>Authentification du serveur ou de l'application lors des accès à des serveurs ou applications sensibles</t>
  </si>
  <si>
    <t>3A05-01</t>
  </si>
  <si>
    <t>Existe-t-il une possibilité de déclarer des serveurs ou des applications comme sensibles et, comme tels, requérant une authentification du serveur ou de l'application auquel on se connecte ?</t>
  </si>
  <si>
    <t>3A05-02</t>
  </si>
  <si>
    <t>Y a-t-il un mécanisme d'authentification particulier des serveurs ou des applications déclarés comme sensibles ?</t>
  </si>
  <si>
    <t>3A05-03</t>
  </si>
  <si>
    <r>
      <t xml:space="preserve">Le processus d'authentification des serveurs ou applications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</si>
  <si>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3A05-04</t>
  </si>
  <si>
    <t>3A05-05</t>
  </si>
  <si>
    <t>3A05-06</t>
  </si>
  <si>
    <t>3A05-07</t>
  </si>
  <si>
    <t>3A05-08</t>
  </si>
  <si>
    <t>Gestion des autorisations d'accès privilégiés (attribution, délégation, retrait)</t>
  </si>
  <si>
    <t>3A06-01</t>
  </si>
  <si>
    <t>3A06-02</t>
  </si>
  <si>
    <t>A-t-on supprimé, autant que faire se peut, tous les comptes et identifiants génériques correspondant à des accès privilégiés ?</t>
  </si>
  <si>
    <t>3A06-03</t>
  </si>
  <si>
    <t>Est-il formellement demandé, aux possesseurs de droits privilégiés, de ne les utiliser qu'avec un identifiant spécifique différent de leur identifiant usuel ne nécessitant pas de droit privilégié ?</t>
  </si>
  <si>
    <t>3A06-04</t>
  </si>
  <si>
    <t>La procédure d'attribution de droits privilégiés n'est-elle attribuée qu'en fonction des stricts besoins du titulaire et limitée aux seules actions qu'il aura à effectuer ?</t>
  </si>
  <si>
    <t>3A06-05</t>
  </si>
  <si>
    <t>3A06-06</t>
  </si>
  <si>
    <t>3A06-07</t>
  </si>
  <si>
    <t>3A06-08</t>
  </si>
  <si>
    <t>3A07-01</t>
  </si>
  <si>
    <t>3A07-02</t>
  </si>
  <si>
    <t>3A07-03</t>
  </si>
  <si>
    <t>3A07-04</t>
  </si>
  <si>
    <t>Surveillance des actions effectuées avec des droits privilégiés</t>
  </si>
  <si>
    <t>3A08-01</t>
  </si>
  <si>
    <t>A-t-on fait une analyse approfondie des événements ou successions d'événements menés avec des droits privilégiés et pouvant avoir un impact sur la sécurité (configuration des systèmes de sécurité, accès à des informations sensibles, utilisation d'outils sensibles, téléchargement ou modification d'outils d'administration, etc.) ?</t>
  </si>
  <si>
    <t>3A08-02</t>
  </si>
  <si>
    <t>3A08-03</t>
  </si>
  <si>
    <t>3A08-04</t>
  </si>
  <si>
    <t>3A08-05</t>
  </si>
  <si>
    <t>3A08-06</t>
  </si>
  <si>
    <t>3A08-07</t>
  </si>
  <si>
    <t>3A08-08</t>
  </si>
  <si>
    <t>3A08-09</t>
  </si>
  <si>
    <t>3B</t>
  </si>
  <si>
    <t>Sûreté de fonctionnement de l'architecture interne</t>
  </si>
  <si>
    <t>3B01-01</t>
  </si>
  <si>
    <r>
      <t xml:space="preserve">A-t-on analysé la criticité des différents éléments de l'architecture (y compris des systèmes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</si>
  <si>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3B01-02</t>
  </si>
  <si>
    <t>Cette analyse a-t-elle permis de formaliser les performances minimales à assurer au niveau de chaque élément de système et ces performances minimales ont-elles été acceptées par les utilisateurs (propriétaires d'information) ?</t>
  </si>
  <si>
    <t>3B01-03</t>
  </si>
  <si>
    <t>3B01-04</t>
  </si>
  <si>
    <t>3B01-05</t>
  </si>
  <si>
    <t>3B01-06</t>
  </si>
  <si>
    <t>3B01-07</t>
  </si>
  <si>
    <t>3C</t>
  </si>
  <si>
    <t>Sécurité des services externalisés (réseau étendu, Cloud, etc.)</t>
  </si>
  <si>
    <t xml:space="preserve">Questionnaire d'audit : Exploitation et administration des systèmes </t>
  </si>
  <si>
    <t>4A01-01</t>
  </si>
  <si>
    <t>Les diverses procédures d'exploitation sont-elles formellement décrites dans des documents aisément accessibles aux personnes concernées ?</t>
  </si>
  <si>
    <t>2</t>
  </si>
  <si>
    <t>4A01-02</t>
  </si>
  <si>
    <t>4A01-03</t>
  </si>
  <si>
    <t>4A01-04</t>
  </si>
  <si>
    <t>4A01-05</t>
  </si>
  <si>
    <t>4A01-06</t>
  </si>
  <si>
    <t>4A02-01</t>
  </si>
  <si>
    <t>4A02-02</t>
  </si>
  <si>
    <t>4A02-03</t>
  </si>
  <si>
    <t>4A02-04</t>
  </si>
  <si>
    <t>4A02-05</t>
  </si>
  <si>
    <t>4A02-06</t>
  </si>
  <si>
    <t>4A02-07</t>
  </si>
  <si>
    <t>4A02-08</t>
  </si>
  <si>
    <t>Sauvegarde des données et configurations</t>
  </si>
  <si>
    <t>4A03-01</t>
  </si>
  <si>
    <t xml:space="preserve">A-t-on établi un plan de sauvegarde, couvrant l'ensemble des objets (programmes et données) à sauvegarder et la fréquence des sauvegardes ? </t>
  </si>
  <si>
    <t>4A03-02</t>
  </si>
  <si>
    <t xml:space="preserve">Ce plan couvre-t-il également les paramètres de configuration des logiciels systèmes, des logiciels de couches intermédiaires et des applications ? </t>
  </si>
  <si>
    <t>4A03-03</t>
  </si>
  <si>
    <r>
      <t xml:space="preserve">A-t-on fait une étude avec l'ensemble des utilisateurs afin de définir pour chaque ensemble de données la durée maximale admissible entre deux sauvegardes ?
</t>
    </r>
    <r>
      <rPr>
        <i/>
        <sz val="8"/>
        <rFont val="Arial"/>
        <family val="2"/>
      </rPr>
      <t>Cette étude qui se base sur la capacité de reconstitution des informations perdues permet de définir le cycle de sauvegarde minimum.</t>
    </r>
  </si>
  <si>
    <t>4A03-04</t>
  </si>
  <si>
    <t>4A03-05</t>
  </si>
  <si>
    <t>4A03-06</t>
  </si>
  <si>
    <t>4A03-07</t>
  </si>
  <si>
    <t>4A03-08</t>
  </si>
  <si>
    <t>4A03-09</t>
  </si>
  <si>
    <t>4A03-10</t>
  </si>
  <si>
    <t>4A03-11</t>
  </si>
  <si>
    <t>4A03-12</t>
  </si>
  <si>
    <t>4A03-13</t>
  </si>
  <si>
    <t>4A03-14</t>
  </si>
  <si>
    <t>4A03-15</t>
  </si>
  <si>
    <t>4A03-16</t>
  </si>
  <si>
    <t>4A04-01</t>
  </si>
  <si>
    <t xml:space="preserve">Avant d'externaliser des données, prend-on systématiquement en compte les conséquences d'une perte de l'accès à ces données (faillite, mouvement social grave chez le prestataire, …) ? </t>
  </si>
  <si>
    <t>4A04-02</t>
  </si>
  <si>
    <t>Le contrat d'externalisation contient-il une clause de réversibilité ?</t>
  </si>
  <si>
    <t>4A04-03</t>
  </si>
  <si>
    <t>Le contrat d'externalisation précise-t-il les formats des données pouvant être utilisées et la longévité de l'emploi de ces formats ?</t>
  </si>
  <si>
    <t>4A04-04</t>
  </si>
  <si>
    <t>Le contrat d'externalisation précise-t-il les moyens d'accès aux données (Internet, VPN, supports physiques…) ?</t>
  </si>
  <si>
    <t>4A04-05</t>
  </si>
  <si>
    <t>Réalise-t-on en interne une sauvegarde des données externalisées ?</t>
  </si>
  <si>
    <t>4A04-06</t>
  </si>
  <si>
    <r>
      <t xml:space="preserve">A-t-on fait une étude avec l'ensemble des utilisateurs afin de définir pour chaque ensemble de données externalisées la durée maximale admissible entre deux sauvegardes ?
</t>
    </r>
    <r>
      <rPr>
        <i/>
        <sz val="8"/>
        <rFont val="Arial"/>
        <family val="2"/>
      </rPr>
      <t>Cette étude qui se base sur la capacité de reconstitution des informations perdues permet de définir le cycle de sauvegarde minimum.</t>
    </r>
  </si>
  <si>
    <t>4A04-07</t>
  </si>
  <si>
    <t>A-t-on étudié les synchronismes nécessaires entre différentes sauvegardes, pour assurer la cohérence des données nécessaire à une reprise de leur exploitation ?</t>
  </si>
  <si>
    <t>4A04-08</t>
  </si>
  <si>
    <t>Cette sauvegarde est-elle traduite en automatismes de production ?</t>
  </si>
  <si>
    <t>4A04-09</t>
  </si>
  <si>
    <t>Procède-t-on régulièrement à des tests de relecture de ces sauvegardes ?</t>
  </si>
  <si>
    <t>4A04-10</t>
  </si>
  <si>
    <t>Pour des données très sensibles vis-à-vis de la disponibilité, a-t-on fait le choix d'une solution hybride (cloud privé + cloud public) avec synchronisation des données entre les deux environnements ?</t>
  </si>
  <si>
    <t>4A04-11</t>
  </si>
  <si>
    <t>L'ensemble des procédures de sauvegarde des données externalisées fait-il l'objet d'un audit régulier ?</t>
  </si>
  <si>
    <t>4A05-01</t>
  </si>
  <si>
    <t>4A05-02</t>
  </si>
  <si>
    <t>4A05-03</t>
  </si>
  <si>
    <t>4A05-04</t>
  </si>
  <si>
    <t>4A05-05</t>
  </si>
  <si>
    <t>4A05-06</t>
  </si>
  <si>
    <t>4A05-07</t>
  </si>
  <si>
    <t>4A05-08</t>
  </si>
  <si>
    <t>4A05-09</t>
  </si>
  <si>
    <t>Les outils ou utilitaires sensibles (administration des privilèges, gestion des configurations, sauvegardes, copies, reprises à chaud, etc.) sont-ils recensés de manière exhaustive ?</t>
  </si>
  <si>
    <t>4A05-10</t>
  </si>
  <si>
    <t>Ces outils ou utilitaires sensibles ne sont-ils utilisables que par un profil d'utilisateur défini, après authentification individuelle forte (carte à puce, jeton, etc.) ?</t>
  </si>
  <si>
    <t>4A05-11</t>
  </si>
  <si>
    <t>4A05-12</t>
  </si>
  <si>
    <t>4A05-13</t>
  </si>
  <si>
    <t>4A05-14</t>
  </si>
  <si>
    <t>4A06-01</t>
  </si>
  <si>
    <t>4A06-02</t>
  </si>
  <si>
    <t>4A06-03</t>
  </si>
  <si>
    <t>4A06-04</t>
  </si>
  <si>
    <t>4A07-01</t>
  </si>
  <si>
    <t>4A07-02</t>
  </si>
  <si>
    <t>4A08-01</t>
  </si>
  <si>
    <t>4A08-02</t>
  </si>
  <si>
    <t>4A09-01</t>
  </si>
  <si>
    <t>4A09-02</t>
  </si>
  <si>
    <t>4A09-03</t>
  </si>
  <si>
    <t>Existe-t-il une procédure de vérification de l'intégrité des systèmes après intervention de la maintenance (absence de logiciel espion, absence de cheval de Troie, identité des configurations avec les configurations référencées, etc.) ?</t>
  </si>
  <si>
    <t>4A09-04</t>
  </si>
  <si>
    <t>4A09-05</t>
  </si>
  <si>
    <t>4A10-01</t>
  </si>
  <si>
    <t>4A10-02</t>
  </si>
  <si>
    <t>4A10-03</t>
  </si>
  <si>
    <t>4A10-04</t>
  </si>
  <si>
    <t>4A10-05</t>
  </si>
  <si>
    <t>4A10-06</t>
  </si>
  <si>
    <t>4A10-07</t>
  </si>
  <si>
    <t>Tout arrêt du système d'alerte déclenche-t-il une alarme auprès de l'équipe de surveillance ?</t>
  </si>
  <si>
    <t>4A10-08</t>
  </si>
  <si>
    <t>Existe-t-il un archivage de tous les éléments ayant permis de détecter une anomalie ou un incident ?</t>
  </si>
  <si>
    <t>Journalisation et contrôle des journaux</t>
  </si>
  <si>
    <t>4A11-01</t>
  </si>
  <si>
    <t>4A11-02</t>
  </si>
  <si>
    <t>4A11-03</t>
  </si>
  <si>
    <t>Pour les enregistrements contenant des données nominatives a-t-on mis en place les mesures règlementaires relatives à la protection de la vie privée ?</t>
  </si>
  <si>
    <t>4A11-04</t>
  </si>
  <si>
    <t>4A11-05</t>
  </si>
  <si>
    <t>4A11-06</t>
  </si>
  <si>
    <t>4A11-07</t>
  </si>
  <si>
    <r>
      <t xml:space="preserve">Les paramètres définissant les éléments à enregistrer et les synthèses effectuées sur ces éléments sont-ils strictement protégés (droits limités et authentification forte) contre tout changement illicite ?
</t>
    </r>
    <r>
      <rPr>
        <i/>
        <sz val="8"/>
        <rFont val="Arial"/>
        <family val="2"/>
      </rPr>
      <t>Ces protections doivent prendre en compte les éventuelles modifications illicites des administrateurs.</t>
    </r>
  </si>
  <si>
    <t>4A11-08</t>
  </si>
  <si>
    <t>Tout arrêt du système d'enregistrement et de traitement des enregistrements déclenche-t-il une alarme auprès de l'équipe de surveillance ?</t>
  </si>
  <si>
    <t>4A11-09</t>
  </si>
  <si>
    <t>4A11-10</t>
  </si>
  <si>
    <t>Les horloges de tous les systèmes sont-elles synchronisées afin de garantir un horodatage fiable des événements ?</t>
  </si>
  <si>
    <t>4A11-11</t>
  </si>
  <si>
    <t>Protection des états imprimés sensibles</t>
  </si>
  <si>
    <t>4A12-01</t>
  </si>
  <si>
    <t>4A12-02</t>
  </si>
  <si>
    <t>4A12-03</t>
  </si>
  <si>
    <t>4A12-04</t>
  </si>
  <si>
    <t>4A12-05</t>
  </si>
  <si>
    <t>4A12-06</t>
  </si>
  <si>
    <t>4A12-07</t>
  </si>
  <si>
    <t>4A12-08</t>
  </si>
  <si>
    <t>4A12-09</t>
  </si>
  <si>
    <t>4A12-10</t>
  </si>
  <si>
    <t>4A13</t>
  </si>
  <si>
    <t>4A13-01</t>
  </si>
  <si>
    <t>4A13-02</t>
  </si>
  <si>
    <t>4A13-03</t>
  </si>
  <si>
    <t>4A14</t>
  </si>
  <si>
    <t>Accès aux programmes sources</t>
  </si>
  <si>
    <t>4A14-01</t>
  </si>
  <si>
    <t>4A14-02</t>
  </si>
  <si>
    <t>L'accès à cet outil est-il strictement limité à un ensemble de personnes nommément désignées ?</t>
  </si>
  <si>
    <t>4A14-03</t>
  </si>
  <si>
    <t>4A14-04</t>
  </si>
  <si>
    <t>4A14-05</t>
  </si>
  <si>
    <t>4A14-06</t>
  </si>
  <si>
    <t>4B01-01</t>
  </si>
  <si>
    <t>4B01-02</t>
  </si>
  <si>
    <t>4B01-03</t>
  </si>
  <si>
    <t>4B01-04</t>
  </si>
  <si>
    <t>Ce document ou cette procédure imposent-ils la mise en place d'un dispositif de synchronisation avec un référentiel de temps précis ?</t>
  </si>
  <si>
    <t>4B01-05</t>
  </si>
  <si>
    <t>4B01-06</t>
  </si>
  <si>
    <t>4B01-07</t>
  </si>
  <si>
    <t>4B01-08</t>
  </si>
  <si>
    <t>4B01-09</t>
  </si>
  <si>
    <t>Organisation de la maintenance des systèmes informatiques (matériel, logiciel et applications) et des équipements de réseaux</t>
  </si>
  <si>
    <t>4C01-01</t>
  </si>
  <si>
    <t>4C01-02</t>
  </si>
  <si>
    <t>4C01-03</t>
  </si>
  <si>
    <t>Existe-t-il des contrats de maintenance pour tous les produits logiciels installés (logiciels systèmes, middleware, progiciels applicatifs) ?</t>
  </si>
  <si>
    <t>4C01-04</t>
  </si>
  <si>
    <t>4C01-05</t>
  </si>
  <si>
    <t>4C01-06</t>
  </si>
  <si>
    <t xml:space="preserve">Existe-t-il des contrats de maintenance particuliers pour tous les systèmes (matériels, logiciels systèmes, middleware et progiciels) demandant une disponibilité telle que la maintenance courante ne pourrait s'effectuer dans des délais acceptables ? </t>
  </si>
  <si>
    <t>4C01-07</t>
  </si>
  <si>
    <t>4C01-08</t>
  </si>
  <si>
    <t>4C01-09</t>
  </si>
  <si>
    <t>4C02-01</t>
  </si>
  <si>
    <t>4C02-02</t>
  </si>
  <si>
    <t>4C02-03</t>
  </si>
  <si>
    <t>4C02-04</t>
  </si>
  <si>
    <t>4C02-05</t>
  </si>
  <si>
    <t>4C02-06</t>
  </si>
  <si>
    <t>4C02-07</t>
  </si>
  <si>
    <t>4C02-08</t>
  </si>
  <si>
    <t>4C02-09</t>
  </si>
  <si>
    <t>4C02-10</t>
  </si>
  <si>
    <t>4C03-01</t>
  </si>
  <si>
    <t>4C03-02</t>
  </si>
  <si>
    <t>4C03-03</t>
  </si>
  <si>
    <t>4C03-04</t>
  </si>
  <si>
    <t>4C03-05</t>
  </si>
  <si>
    <t>4C03-06</t>
  </si>
  <si>
    <t>4C03-07</t>
  </si>
  <si>
    <t>4C03-08</t>
  </si>
  <si>
    <t>4C03-09</t>
  </si>
  <si>
    <t>4C03-10</t>
  </si>
  <si>
    <t>4C03-11</t>
  </si>
  <si>
    <t>4C03-12</t>
  </si>
  <si>
    <t>4C03-14</t>
  </si>
  <si>
    <t>La mise à jour des procédures citées dans le plan de secours fait-elle l'objet d'un audit régulier ?</t>
  </si>
  <si>
    <t>4C04-01</t>
  </si>
  <si>
    <t>Avant de décider d'externaliser une activité, procède-t-on systématiquement à l'analyse des divers événements pouvant donner lieu à une demande de réversibilité et aux conséquences en cas d'échec de celle-ci ?</t>
  </si>
  <si>
    <t>4C04-02</t>
  </si>
  <si>
    <t>En particulier, a-t-on pris en compte le pire des scénarios pour l'accès aux données: la faillite du prestataire ?</t>
  </si>
  <si>
    <t>4C04-03</t>
  </si>
  <si>
    <t>Une clause de réversibilité est-elle incluse dans le contrat conclu avec le prestataire ?</t>
  </si>
  <si>
    <t>4C04-04</t>
  </si>
  <si>
    <t>Le contrat précise-t-il les cas où la demande de réversibilité peut être invoquée ?</t>
  </si>
  <si>
    <t>4C04-05</t>
  </si>
  <si>
    <t>Le prestataire a-t-il fourni un plan de réversibilité définissant les actions à entreprendre, le périmètre technique et sa documentation, les délais d’intervention et les coûts ?</t>
  </si>
  <si>
    <t>4C04-06</t>
  </si>
  <si>
    <t>Les standards utilisés (notamment pour les formats de données) sont-ils précisés ainsi que leur longévité ?</t>
  </si>
  <si>
    <t>4C04-07</t>
  </si>
  <si>
    <t>La perte de données et la durée d'arrêt du service (RPO et RTO) sont-ils mentionnés dans le plan de réversibilité ?</t>
  </si>
  <si>
    <t>4C04-08</t>
  </si>
  <si>
    <t>4C04-09</t>
  </si>
  <si>
    <t>Dans le cas où un transfert de l'activité chez un autre fournisseur devrait être réalisé, a-t-on fait le choix de celui-ci et a-t-il validé le plan de réversibilité ?</t>
  </si>
  <si>
    <t>4C04-10</t>
  </si>
  <si>
    <t>A-t-on pris en compte le fait que certains éléments à reprendre peuvent être la propriété intellectuelle du prestataire ?</t>
  </si>
  <si>
    <t>4C04-11</t>
  </si>
  <si>
    <t>Les solutions de continuité des services externalisés sont-elles décrites en détail dans les Plans de Reprise d'Activité incluant les règles de déclenchement, les actions à mener, les priorités, les acteurs à mobiliser et leurs coordonnées ?</t>
  </si>
  <si>
    <t>4C04-12</t>
  </si>
  <si>
    <t>Ces procédures de réversibilité sont-elles testées au moins une fois par an ?</t>
  </si>
  <si>
    <t>4C04-13</t>
  </si>
  <si>
    <t>Les résultats des tests sont-ils consignés et analysés afin d'améliorer les capacités de l'organisation à mettre en œuvre la réversibilité ?</t>
  </si>
  <si>
    <t>4C04-14</t>
  </si>
  <si>
    <t>L'existence, la pertinence et la mise à jour des procédures de réversibilité des services externalisés font-elles l'objet d'un audit régulier ?</t>
  </si>
  <si>
    <t>4C05-01</t>
  </si>
  <si>
    <t>A-t-on défini, avec les utilisateurs, les délais maximum admissibles pour le rétablissement de leurs droits, en cas de blocage, accidentel ou non, de leurs comptes (applicatifs, systèmes ou réseaux) ?</t>
  </si>
  <si>
    <t>4C05-02</t>
  </si>
  <si>
    <t>A-t-on défini la procédure à suivre en cas de blocage de compte ?.</t>
  </si>
  <si>
    <t>4C05-03</t>
  </si>
  <si>
    <t>4C05-04</t>
  </si>
  <si>
    <t xml:space="preserve">Cette procédure permet-elle de respecter les délais maximum admissibles en cas de blocages isolés de quelques comptes (attaque en déni de service) ? </t>
  </si>
  <si>
    <t>4C05-05</t>
  </si>
  <si>
    <t>A-t-on pris en compte la possibilité de blocage simultané de nombreux comptes ?</t>
  </si>
  <si>
    <t>4C05-06</t>
  </si>
  <si>
    <t>A-t-on défini avec les utilisateurs le processus à mettre en œuvre en cas de blocage simultané de nombreux comptes ?</t>
  </si>
  <si>
    <t>4C05-07</t>
  </si>
  <si>
    <t>Les mesures relatives au maintien des comptes utilisateurs font-elles l'objet d'un audit régulier ?</t>
  </si>
  <si>
    <r>
      <t xml:space="preserve">A-t-on analysé les conséquences de la disparition d'un fournisseur (en cas de panne, de bogue ou de nécessité d'évolution) pour en déduire une liste de systèmes et applications critiques ?
</t>
    </r>
    <r>
      <rPr>
        <i/>
        <sz val="8"/>
        <rFont val="Arial"/>
        <family val="2"/>
      </rPr>
      <t>Ceci vaut aussi bien pour les fournisseurs de matériel que de logiciels ou de services.</t>
    </r>
  </si>
  <si>
    <t>Existe-t-il, pour l'ensemble des systèmes et applications critiques, une solution palliative étudiée pour faire face à la disparition ou la défaillance du fournisseur (dépôt de la documentation de maintenance ou du code source chez un tiers de confiance, remplacement du système par des systèmes standards ou des applications par des progiciels, etc.) ?</t>
  </si>
  <si>
    <t>Procède-t-on régulièrement à une revue des systèmes et applications pouvant être critiques et des solutions palliatives prévues ?</t>
  </si>
  <si>
    <t>4D01-01</t>
  </si>
  <si>
    <t>4D01-02</t>
  </si>
  <si>
    <t>4D01-03</t>
  </si>
  <si>
    <t>Les utilisateurs ont-ils été informés de leur responsabilité à reporter au plus vite les incidents et connaissent-ils le moyen de le faire ?</t>
  </si>
  <si>
    <t>4D01-04</t>
  </si>
  <si>
    <t>4D01-05</t>
  </si>
  <si>
    <t>4D01-06</t>
  </si>
  <si>
    <t>4D01-07</t>
  </si>
  <si>
    <t>4D01-08</t>
  </si>
  <si>
    <r>
      <t xml:space="preserve">Ce système prévoit-il la possibilité de collecter des preuves pour d'éventuelles actions légales ou disciplinaires ?
</t>
    </r>
    <r>
      <rPr>
        <i/>
        <sz val="8"/>
        <rFont val="Arial"/>
        <family val="2"/>
      </rPr>
      <t>Par exemple en réalisant des copies de médias avant toute action afin de préserver leur état au moment de l'incident</t>
    </r>
    <r>
      <rPr>
        <sz val="8"/>
        <rFont val="Arial"/>
        <family val="2"/>
      </rPr>
      <t xml:space="preserve"> </t>
    </r>
  </si>
  <si>
    <t>4D01-09</t>
  </si>
  <si>
    <t>4D01-10</t>
  </si>
  <si>
    <t>4D02</t>
  </si>
  <si>
    <t>Gestion et traitement des incidents de sécurité</t>
  </si>
  <si>
    <t>4D02-01</t>
  </si>
  <si>
    <t>4D02-02</t>
  </si>
  <si>
    <t>4D02-03</t>
  </si>
  <si>
    <t>4D02-04</t>
  </si>
  <si>
    <t>4D02-05</t>
  </si>
  <si>
    <t>4D02-06</t>
  </si>
  <si>
    <t>4D02-07</t>
  </si>
  <si>
    <t>4E01-01</t>
  </si>
  <si>
    <t>Des procédures existent-elles sur la gestion (utilisation, conservation, transport, destruction, etc…) des médias amovibles ?</t>
  </si>
  <si>
    <t>4E01-02</t>
  </si>
  <si>
    <t>Ces procédures prennent-elles en compte l'interdiction d'utiliser certains médias amovibles (tel que les clés USB) en support d'informations sensibles ?</t>
  </si>
  <si>
    <t>4E01-03</t>
  </si>
  <si>
    <t>L'enregistrement de tous les médias amovibles est-il réalisé ?</t>
  </si>
  <si>
    <t>4E01-04</t>
  </si>
  <si>
    <t>L'obligation de crypter les données est-elle prise en compte en fonction de la sensibilité des données et du type de média utilisé ?</t>
  </si>
  <si>
    <t>4E01-05</t>
  </si>
  <si>
    <t>La nécessité de réaliser plusieurs copies du média afin de limiter la perte de données est-elle prise en compte ?</t>
  </si>
  <si>
    <t>4E01-06</t>
  </si>
  <si>
    <t>Procède-t-on régulièrement à des réécritures sur media neufs pour éviter les effets du vieillissement ou de la pollution ?</t>
  </si>
  <si>
    <t>4E02-01</t>
  </si>
  <si>
    <t>4E02-02</t>
  </si>
  <si>
    <t>4E02-03</t>
  </si>
  <si>
    <t>4E02-04</t>
  </si>
  <si>
    <t>4E02-05</t>
  </si>
  <si>
    <t>Utilise-t-on une société spécialisée dans le stockage des supports amovibles externalisés offrant des garanties contractuelles de sécurité ?</t>
  </si>
  <si>
    <t>4E02-06</t>
  </si>
  <si>
    <t>4E02-07</t>
  </si>
  <si>
    <t xml:space="preserve">Lors du transfert de données sensibles sur support amovible pour stockage externe, existe-t-il une procédure imposant des conteneurs haute sécurité  et des convoyeurs accrédités par l'entreprise ? </t>
  </si>
  <si>
    <t>4E02-08</t>
  </si>
  <si>
    <t>4E02-09</t>
  </si>
  <si>
    <t>4E02-10</t>
  </si>
  <si>
    <t>Procède-t-on périodiquement à un audit des procédures de gestion des supports (stockage, transport et restitution) ?</t>
  </si>
  <si>
    <t>Dans le cas de l'utilisation d'un partenaire pour collecter et détruire les médias, des contrôles suffisants ont-ils été mis en place pour permettre le suivi des travaux effectués ?</t>
  </si>
  <si>
    <t>Garde-t-on un registre assurant la traçabilité de tous les médias détruits ?</t>
  </si>
  <si>
    <t>4E03-01</t>
  </si>
  <si>
    <t>Existe-t-il une procédure indiquant la marche à suivre lorsque des médias doivent être physiquement transportés en fonction de la sensibilité des informations qu'ils contiennent ?</t>
  </si>
  <si>
    <t>4E03-02</t>
  </si>
  <si>
    <t>En particulier une liste de transporteurs autorisés a-t-elle été établie ?</t>
  </si>
  <si>
    <t>4E03-03</t>
  </si>
  <si>
    <t>La nécessité de crypter les données contenues dans ces médias est-elle envisagée en fonction de leur sensibilité ?</t>
  </si>
  <si>
    <t>4E03-04</t>
  </si>
  <si>
    <t>A-t-on indiqué le type d'emballage devant être utilisé en fonction de la sensibilité des informations transportées ?</t>
  </si>
  <si>
    <t>4E04-01</t>
  </si>
  <si>
    <t>Les réseaux de stockage sont-ils isolés, physiquement ou logiquement, des autres réseaux de données ?</t>
  </si>
  <si>
    <t>4E04-02</t>
  </si>
  <si>
    <t>4E04-03</t>
  </si>
  <si>
    <t>4E04-04</t>
  </si>
  <si>
    <t>4F01-01</t>
  </si>
  <si>
    <t>4F01-02</t>
  </si>
  <si>
    <t>4F01-03</t>
  </si>
  <si>
    <t>4F01-04</t>
  </si>
  <si>
    <t>4F01-05</t>
  </si>
  <si>
    <t>4F01-06</t>
  </si>
  <si>
    <t>4F01-07</t>
  </si>
  <si>
    <t>Procède-t-on régulièrement à des tests de relecture des archives ?</t>
  </si>
  <si>
    <t>4F01-08</t>
  </si>
  <si>
    <t>4F01-09</t>
  </si>
  <si>
    <t>Vérifie-t-on régulièrement l'existence des moyens d'exploitation des archives (matériels, logiciels compatibles, etc.) ?</t>
  </si>
  <si>
    <t>4F01-10</t>
  </si>
  <si>
    <t>4F01-11</t>
  </si>
  <si>
    <t>4F02-01</t>
  </si>
  <si>
    <t>4F02-02</t>
  </si>
  <si>
    <t>4F02-03</t>
  </si>
  <si>
    <t>4F02-04</t>
  </si>
  <si>
    <t>4F02-05</t>
  </si>
  <si>
    <t>4F02-06</t>
  </si>
  <si>
    <t>4F02-07</t>
  </si>
  <si>
    <t>4F02-08</t>
  </si>
  <si>
    <t>4F02-09</t>
  </si>
  <si>
    <t>4F02-10</t>
  </si>
  <si>
    <t>4F03-01</t>
  </si>
  <si>
    <t>4F03-02</t>
  </si>
  <si>
    <t>4F03-03</t>
  </si>
  <si>
    <t>4F03-04</t>
  </si>
  <si>
    <t>4F03-05</t>
  </si>
  <si>
    <t>4F03-06</t>
  </si>
  <si>
    <t>4F03-07</t>
  </si>
  <si>
    <t>4F03-08</t>
  </si>
  <si>
    <t>4F03-09</t>
  </si>
  <si>
    <t>Questionnaire d'audit : Sécurité applicative et continuité de l'activité</t>
  </si>
  <si>
    <t>5A</t>
  </si>
  <si>
    <t>5A01-01</t>
  </si>
  <si>
    <t>5A01-02</t>
  </si>
  <si>
    <t>La conformité des sceaux est-elle contrôlée automatiquement par l'application ou par les couches réseau ?</t>
  </si>
  <si>
    <t>5A01-03</t>
  </si>
  <si>
    <t>5A01-04</t>
  </si>
  <si>
    <t>5A01-05</t>
  </si>
  <si>
    <t>5A01-06</t>
  </si>
  <si>
    <t xml:space="preserve">Protection de l'intégrité des données applicatives échangées </t>
  </si>
  <si>
    <t>5A02-01</t>
  </si>
  <si>
    <t>5A02-02</t>
  </si>
  <si>
    <t>5A02-03</t>
  </si>
  <si>
    <t>5A02-04</t>
  </si>
  <si>
    <t>5A02-05</t>
  </si>
  <si>
    <t>5A02-06</t>
  </si>
  <si>
    <t>Contrôles permanents (vraisemblance, ...) sur les données et traitements</t>
  </si>
  <si>
    <t>5A03-01</t>
  </si>
  <si>
    <t>5A03-02</t>
  </si>
  <si>
    <t>5A03-03</t>
  </si>
  <si>
    <t>5A03-04</t>
  </si>
  <si>
    <t>5A03-05</t>
  </si>
  <si>
    <t>5A03-06</t>
  </si>
  <si>
    <t>5A04-01</t>
  </si>
  <si>
    <t>5A04-02</t>
  </si>
  <si>
    <t>5A04-03</t>
  </si>
  <si>
    <t>5A04-04</t>
  </si>
  <si>
    <t>5A04-05</t>
  </si>
  <si>
    <t>5A04-06</t>
  </si>
  <si>
    <t>5A04-07</t>
  </si>
  <si>
    <t>5A04-08</t>
  </si>
  <si>
    <t>5A04-09</t>
  </si>
  <si>
    <t>5B</t>
  </si>
  <si>
    <t>5B01-01</t>
  </si>
  <si>
    <t>A-t-on défini les messages ou échanges devant être protégés par des solutions de chiffrement et mis en place de telles solutions au niveau applicatif, voire au niveau de l'infrastructure ?</t>
  </si>
  <si>
    <t>5B01-02</t>
  </si>
  <si>
    <t>5B01-03</t>
  </si>
  <si>
    <t>5B01-04</t>
  </si>
  <si>
    <t>5B02-01</t>
  </si>
  <si>
    <r>
      <t xml:space="preserve">A-t-on défini les fichiers </t>
    </r>
    <r>
      <rPr>
        <sz val="8"/>
        <rFont val="Arial"/>
        <family val="2"/>
      </rPr>
      <t>devant être protégés par des solutions de chiffrement et mis en place de telles solutions au niveau de l'architecture applicative ?</t>
    </r>
  </si>
  <si>
    <t>5B02-02</t>
  </si>
  <si>
    <t>5B02-03</t>
  </si>
  <si>
    <t>5B02-04</t>
  </si>
  <si>
    <t>5B02-05</t>
  </si>
  <si>
    <t>5B02-06</t>
  </si>
  <si>
    <t>5C</t>
  </si>
  <si>
    <t>5C01-01</t>
  </si>
  <si>
    <t>5C01-02</t>
  </si>
  <si>
    <t>5C01-03</t>
  </si>
  <si>
    <t>5C01-04</t>
  </si>
  <si>
    <t>5C01-05</t>
  </si>
  <si>
    <t>5D</t>
  </si>
  <si>
    <t>5D01-01</t>
  </si>
  <si>
    <t>5D01-02</t>
  </si>
  <si>
    <t>5D01-03</t>
  </si>
  <si>
    <t>5D01-04</t>
  </si>
  <si>
    <t>5D01-05</t>
  </si>
  <si>
    <t>5D01-06</t>
  </si>
  <si>
    <t>5D01-07</t>
  </si>
  <si>
    <t>5D01-08</t>
  </si>
  <si>
    <t>5D01-09</t>
  </si>
  <si>
    <t>5D01-10</t>
  </si>
  <si>
    <t>5D02-01</t>
  </si>
  <si>
    <r>
      <t xml:space="preserve">A-t-on analysé la criticité des services externalisés tels qu'un réseau étendu d'entreprise, un fournisseur d'accès internet, des services de mise à disposition de plateformes (PaaS), d'infrastructure (IaaS), d'applications (SaaS), d'espaces de stockage, ou de prestations diverses, pour mettre en évidence les besoins de continuité de service ?
</t>
    </r>
    <r>
      <rPr>
        <i/>
        <sz val="8"/>
        <rFont val="Arial"/>
        <family val="2"/>
      </rPr>
      <t>Une analyse approfondie suppose que l'on établisse une liste de scénarios d'indisponibilité et qu'on en analyse toutes les conséquences prévisibles.</t>
    </r>
  </si>
  <si>
    <t>5D02-02</t>
  </si>
  <si>
    <t>5D02-03</t>
  </si>
  <si>
    <t>En a-t-on déduit, pour chaque cas critique, des possibilités de replis ou des services de substitution ?</t>
  </si>
  <si>
    <t>5D02-04</t>
  </si>
  <si>
    <t xml:space="preserve">A-t-on pris en compte et vérifié la possibilité de récupérer les données nécessaires à l'utilisation de la solution de secours ? </t>
  </si>
  <si>
    <t>5D02-05</t>
  </si>
  <si>
    <t>5D02-06</t>
  </si>
  <si>
    <t>Procède-t-on régulièrement à des tests visant à démontrer la capacité des éléments de secours à assurer les performances minimales en cas d'indisponibilité de chaque service externalisé ?</t>
  </si>
  <si>
    <t>5D03-01</t>
  </si>
  <si>
    <t>5D03-02</t>
  </si>
  <si>
    <t>5E</t>
  </si>
  <si>
    <t>5E01-01</t>
  </si>
  <si>
    <t>5E01-02</t>
  </si>
  <si>
    <t>5E01-03</t>
  </si>
  <si>
    <t>5E01-04</t>
  </si>
  <si>
    <t>5E01-05</t>
  </si>
  <si>
    <t>5E01-06</t>
  </si>
  <si>
    <t>5E02-01</t>
  </si>
  <si>
    <t>5E02-02</t>
  </si>
  <si>
    <t>5E02-03</t>
  </si>
  <si>
    <t>5E02-04</t>
  </si>
  <si>
    <t>5E02-05</t>
  </si>
  <si>
    <t>5E02-06</t>
  </si>
  <si>
    <t>5E03-01</t>
  </si>
  <si>
    <t>5E03-02</t>
  </si>
  <si>
    <t>5E03-03</t>
  </si>
  <si>
    <t>5E03-04</t>
  </si>
  <si>
    <t>5E03-05</t>
  </si>
  <si>
    <t>5E03-06</t>
  </si>
  <si>
    <t>6A</t>
  </si>
  <si>
    <t>6A01-01</t>
  </si>
  <si>
    <t>6A01-02</t>
  </si>
  <si>
    <t>6A01-03</t>
  </si>
  <si>
    <t>6A01-04</t>
  </si>
  <si>
    <t>6A01-05</t>
  </si>
  <si>
    <t>6A01-06</t>
  </si>
  <si>
    <t>6A01-07</t>
  </si>
  <si>
    <t>6A01-08</t>
  </si>
  <si>
    <t>6A01-09</t>
  </si>
  <si>
    <t>6A01-10</t>
  </si>
  <si>
    <t>6A02-01</t>
  </si>
  <si>
    <t>6A02-02</t>
  </si>
  <si>
    <t>6A02-03</t>
  </si>
  <si>
    <t>6A02-04</t>
  </si>
  <si>
    <t>6A02-05</t>
  </si>
  <si>
    <t>6A02-06</t>
  </si>
  <si>
    <t>6A02-07</t>
  </si>
  <si>
    <t>Utilisation d'équipement personnel</t>
  </si>
  <si>
    <t>6B</t>
  </si>
  <si>
    <t>6B01-01</t>
  </si>
  <si>
    <t xml:space="preserve">Les données sensibles contenues éventuellement sur le poste de travail, sur un disque logique de données partagées hébergé sur un serveur de données ou sur support amovible, sont-elles chiffrées ? </t>
  </si>
  <si>
    <t>6B01-02</t>
  </si>
  <si>
    <t>6B01-03</t>
  </si>
  <si>
    <t>6B01-04</t>
  </si>
  <si>
    <t>6B01-05</t>
  </si>
  <si>
    <t>6B01-06</t>
  </si>
  <si>
    <t>6B01-07</t>
  </si>
  <si>
    <t>6B01-08</t>
  </si>
  <si>
    <t>6B02-01</t>
  </si>
  <si>
    <t>6B02-02</t>
  </si>
  <si>
    <t>6B02-03</t>
  </si>
  <si>
    <t>6B02-04</t>
  </si>
  <si>
    <t>6B02-05</t>
  </si>
  <si>
    <t>6B02-06</t>
  </si>
  <si>
    <t>6B03-01</t>
  </si>
  <si>
    <t>6B03-02</t>
  </si>
  <si>
    <t>6B03-03</t>
  </si>
  <si>
    <t>6B03-04</t>
  </si>
  <si>
    <t>6B03-05</t>
  </si>
  <si>
    <t>6B03-06</t>
  </si>
  <si>
    <t>6B03-07</t>
  </si>
  <si>
    <t>6B03-08</t>
  </si>
  <si>
    <t>6B04-01</t>
  </si>
  <si>
    <t>6B04-02</t>
  </si>
  <si>
    <t>6B04-03</t>
  </si>
  <si>
    <t>6B04-04</t>
  </si>
  <si>
    <t>6B04-05</t>
  </si>
  <si>
    <t xml:space="preserve">E - Continuité de l'activité </t>
  </si>
  <si>
    <t>Sécurité des systèmes et de leur architecture (3 Sys)</t>
  </si>
  <si>
    <t>B - Sûreté de fonctionnement de l'architecture interne</t>
  </si>
  <si>
    <t>Exploitation des systèmes d'information et de communication (4 Ope)</t>
  </si>
  <si>
    <t>Utilisation des programmes privilégiés</t>
  </si>
  <si>
    <t>Sécurité physique des medias</t>
  </si>
  <si>
    <t>4E05</t>
  </si>
  <si>
    <t>5</t>
  </si>
  <si>
    <t>Sécurité applicative et continuité de l'activité (5 App)</t>
  </si>
  <si>
    <t>B - Contrôle de la confidentialité des données</t>
  </si>
  <si>
    <t>6</t>
  </si>
  <si>
    <t>Protection des postes de travail utilisateurs (6 Mic)</t>
  </si>
  <si>
    <t>Protection du poste de travail</t>
  </si>
  <si>
    <t>Conformité aux exigences légales et contractuelles</t>
  </si>
  <si>
    <t xml:space="preserve">Fichiers bureaut. </t>
  </si>
  <si>
    <t>Processus de management</t>
  </si>
  <si>
    <t>Services externalisés ou hébergés sur le cloud</t>
  </si>
  <si>
    <t>MinV1</t>
  </si>
  <si>
    <t>MinV2</t>
  </si>
  <si>
    <t>MinV3</t>
  </si>
  <si>
    <t>MinV4</t>
  </si>
  <si>
    <t>MaxV1</t>
  </si>
  <si>
    <t>MaxV2</t>
  </si>
  <si>
    <t>MaxV3</t>
  </si>
  <si>
    <t>MaxV4</t>
  </si>
  <si>
    <t>1A</t>
  </si>
  <si>
    <t>Politiques relatives à la sécurité de l'information</t>
  </si>
  <si>
    <t>1A01-01</t>
  </si>
  <si>
    <t>1A01-02</t>
  </si>
  <si>
    <t>1A01-03</t>
  </si>
  <si>
    <t>1A01-04</t>
  </si>
  <si>
    <t>1A01-05</t>
  </si>
  <si>
    <t>1A01-06</t>
  </si>
  <si>
    <t>1A01-07</t>
  </si>
  <si>
    <t>1A02-01</t>
  </si>
  <si>
    <t>1A02-02</t>
  </si>
  <si>
    <t>1B</t>
  </si>
  <si>
    <t>Organisation du management et du pilotage de la sécurité de l'information</t>
  </si>
  <si>
    <t>1B01-01</t>
  </si>
  <si>
    <t>1B01-02</t>
  </si>
  <si>
    <t>1B01-03</t>
  </si>
  <si>
    <t>1B01-04</t>
  </si>
  <si>
    <t>1B01-05</t>
  </si>
  <si>
    <t>1B01-06</t>
  </si>
  <si>
    <t>1B01-07</t>
  </si>
  <si>
    <t>1B01-08</t>
  </si>
  <si>
    <t>1B02-01</t>
  </si>
  <si>
    <t>1B02-02</t>
  </si>
  <si>
    <t>1B03-01</t>
  </si>
  <si>
    <t>1B03-02</t>
  </si>
  <si>
    <t>1B04-01</t>
  </si>
  <si>
    <t>1B04-02</t>
  </si>
  <si>
    <t>1B04-03</t>
  </si>
  <si>
    <t>1B05-01</t>
  </si>
  <si>
    <t>1B05-02</t>
  </si>
  <si>
    <t>1B06-01</t>
  </si>
  <si>
    <t>1B07-01</t>
  </si>
  <si>
    <t>1B08-01</t>
  </si>
  <si>
    <t>1B08-02</t>
  </si>
  <si>
    <t>1B08-03</t>
  </si>
  <si>
    <t>Engagements de confidentialité ou de non-divulgation</t>
  </si>
  <si>
    <t>1B09-01</t>
  </si>
  <si>
    <t>1B09-02</t>
  </si>
  <si>
    <t>1C</t>
  </si>
  <si>
    <t>Gestion des ressources humaines</t>
  </si>
  <si>
    <t>1C02-01</t>
  </si>
  <si>
    <t>1C04-01</t>
  </si>
  <si>
    <t>1C05-01</t>
  </si>
  <si>
    <t>1C05-02</t>
  </si>
  <si>
    <t>1C05-03</t>
  </si>
  <si>
    <t>1D01-01</t>
  </si>
  <si>
    <t>1D01-02</t>
  </si>
  <si>
    <t>1D01-03</t>
  </si>
  <si>
    <t>1D01-04</t>
  </si>
  <si>
    <t>1D01-05</t>
  </si>
  <si>
    <t>1D01-06</t>
  </si>
  <si>
    <t>1D02-01</t>
  </si>
  <si>
    <t>1D02-02</t>
  </si>
  <si>
    <t>1D02-03</t>
  </si>
  <si>
    <t>1D02-04</t>
  </si>
  <si>
    <t>1E</t>
  </si>
  <si>
    <t>1E01-01</t>
  </si>
  <si>
    <t>A-t-on déduit, d'une analyse de criticité, des Plans de Continuité d'Activité (PCA) pour chaque activité critique, que cette activité soit supportée ou dépende d'un processus applicatif ou non ?</t>
  </si>
  <si>
    <t>1E01-02</t>
  </si>
  <si>
    <t>1E01-03</t>
  </si>
  <si>
    <t>1E01-04</t>
  </si>
  <si>
    <t>1E01-05</t>
  </si>
  <si>
    <t>1E01-06</t>
  </si>
  <si>
    <t>1E01-07</t>
  </si>
  <si>
    <t>1E01-08</t>
  </si>
  <si>
    <t>1E01-09</t>
  </si>
  <si>
    <t>1E01-10</t>
  </si>
  <si>
    <t>1E01-11</t>
  </si>
  <si>
    <t>1E01-12</t>
  </si>
  <si>
    <t>1E01-13</t>
  </si>
  <si>
    <t>1E02-01</t>
  </si>
  <si>
    <t>1E02-02</t>
  </si>
  <si>
    <t>1E02-03</t>
  </si>
  <si>
    <t>1E02-04</t>
  </si>
  <si>
    <t>1E02-05</t>
  </si>
  <si>
    <t>1E02-06</t>
  </si>
  <si>
    <t>1F</t>
  </si>
  <si>
    <t>1F01-01</t>
  </si>
  <si>
    <t>1F01-02</t>
  </si>
  <si>
    <t>1F02-01</t>
  </si>
  <si>
    <t>1F03-01</t>
  </si>
  <si>
    <t>1F03-02</t>
  </si>
  <si>
    <t>1F04-01</t>
  </si>
  <si>
    <t>1F04-02</t>
  </si>
  <si>
    <t>1A01-01:05</t>
  </si>
  <si>
    <t>Utilisation des mobiles et télétravail</t>
  </si>
  <si>
    <t>1B01-01:03</t>
  </si>
  <si>
    <t>1C01-01</t>
  </si>
  <si>
    <t>1C01-02</t>
  </si>
  <si>
    <t>1C01-03</t>
  </si>
  <si>
    <t>1C01-04</t>
  </si>
  <si>
    <t>1C01-05</t>
  </si>
  <si>
    <t>1C01-06</t>
  </si>
  <si>
    <t>1C01-07</t>
  </si>
  <si>
    <t>Classification de l'information</t>
  </si>
  <si>
    <r>
      <t xml:space="preserve">Les plans de continuité sont-ils remis à jour  régulièrement ?
</t>
    </r>
    <r>
      <rPr>
        <i/>
        <sz val="8"/>
        <rFont val="Arial"/>
        <family val="2"/>
      </rPr>
      <t>Cette mise à jour devrait être déclenchée pour tenir compte des changements de personnels concernés, des évolutions techniques et des résultats des tests effectués.</t>
    </r>
  </si>
  <si>
    <t>Relations avec les fournisseurs</t>
  </si>
  <si>
    <t>Nombre de questions</t>
  </si>
  <si>
    <t>1</t>
  </si>
  <si>
    <t>Organisation de la sécurité (1 Org)</t>
  </si>
  <si>
    <t>Sécurité physique (2 Phy)</t>
  </si>
  <si>
    <t>7</t>
  </si>
  <si>
    <t>Sécurité des projets et développements applicatifs (7 Dev)</t>
  </si>
  <si>
    <t>8</t>
  </si>
  <si>
    <t>1C03-01</t>
  </si>
  <si>
    <t>1C03-02</t>
  </si>
  <si>
    <t>1C03-03</t>
  </si>
  <si>
    <r>
      <t xml:space="preserve">Les supports de production stockés sur site le sont-ils dans un local possédant un système automatique de contrôle d'accès systématique ?
</t>
    </r>
    <r>
      <rPr>
        <i/>
        <sz val="8"/>
        <rFont val="Arial"/>
        <family val="2"/>
      </rPr>
      <t xml:space="preserve">Ce système doit assurer un contrôle exhaustif de toute personne entrant dans les locaux de stockage </t>
    </r>
  </si>
  <si>
    <t>4E05-01</t>
  </si>
  <si>
    <t>4E05-02</t>
  </si>
  <si>
    <t>4E05-03</t>
  </si>
  <si>
    <t>4E05-04</t>
  </si>
  <si>
    <t>4E05-05</t>
  </si>
  <si>
    <t>4E05-06</t>
  </si>
  <si>
    <t>4E05-07</t>
  </si>
  <si>
    <t>4E05-08</t>
  </si>
  <si>
    <t>4E05-09</t>
  </si>
  <si>
    <t>4E05-10</t>
  </si>
  <si>
    <t>6B05-01</t>
  </si>
  <si>
    <t>6B05-02</t>
  </si>
  <si>
    <t>6B05-03</t>
  </si>
  <si>
    <t>6B05-04</t>
  </si>
  <si>
    <t>6B05-05</t>
  </si>
  <si>
    <t>6B05-06</t>
  </si>
  <si>
    <t>Nombre de références dans les scénarios</t>
  </si>
  <si>
    <t>AC.E.Iif</t>
  </si>
  <si>
    <t>Projets ou plans</t>
  </si>
  <si>
    <t>IC.E.Apo</t>
  </si>
  <si>
    <r>
      <t xml:space="preserve">Les fichiers sensibles contenus éventuellement sur le poste de travail ou sur un disque logique de fichiers partagés hébergé sur un serveur de données sont-ils protégés par un mécanisme d'interdiction d'écriture et/ou de protection contre des processus pouvant affecter globalement leur intégrité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</si>
  <si>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sensibles sont-ils en outre protégés par un mécanisme de scellement ?</t>
  </si>
  <si>
    <t>6B02-07</t>
  </si>
  <si>
    <r>
      <t xml:space="preserve">Les fichiers sensibles sont-ils protégés contre des processus pouvant affecter globalement leur intégrité, par un mécanisme d'interdiction d'écriture et/ou de contrôle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</si>
  <si>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applicatifs sensibles sont-ils en outre protégés par des solutions de scellement, mis en place au niveau applicatif, voire au niveau de l'infrastructure ?</t>
  </si>
  <si>
    <t>La mise hors service ou le contournement des moyens de protection de l'intégrité des fichiers sont-ils immédiatement détectés et signalés à une équipe permanente ou disponible sur appel (astreinte) capable d'engendrer une réaction immédiate ?</t>
  </si>
  <si>
    <t>Les mécanismes de protection de l'intégrité des fichiers, leur paramétrage et les procédures associées font-ils l'objet d'audits réguliers ?</t>
  </si>
  <si>
    <t>Inaccessibilité</t>
  </si>
  <si>
    <t>AB.S.Fai</t>
  </si>
  <si>
    <t>Responsabilité de la Direction</t>
  </si>
  <si>
    <t>Les compétences stratégiques sont-elles régulièrement identifiées ?</t>
  </si>
  <si>
    <t>Des solutions de secours existent-elles en cas d'indisponibilité de compétences stratégiques ?</t>
  </si>
  <si>
    <t>Les partenaires ou prestataires stratégiques sont-ils régulièrement identifiés ?</t>
  </si>
  <si>
    <t>Des solutions de secours existent-elles en cas d'indisponibilité de partenaires ou prestataires stratégiques ?</t>
  </si>
  <si>
    <t>Ces solutions de secours (concernant le personnel interne ou les prestataires) permettent-elles de garantir une poursuite de l'activité de l'entreprise sans perturbation majeure ?</t>
  </si>
  <si>
    <t>Le personnel stratégique fait-il l'objet d'une gestion de carrière spécifique ?</t>
  </si>
  <si>
    <t>Les prestataires stratégiques font-ils l'objet d'une gestion contractuelle spécifique ?</t>
  </si>
  <si>
    <t>Existe-t-il une procédure de contrôle de la pertinence et de la mise à jour des mesures précédentes ?</t>
  </si>
  <si>
    <t>1E03-01</t>
  </si>
  <si>
    <t>1E03-02</t>
  </si>
  <si>
    <t>1E03-03</t>
  </si>
  <si>
    <t>1E03-04</t>
  </si>
  <si>
    <t>1E03-05</t>
  </si>
  <si>
    <t>1E03-06</t>
  </si>
  <si>
    <t>1E03-07</t>
  </si>
  <si>
    <t>1E03-08</t>
  </si>
  <si>
    <t>8A01-01</t>
  </si>
  <si>
    <t>8A01-02</t>
  </si>
  <si>
    <t>L'organisation a-t-elle défini une politique pour traiter chacune de ces exigences?</t>
  </si>
  <si>
    <t>8A01-03</t>
  </si>
  <si>
    <t>Les différences possibles dans les exigences selon les législations nationales sont-elles prises en compte?</t>
  </si>
  <si>
    <t>8A01-04</t>
  </si>
  <si>
    <t>8A02-01</t>
  </si>
  <si>
    <t>8A03-01</t>
  </si>
  <si>
    <t>8A03-02</t>
  </si>
  <si>
    <t>8B01-01</t>
  </si>
  <si>
    <t>8B01-02</t>
  </si>
  <si>
    <t>8B01-04</t>
  </si>
  <si>
    <t>8B01-05</t>
  </si>
  <si>
    <t>8B02-01</t>
  </si>
  <si>
    <t>8B02-02</t>
  </si>
  <si>
    <t>8B02-03</t>
  </si>
  <si>
    <t>8B02-04</t>
  </si>
  <si>
    <t>8B03-01</t>
  </si>
  <si>
    <t>8C01-01</t>
  </si>
  <si>
    <t>8C01-02</t>
  </si>
  <si>
    <t>8C01-03</t>
  </si>
  <si>
    <t>8C01-04</t>
  </si>
  <si>
    <t>8C02-01</t>
  </si>
  <si>
    <t>8C02-02</t>
  </si>
  <si>
    <t>8A</t>
  </si>
  <si>
    <t>8B</t>
  </si>
  <si>
    <t>Revue de la sécurité de l'information</t>
  </si>
  <si>
    <t>8C</t>
  </si>
  <si>
    <t>Protection de la confidentialité de données externalisées</t>
  </si>
  <si>
    <t xml:space="preserve">Protection de l'intégrité des échanges lors des accès aux services externalisés
</t>
  </si>
  <si>
    <t>En a-t-on déduit et négocié avec le fournisseur des services externalisés, des architectures de redondance (ex. clusters) ou de réplication (ex. disques miroirs) appropriées pour les serveurs ou équipements concernés ?</t>
  </si>
  <si>
    <t>3C01-01</t>
  </si>
  <si>
    <t>3C01-02</t>
  </si>
  <si>
    <t>3C01-03</t>
  </si>
  <si>
    <t>3C01-04</t>
  </si>
  <si>
    <t>F - Contrôle de l'intégrité des données externalisées</t>
  </si>
  <si>
    <t>5F01</t>
  </si>
  <si>
    <t>5F02</t>
  </si>
  <si>
    <t>G - Contrôle de la confidentialité des données externalisées</t>
  </si>
  <si>
    <t>5G01</t>
  </si>
  <si>
    <t>5G02</t>
  </si>
  <si>
    <t>C - Sécurité de fonctionnement des services externalisés (réseau étendu, Cloud, etc.)</t>
  </si>
  <si>
    <t>Sûreté de fonctionnement des éléments d'architecture des services externalisés</t>
  </si>
  <si>
    <t>5A02-07</t>
  </si>
  <si>
    <t>Sécurité des archives</t>
  </si>
  <si>
    <t>1E02-07</t>
  </si>
  <si>
    <t xml:space="preserve">Chiffrement des échanges de données applicatives </t>
  </si>
  <si>
    <t>Chiffrement des données applicatives stockées</t>
  </si>
  <si>
    <t>2B05</t>
  </si>
  <si>
    <t>Sécurisation générale des bureaux et locaux sensibles</t>
  </si>
  <si>
    <t>2A</t>
  </si>
  <si>
    <t>Sécurité des sites et des bâtiments</t>
  </si>
  <si>
    <t>2A01-01</t>
  </si>
  <si>
    <t>2A01-02</t>
  </si>
  <si>
    <t>2A01-03</t>
  </si>
  <si>
    <t>2A02-01</t>
  </si>
  <si>
    <t>2A02-02</t>
  </si>
  <si>
    <t>En cas d'alerte du système de détection d'intrusion, l'équipe de surveillance a-t-elle la possibilité d'envoyer sans délai une équipe d'intervention pour vérifier l'alerte et agir en conséquence ?</t>
  </si>
  <si>
    <t>L'équipe de surveillance et d'intervention a-t-elle été dimensionnée en envisageant l'hypothèse d'alarmes multiples déclenchées volontairement ?</t>
  </si>
  <si>
    <t>Les points de contrôle de la détection d'intrusions et les procédures de réaction aux intrusions font-ils l'objet d'audits réguliers ?</t>
  </si>
  <si>
    <t>2A03-01</t>
  </si>
  <si>
    <t>2A03-02</t>
  </si>
  <si>
    <t>2A03-03</t>
  </si>
  <si>
    <t>A-t-on pu écarter chaque cas comme hautement improbable ou pris des mesures en conséquence ?</t>
  </si>
  <si>
    <t>2A03-04</t>
  </si>
  <si>
    <t>2A03-05</t>
  </si>
  <si>
    <t>Les installations de détection automatique d'incident environnemental sont-elles reliées à un poste permanent de surveillance, équipées d'un système permettant de localiser les détecteurs ayant réagi ?</t>
  </si>
  <si>
    <t>2A03-06</t>
  </si>
  <si>
    <t>En cas de détection d'incident environnemental, le poste permanent de surveillance a-t-il la capacité de faire intervenir des équipes d'intervention spécialisées et adaptées aux circonstances ?</t>
  </si>
  <si>
    <t>2A03-07</t>
  </si>
  <si>
    <t>La mise hors service des installations de détection automatique est-elle signalée par un renvoi systématique à un poste permanent de surveillance ?</t>
  </si>
  <si>
    <t>2A03-08</t>
  </si>
  <si>
    <t>L'ensemble des mesures de protection contre les risques environnementaux divers, des moyens de détection, des moyens de réaction et des procédures associées fait-il l'objet de revues et d'audits réguliers ?</t>
  </si>
  <si>
    <t>2B01-01</t>
  </si>
  <si>
    <t>2B01-02</t>
  </si>
  <si>
    <t>A-t-on désigné, pour chaque local sensible ou chaque type de local, un responsable chargé de définir et de maintenir à jour les autorisations d'accès attribués à chaque catégorie de personnel ?</t>
  </si>
  <si>
    <t>2B01-03</t>
  </si>
  <si>
    <t>2B01-04</t>
  </si>
  <si>
    <t>2B01-05</t>
  </si>
  <si>
    <t>2B01-06</t>
  </si>
  <si>
    <t>2B01-07</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</si>
  <si>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</si>
  <si>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2B01-08</t>
  </si>
  <si>
    <t>Utilise-t-on un système de contrôle d'accès systématique aux locaux sensibles ?</t>
  </si>
  <si>
    <t>2B01-09</t>
  </si>
  <si>
    <t>2B01-10</t>
  </si>
  <si>
    <t>2B01-11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</si>
  <si>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</si>
  <si>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Les systèmes automatiques de contrôle d'accès au site sont-ils placés sous contrôle permanent opérationnel 24h/24 permettant de diagnostiquer une panne, une désactivation ou l'utilisation d'issues de secours en temps réel ?</t>
  </si>
  <si>
    <t>Y a-t-il une procédure ou des automatismes permettant de déclencher l'intervention immédiate d'un personnel spécialisé en cas d'alarme d'arrêt du système de contrôle d'accès automatique (ou d'utilisation d'issue de secours) ?</t>
  </si>
  <si>
    <t>Existe-t-il un processus d'audit permettant de détecter, a posteriori, des anomalies dans les processus de contrôle d'accès (audit des procédures d'attribution et de retrait d'autorisation d'accès, audit des procédures et du paramétrage des systèmes de contrôle d'accès, audit des procédures d'exception et d'intervention, etc.) ?</t>
  </si>
  <si>
    <t>2D</t>
  </si>
  <si>
    <t>2D02-01</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</si>
  <si>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</si>
  <si>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t>2D02-02</t>
  </si>
  <si>
    <t>2D02-03</t>
  </si>
  <si>
    <t>Ce système est-il doublé d'un système de contrôle audio et vidéo permettant à l'équipe de surveillance d'établir un premier diagnostic à distance ?</t>
  </si>
  <si>
    <t>2D02-04</t>
  </si>
  <si>
    <t>2D02-05</t>
  </si>
  <si>
    <t>2D02-06</t>
  </si>
  <si>
    <t xml:space="preserve">Les locaux contenant les systèmes électroniques de détection et de traitement des alarmes sont-ils protégés en permanence par un système de contrôle d'accès et par un système de détection d'intrusion en dehors des heures d'exploitation ? </t>
  </si>
  <si>
    <t>2D02-07</t>
  </si>
  <si>
    <t>2D02-08</t>
  </si>
  <si>
    <t>Les points de contrôle de la détection d'intrusion et les procédures de réaction aux intrusions font-ils l'objet d'audits réguliers ?</t>
  </si>
  <si>
    <t>2D03-01</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</si>
  <si>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</si>
  <si>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2D03-02</t>
  </si>
  <si>
    <t>En cas d'alerte, l'équipe de surveillance a-t-elle la possibilité d'envoyer sans délai une équipe d'intervention pour vérifier l'alerte ou agir en conséquence ?</t>
  </si>
  <si>
    <t>2D03-03</t>
  </si>
  <si>
    <t>2D03-04</t>
  </si>
  <si>
    <t>La surveillance des locaux est-elle également en service pendant le nettoyage des locaux sensibles ?</t>
  </si>
  <si>
    <t>2D03-05</t>
  </si>
  <si>
    <t>Existe-t-il un enregistrement de la vidéosurveillance, conservé sur une longue période ?</t>
  </si>
  <si>
    <t>2D03-06</t>
  </si>
  <si>
    <t>2D03-07</t>
  </si>
  <si>
    <t>Les procédures de surveillance et les procédures de réaction aux comportements anormaux font-ils l'objet d'audits réguliers ?</t>
  </si>
  <si>
    <t>2D04-01</t>
  </si>
  <si>
    <t>2D04-02</t>
  </si>
  <si>
    <t>2D04-03</t>
  </si>
  <si>
    <t>Les visiteurs sont-ils accueillis dans une zone spécifiquement délimitée et ne contenant que des locaux d'accueil, salles de réunions ou zones accessibles au public ?</t>
  </si>
  <si>
    <t>2D04-04</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</si>
  <si>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</si>
  <si>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2D04-05</t>
  </si>
  <si>
    <t>Ces procédures permettent-elles de garantir que l'intervention correspond bien à un besoin exprimé et que le domaine d'intervention est confiné au seul besoin ?</t>
  </si>
  <si>
    <t>2D04-06</t>
  </si>
  <si>
    <t>Y a-t-il un enregistrement des visiteurs et prestataires occasionnels permettant de vérifier a posteriori la réalité et l'objet de la visite et a-t-on mis en place une procédure permettant de détecter des abus éventuels ?</t>
  </si>
  <si>
    <t>2D04-07</t>
  </si>
  <si>
    <t>Dispose-t-on d'un moyen sûr d'enregistrer les départs des visiteurs (conservation de la carte d'identité par exemple) ?</t>
  </si>
  <si>
    <t>2D04-08</t>
  </si>
  <si>
    <t>Les procédures de contrôle de la circulation des visiteurs et des prestataires occasionnels font-elles régulièrement l'objet d'un audit ?</t>
  </si>
  <si>
    <t>2E</t>
  </si>
  <si>
    <t>2E02-01</t>
  </si>
  <si>
    <t>L'intégralité du contenu des corbeilles à papier est-il soumis à une procédure de destruction sécurisée ?</t>
  </si>
  <si>
    <t>2E02-02</t>
  </si>
  <si>
    <t>Le personnel dispose-t-il de moyens de destruction sécurisée des documents sensibles à détruire (déchiqueteuse, procédure de ramassage spéciale ) ?</t>
  </si>
  <si>
    <t>2E02-03</t>
  </si>
  <si>
    <t>2E02-04</t>
  </si>
  <si>
    <t>La capacité des moyens de destruction offerts au personnel est-elle compatible avec le volume moyen des documents à détruire ?</t>
  </si>
  <si>
    <t>2E02-05</t>
  </si>
  <si>
    <t>2E02-06</t>
  </si>
  <si>
    <t>L'ensemble des procédures et moyens de destruction fait-il l'objet d'audits réguliers ?</t>
  </si>
  <si>
    <t>2B</t>
  </si>
  <si>
    <t>B - Sécurité des locaux sensibles</t>
  </si>
  <si>
    <t>Sécurité des locaux sensibles</t>
  </si>
  <si>
    <t>A-t-on un système opérationnel de détection des intrusions dans les locaux sensibles relié à un poste permanent de surveillance  ?</t>
  </si>
  <si>
    <t>Ce système détecte-t-il tout forçage d'issue (portes et fenêtres), tout fonctionnement d'issue de secours et tout maintien en ouverture d'une issue normale ?</t>
  </si>
  <si>
    <t>Ce système détecte-t-il la présence de personnes en dehors des heures ouvrables ?</t>
  </si>
  <si>
    <t>L'équipe de surveillance est-elle dégagée de toute tâche opérationnelle et toute alarme est-elle immédiatement détectée et traitée en toute priorité ?</t>
  </si>
  <si>
    <t>2B02-01</t>
  </si>
  <si>
    <t>2B02-02</t>
  </si>
  <si>
    <t>2B02-03</t>
  </si>
  <si>
    <t>2B02-04</t>
  </si>
  <si>
    <t>2B02-05</t>
  </si>
  <si>
    <t>2B02-06</t>
  </si>
  <si>
    <t>2B02-07</t>
  </si>
  <si>
    <t>2B02-08</t>
  </si>
  <si>
    <t>2B02-09</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</si>
  <si>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</si>
  <si>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2B03-01</t>
  </si>
  <si>
    <t>2B03-02</t>
  </si>
  <si>
    <t>2B03-03</t>
  </si>
  <si>
    <t>2B03-04</t>
  </si>
  <si>
    <t>2B03-05</t>
  </si>
  <si>
    <t>2B03-06</t>
  </si>
  <si>
    <t>2B03-07</t>
  </si>
  <si>
    <t>2B04-01</t>
  </si>
  <si>
    <t>2B04-02</t>
  </si>
  <si>
    <t>2B05-01</t>
  </si>
  <si>
    <t>2B05-02</t>
  </si>
  <si>
    <t>2C01-01</t>
  </si>
  <si>
    <t>2C01-02</t>
  </si>
  <si>
    <t>Ces équipements sont-ils couverts par un contrat de maintenance adapté aux exigences du service attendu ?</t>
  </si>
  <si>
    <t>L'inhibition accidentelle (panne) ou volontaire (arrêt) d'un équipement de servitude est-elle détectée et signalée à une équipe d'intervention à même d'agir rapidement ?</t>
  </si>
  <si>
    <t>La sécurité des équipements de servitude (détection de panne ou d'inhibition, procédures d'intervention, etc.) fait-elle l'objet d'un audit régulier ?</t>
  </si>
  <si>
    <t>A-t-on répertorié précisément l'ensemble des équipements de servitude nécessaires aux systèmes d'information et de communication (énergie électrique et circuits de protection correspondants, eau froide, air, circuit de climatisation, alimentations particulières, etc.) ?</t>
  </si>
  <si>
    <t>A-t-on vérifié leur capacité à faire face aux exigences de l'activité et de sa croissance, ainsi que la cohérence et la compatibilité des divers moyens de servitudes entre eux ?</t>
  </si>
  <si>
    <t>2C02-01</t>
  </si>
  <si>
    <t>2C02-02</t>
  </si>
  <si>
    <t>2C02-03</t>
  </si>
  <si>
    <t>2C02-04</t>
  </si>
  <si>
    <t>2C02-05</t>
  </si>
  <si>
    <t>2C02-06</t>
  </si>
  <si>
    <t>2C02-07</t>
  </si>
  <si>
    <t>2C02-08</t>
  </si>
  <si>
    <t>2C03-01</t>
  </si>
  <si>
    <t>2C03-02</t>
  </si>
  <si>
    <t>A-t-on établi une politique documentée établissant les exigences de continuité dans la fourniture électrique (et les fluides en général) ?</t>
  </si>
  <si>
    <t>Existe-t-il une installation électrique de secours capable d'assurer la continuité du service des équipements critiques (s'appuyant sur un groupe électrogène associé à une réserve de carburant suffisante ou sur des arrivées indépendantes d'énergie) ?</t>
  </si>
  <si>
    <t>Teste-t-on régulièrement la capacité du système de secours à assurer la charge prévue (les délestages éventuels ayant été effectués) ?</t>
  </si>
  <si>
    <t>Teste-t-on régulièrement la séquence de mise en route de l'installation de secours et sa compatibilité avec les exigences de continuité de service (les tests incluant les délestages ou reconfigurations éventuellement nécessaires) ?</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</si>
  <si>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</si>
  <si>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2C04-01</t>
  </si>
  <si>
    <t>2C04-02</t>
  </si>
  <si>
    <t>2C04-03</t>
  </si>
  <si>
    <t>2C04-04</t>
  </si>
  <si>
    <t>2C04-05</t>
  </si>
  <si>
    <t>2C05-01</t>
  </si>
  <si>
    <t>2C05-02</t>
  </si>
  <si>
    <t>2C05-01:02</t>
  </si>
  <si>
    <t>A-t-on effectué un partitionnement des zones de bureaux en zones protégées correspondant à des exigences de sécurité homogènes ?</t>
  </si>
  <si>
    <t>Ce partitionnement des zones de bureaux et les cloisonnements correspondants séparent-ils les espaces internes protégés des zones d'accueil et de réunion, où sont reçues des personnes externes aux entités protégées ?</t>
  </si>
  <si>
    <t>Utilise-t-on un système automatique d'authentification et de contrôle d'accès systématique aux zones protégées ?</t>
  </si>
  <si>
    <t>Existe-t-il une procédure et des moyens permettant aux personnes n'ayant pas d'autorisations d'appeler afin de pouvoir pénétrer dans les zones protégées ?</t>
  </si>
  <si>
    <t>Dans le cas d'accueil de personnes sans autorisation, la procédure garantit-elle que lesdites personnes sont alors accompagnées ?</t>
  </si>
  <si>
    <t xml:space="preserve">Y a-t-il une procédure associée à des automatismes permettant de déclencher l'intervention immédiate d'un personnel spécialisé en cas d'alarme suite à un arrêt du système automatique de contrôle d'accès  ou à sa désactivation ? </t>
  </si>
  <si>
    <t>Le système de contrôle d'accès aux zones de bureaux protégés est-il équipé d'un dispositif "anti-retour"  (ou dispositif "anti-pass back") ?</t>
  </si>
  <si>
    <t>L'authentification fait-elle appel à des moyens infalsifiables détenus par l'utilisateur (badge, carte à puce ou reconnaissance biométrique, par exemple) ?</t>
  </si>
  <si>
    <t>En complément du contrôle d'accès par les issues normales, assure-t-on un contrôle d'accès par les autres issues (fenêtres accessibles depuis l'extérieur, issues de secours, accès potentiels par les faux planchers et faux plafonds,... ) ?</t>
  </si>
  <si>
    <t>Les systèmes automatiques de contrôle d'accès aux zones protégées sont-ils placés sous contrôle permanent opérationnel 24h/24 permettant de diagnostiquer une panne ou une désactivation en temps réel ?</t>
  </si>
  <si>
    <t>Les issues de secours sont-elles placées sous contrôle permanent opérationnel 24h/24 permettant d'en diagnostiquer l'utilisation en temps réel ?</t>
  </si>
  <si>
    <t>La procédure d'attribution d'un droit d'accès permanent à une zone protégée nécessite-t-elle l'accord formel du responsable de la zone protégée ?</t>
  </si>
  <si>
    <t>L'authenticité des demandes d'attribution de droits d'accès est-elle vérifiable et vérifiée (contrôle de signature) ?</t>
  </si>
  <si>
    <t>A-t-on mis en place une procédure de retrait des droits systématique en cas de départ ou de changement de fonction ou de mutation  ?</t>
  </si>
  <si>
    <t>Existe-t-il un processus d'audit régulier des processus d'autorisation et de contrôle d'accès (audit des procédures d'attribution de droits, audit des procédures et du paramétrage des systèmes de contrôle d'accès, audit des procédures d'exception et d'intervention, etc.) ?</t>
  </si>
  <si>
    <t>2D01-01</t>
  </si>
  <si>
    <t>2D01-02</t>
  </si>
  <si>
    <t>2D01-03</t>
  </si>
  <si>
    <t>2D01-04</t>
  </si>
  <si>
    <t>2D01-05</t>
  </si>
  <si>
    <t>2D01-06</t>
  </si>
  <si>
    <t>2D01-07</t>
  </si>
  <si>
    <t>2D01-08</t>
  </si>
  <si>
    <t>2D01-09</t>
  </si>
  <si>
    <t>2D01-10</t>
  </si>
  <si>
    <t>2D01-11</t>
  </si>
  <si>
    <t>2D01-12</t>
  </si>
  <si>
    <t>2D01-13</t>
  </si>
  <si>
    <t>2D01-14</t>
  </si>
  <si>
    <t>2D01-15</t>
  </si>
  <si>
    <t>2D01-16</t>
  </si>
  <si>
    <t>L'arrêt des systèmes de sécurité (incendie, dégâts des eaux, contrôle d'accès, détection d'intrusion) déclenchent-ils une alarme auprès d'un centre de surveillance pouvant intervenir rapidement ?</t>
  </si>
  <si>
    <t>Les services de sécurité contrôlent-ils très régulièrement (rondes quotidiennes) l'application des règles de rangement des documents et supports amovibles divers situés dans les bureaux ?</t>
  </si>
  <si>
    <t>2E01-01</t>
  </si>
  <si>
    <t>2E01-02</t>
  </si>
  <si>
    <t>2E01-03</t>
  </si>
  <si>
    <t>2E01-04</t>
  </si>
  <si>
    <t>2E01-05</t>
  </si>
  <si>
    <t>2E01-06</t>
  </si>
  <si>
    <t>Existe-t-il des facilités permettant au personnel de sauvegarder de manière spécifique, avec un très haut degré de sécurité, les fichiers détenus personnellement réclamant un haut degré de disponibilité ?</t>
  </si>
  <si>
    <t>L'ensemble de ces facilités permettent-elles de protéger les documents et sauvegardes importants contre les risques liés à l'environnement (incendie, dégât des eaux, etc.) ?</t>
  </si>
  <si>
    <t>Les locaux de stockage correspondants sont-ils équipés de contrôle d'accès renforcé et de détection d'intrusion ?</t>
  </si>
  <si>
    <t>Les conditions de stockage des documents et médias courants importants font-elles l'objet d'audits réguliers ?</t>
  </si>
  <si>
    <t>2E01-07</t>
  </si>
  <si>
    <t>Existe-t-il des facilités permettant au personnel de stocker à proximité immédiate de leurs bureaux des documents et supports courants et vivants requérant un haut degré de protection en ce qui concerne leur conservation ?</t>
  </si>
  <si>
    <t>Les procédures et instructions de sécurité précisent-elles les règles de protection applicables aux documents et aux supports d'information situés dans les bureaux (quel que soit la nature du support, y compris les ordinateurs portables, tablettes ou smartphones et quelle que soit l'origine du document, impression, fax ou courrier) et le respect de ces procédures est-il rendu obligatoire ?</t>
  </si>
  <si>
    <t>2E03-01</t>
  </si>
  <si>
    <t>2E03-02</t>
  </si>
  <si>
    <t>2E03-04</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</si>
  <si>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</si>
  <si>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</si>
  <si>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Les cartons d'archives sont-ils marqués sans référence à leur contenu ?</t>
  </si>
  <si>
    <t>Les tables permettant d'associer un contenu à un numéro d'archive sont-elles rendues inaccessibles au personnel gérant physiquement les cartons d'archive ?</t>
  </si>
  <si>
    <t>L'arrêt ou l'interruption des systèmes de sécurité (incendie, dégâts des eaux, contrôle d'accès, détection d'intrusion) déclenchent-ils une alarme auprès d'un centre de surveillance pouvant intervenir rapidement ?</t>
  </si>
  <si>
    <t>Le demandeur d'une archive est-il authentifié par une procédure reconnue comme "forte" ?</t>
  </si>
  <si>
    <t>La délivrance d'une archive est-elle enregistrée et tracée ?</t>
  </si>
  <si>
    <t>Cette procédure garantit-elle que l'émetteur de la demande a les habilitations requises ?</t>
  </si>
  <si>
    <t>Les archives sont-elles protégées contre tout détournement pendant leur transport entre le local d'archivage et la remise au demandeur ?</t>
  </si>
  <si>
    <t>2E04-01</t>
  </si>
  <si>
    <t>2E04-02</t>
  </si>
  <si>
    <t>2E04-03</t>
  </si>
  <si>
    <t>2E04-04</t>
  </si>
  <si>
    <t>2E04-05</t>
  </si>
  <si>
    <t>2E04-06</t>
  </si>
  <si>
    <t>2E04-07</t>
  </si>
  <si>
    <t>2E04-08</t>
  </si>
  <si>
    <t>2E04-09</t>
  </si>
  <si>
    <t>2E04-10</t>
  </si>
  <si>
    <t>2E04-11</t>
  </si>
  <si>
    <t>2E04-12</t>
  </si>
  <si>
    <t>2E04-13</t>
  </si>
  <si>
    <t>2E04-14</t>
  </si>
  <si>
    <t>2E04-15</t>
  </si>
  <si>
    <t>Questionnaire d'audit : Sécurité des projets et développements applicatifs</t>
  </si>
  <si>
    <t>7A01-01</t>
  </si>
  <si>
    <t>7A01-02</t>
  </si>
  <si>
    <t>7A01-03</t>
  </si>
  <si>
    <t>7A01-04</t>
  </si>
  <si>
    <t>7A02-01</t>
  </si>
  <si>
    <t>7A02-02</t>
  </si>
  <si>
    <t>7B01-01</t>
  </si>
  <si>
    <t>7B01-02</t>
  </si>
  <si>
    <t>7B01-03</t>
  </si>
  <si>
    <t>7B02-01</t>
  </si>
  <si>
    <t>7B02-02</t>
  </si>
  <si>
    <t>7B02-03</t>
  </si>
  <si>
    <t>7B02-04</t>
  </si>
  <si>
    <t>7B02-05</t>
  </si>
  <si>
    <t>7B02-06</t>
  </si>
  <si>
    <t>7B04-01</t>
  </si>
  <si>
    <r>
      <t xml:space="preserve">Évite-t-on au maximum de changer et modifier les progiciels ? 
</t>
    </r>
    <r>
      <rPr>
        <i/>
        <sz val="8"/>
        <rFont val="Arial"/>
        <family val="2"/>
      </rPr>
      <t>L'accord des utilisateurs doit être pleinement considéré lors de ces décisions</t>
    </r>
  </si>
  <si>
    <t>7B04-02</t>
  </si>
  <si>
    <t>7B04-03</t>
  </si>
  <si>
    <t>En cas de modification de progiciels applique-t-on un contrôle strict de ces modifications ?</t>
  </si>
  <si>
    <t>En particulier a-t-on obtenu le consentement de l'éditeur pour effectuer ces modifications ?</t>
  </si>
  <si>
    <t>A-t-on examiné les conséquences de ces modifications sur la maintenance assurée par l'éditeur ?</t>
  </si>
  <si>
    <t>7B07-01</t>
  </si>
  <si>
    <t>7B07-02</t>
  </si>
  <si>
    <t>7B07-03</t>
  </si>
  <si>
    <t>Organisation des développements, de la maintenance et de la gestion des changements</t>
  </si>
  <si>
    <t>7A</t>
  </si>
  <si>
    <t>7A03-01</t>
  </si>
  <si>
    <t>7A03-02</t>
  </si>
  <si>
    <t>S'assure-t-on que la documentation système, la documentation des opérations et les procédures utilisateurs sont mises à jour avant mise en œuvre des changements ?</t>
  </si>
  <si>
    <t>7B03-01</t>
  </si>
  <si>
    <t>7B03-02</t>
  </si>
  <si>
    <t>7B03-03</t>
  </si>
  <si>
    <t>7B03-04</t>
  </si>
  <si>
    <t>7B03-05</t>
  </si>
  <si>
    <t>A-t-on défini un environnement de développement sécurisé prenant en compte la sensibilité des données qui seront traitées, stockées et transmises par les systèmes ou applications développés ?</t>
  </si>
  <si>
    <t>7B05-01</t>
  </si>
  <si>
    <t>7B05-02</t>
  </si>
  <si>
    <t>7B05-03</t>
  </si>
  <si>
    <t>Test des systèmes</t>
  </si>
  <si>
    <t>7B06-01</t>
  </si>
  <si>
    <t>7B06-02</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</si>
  <si>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</si>
  <si>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t>Garde-t-on une trace des tâches effectuées par chaque membre du personnel de maintenance ?</t>
  </si>
  <si>
    <t>Les environnements de maintenance applicative, de test et d'intégration sont-ils distingués et séparés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</si>
  <si>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</si>
  <si>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</si>
  <si>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Les procédures de maintenance applicative imposent-elles, pour les fonctions sensibles, une vérification du code par une équipe indépendante ?</t>
  </si>
  <si>
    <t>Les procédures de maintenance applicative imposent-elles une validation formelle, par les utilisateurs, de la couverture des tests fonctionnels ?</t>
  </si>
  <si>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</si>
  <si>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L'organisation des tâches au sein de la maintenance applicative et l'application des règles de séparation des tâches et de contrôle font-elles régulièrement l'objet d'un audit ?</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</si>
  <si>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</si>
  <si>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Procède-t-on, avant toute maintenance à chaud, à une sauvegarde complète de l'environnement de production (systèmes et applicatifs) permettant de revenir à la situation antérieure en cas de problème ?</t>
  </si>
  <si>
    <t>Procède-t-on, avant toute maintenance à chaud, à une sauvegarde complète des données de production (en synchronisme) permettant de revenir à la situation antérieure en cas de problème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</si>
  <si>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</si>
  <si>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Les procédures de maintenance à chaud et leur application font-elles l'objet d'un audit régulier ?</t>
  </si>
  <si>
    <t>7B08-01</t>
  </si>
  <si>
    <t>7B08-02</t>
  </si>
  <si>
    <t>7B08-03</t>
  </si>
  <si>
    <t>7B08-04</t>
  </si>
  <si>
    <t>7B08-05</t>
  </si>
  <si>
    <t>7B08-06</t>
  </si>
  <si>
    <t>7B08-07</t>
  </si>
  <si>
    <t>7B08-08</t>
  </si>
  <si>
    <t>7B08-09</t>
  </si>
  <si>
    <t>7B09-01</t>
  </si>
  <si>
    <t>7B09-02</t>
  </si>
  <si>
    <t>7B09-03</t>
  </si>
  <si>
    <t>7B09-04</t>
  </si>
  <si>
    <t>7B09-05</t>
  </si>
  <si>
    <t>5C02-01</t>
  </si>
  <si>
    <t>5C02-02</t>
  </si>
  <si>
    <t>5C02-03</t>
  </si>
  <si>
    <t>5C02-04</t>
  </si>
  <si>
    <t>5F</t>
  </si>
  <si>
    <t>Pour les accès aux services externalisés, a-t-on défini les échanges de données ou transactions devant être protégés par des solutions de scellement et mis en place de telles solutions ?</t>
  </si>
  <si>
    <t>La conformité des sceaux est-elle contrôlée automatiquement ?</t>
  </si>
  <si>
    <t>Protection de l'intégrité des fichiers de données sensibles externalisés</t>
  </si>
  <si>
    <t>5G</t>
  </si>
  <si>
    <t>Contrôle de la confidentialité des données externalisées</t>
  </si>
  <si>
    <t>5F01-01</t>
  </si>
  <si>
    <t>5F01-02</t>
  </si>
  <si>
    <t>5F01-03</t>
  </si>
  <si>
    <t>5F01-04</t>
  </si>
  <si>
    <t>5F01-05</t>
  </si>
  <si>
    <t>5F01-06</t>
  </si>
  <si>
    <t>5F02-01</t>
  </si>
  <si>
    <t>5F02-02</t>
  </si>
  <si>
    <t>5F02-03</t>
  </si>
  <si>
    <t>5F02-04</t>
  </si>
  <si>
    <t>5F02-05</t>
  </si>
  <si>
    <t>5F02-06</t>
  </si>
  <si>
    <t>Chiffrement des échanges de données lors des accès aux services externalisés</t>
  </si>
  <si>
    <t>Lors des accès aux services externalisés, a-t-on défini les messages ou échanges devant être protégés par des solutions de chiffrement et mis en place de telles solutions au niveau applicatif, voire au niveau de l'infrastructure ?</t>
  </si>
  <si>
    <t>Chiffrement des données applicatives externalisées</t>
  </si>
  <si>
    <t>A-t-on défini les fichiers de données externalisés devant être protégés par des solutions de chiffrement et mis en place de telles solutions ?</t>
  </si>
  <si>
    <t>5G01-01</t>
  </si>
  <si>
    <t>5G01-02</t>
  </si>
  <si>
    <t>5G01-03</t>
  </si>
  <si>
    <t>5G01-04</t>
  </si>
  <si>
    <t>5G02-01</t>
  </si>
  <si>
    <t>5G02-02</t>
  </si>
  <si>
    <t>5G02-03</t>
  </si>
  <si>
    <t>5G02-04</t>
  </si>
  <si>
    <t>5G02-05</t>
  </si>
  <si>
    <t>Nombre de questions avec références ISO</t>
  </si>
  <si>
    <t>AB.S.Mai</t>
  </si>
  <si>
    <t>IC.E.Im</t>
  </si>
  <si>
    <t>Bug bloquant dans un logiciel système, middleware, applicatif ou un progiciel</t>
  </si>
  <si>
    <t>Exposition naturelle standard CLUSIQ</t>
  </si>
  <si>
    <t>Projets faisant appel au service</t>
  </si>
  <si>
    <t>Chiffrement des données bureautiques</t>
  </si>
  <si>
    <t>Chiffrement des échanges de données</t>
  </si>
  <si>
    <t>Contrôle de l'émission et de la réception de données ou de messages</t>
  </si>
  <si>
    <t>Contrôles permanents</t>
  </si>
  <si>
    <t>Disponibilité des données externalisées</t>
  </si>
  <si>
    <t>Gestion du personnel stratégique</t>
  </si>
  <si>
    <t>Organisation de la maintenance des systèmes et applications</t>
  </si>
  <si>
    <t>Plan de continuité de l'environnement de travail</t>
  </si>
  <si>
    <t>Plans de secours des systèmes et applications</t>
  </si>
  <si>
    <t>Plans de secours des systèmes externalisés</t>
  </si>
  <si>
    <t>Protection de la confidentialité des fichiers de données externalisées</t>
  </si>
  <si>
    <t>Protection de l'intégrité des données externalisées échangées</t>
  </si>
  <si>
    <t>Protection de l'intégrité des fichiers de données externalisées</t>
  </si>
  <si>
    <t xml:space="preserve">Sécurité des archives </t>
  </si>
  <si>
    <t>Sécurité des mails et des messages électroniques</t>
  </si>
  <si>
    <t>Total</t>
  </si>
  <si>
    <t>Protection des documents et supports sensibles</t>
  </si>
  <si>
    <t>Sauvegardes des données et configurations (non externalisées)</t>
  </si>
  <si>
    <t>CHDA</t>
  </si>
  <si>
    <t>CHDB</t>
  </si>
  <si>
    <t>CHED</t>
  </si>
  <si>
    <t>CASA</t>
  </si>
  <si>
    <t>COSD</t>
  </si>
  <si>
    <t>CERD</t>
  </si>
  <si>
    <t>COCF</t>
  </si>
  <si>
    <t>COPE</t>
  </si>
  <si>
    <t>DIDE</t>
  </si>
  <si>
    <t>CPEX</t>
  </si>
  <si>
    <t>GPES</t>
  </si>
  <si>
    <t>MASA</t>
  </si>
  <si>
    <t>PCET</t>
  </si>
  <si>
    <t>PSSA</t>
  </si>
  <si>
    <t>PSSE</t>
  </si>
  <si>
    <t>PRED</t>
  </si>
  <si>
    <t>PDSS</t>
  </si>
  <si>
    <t>PCDE</t>
  </si>
  <si>
    <t>Protection de l'intégrité des échanges de données</t>
  </si>
  <si>
    <t>PIED</t>
  </si>
  <si>
    <t>PIEE</t>
  </si>
  <si>
    <t xml:space="preserve">CHDB </t>
  </si>
  <si>
    <t xml:space="preserve">CHED </t>
  </si>
  <si>
    <t xml:space="preserve">CASA </t>
  </si>
  <si>
    <t>Protection de l'intégrité des fichiers de données applicatives sensibles</t>
  </si>
  <si>
    <t>Protection de l'intégrité des fichiers de données applicatives</t>
  </si>
  <si>
    <t>PIDA</t>
  </si>
  <si>
    <t>PIDB</t>
  </si>
  <si>
    <t>Protection de l'intégrité des fichiers de données bureautiques</t>
  </si>
  <si>
    <t>PIDE</t>
  </si>
  <si>
    <t>SADC</t>
  </si>
  <si>
    <t>SMEL</t>
  </si>
  <si>
    <t>SMAI</t>
  </si>
  <si>
    <t>SARC</t>
  </si>
  <si>
    <t>SMED</t>
  </si>
  <si>
    <t>Projets liés à la continuité de service et de l'activité</t>
  </si>
  <si>
    <t>Projets liés à l'exploitation et au contrôle des activités</t>
  </si>
  <si>
    <t>Projets liés à la sécurité des données</t>
  </si>
  <si>
    <t xml:space="preserve">  Décision</t>
  </si>
  <si>
    <t>PCAC</t>
  </si>
  <si>
    <t>Plan de continuité de l'activité</t>
  </si>
  <si>
    <t>PMAL</t>
  </si>
  <si>
    <t xml:space="preserve">GPES </t>
  </si>
  <si>
    <t xml:space="preserve">MASA </t>
  </si>
  <si>
    <t xml:space="preserve">SADC </t>
  </si>
  <si>
    <t xml:space="preserve">DIDE </t>
  </si>
  <si>
    <t xml:space="preserve">PSSA </t>
  </si>
  <si>
    <t xml:space="preserve">PSSE </t>
  </si>
  <si>
    <t xml:space="preserve">PCET </t>
  </si>
  <si>
    <t xml:space="preserve">PCAC </t>
  </si>
  <si>
    <t xml:space="preserve">PMAL </t>
  </si>
  <si>
    <t xml:space="preserve">PRED </t>
  </si>
  <si>
    <t xml:space="preserve">COCF </t>
  </si>
  <si>
    <t xml:space="preserve">SMAI </t>
  </si>
  <si>
    <t xml:space="preserve">CHDA </t>
  </si>
  <si>
    <t xml:space="preserve">PCDE </t>
  </si>
  <si>
    <t xml:space="preserve">PIDA </t>
  </si>
  <si>
    <t xml:space="preserve">PIDB </t>
  </si>
  <si>
    <t xml:space="preserve">PIDE </t>
  </si>
  <si>
    <t xml:space="preserve">PIED </t>
  </si>
  <si>
    <t xml:space="preserve">PIEE </t>
  </si>
  <si>
    <t xml:space="preserve">COPE </t>
  </si>
  <si>
    <t xml:space="preserve">COSD </t>
  </si>
  <si>
    <t xml:space="preserve">CERD </t>
  </si>
  <si>
    <t xml:space="preserve">PDSS </t>
  </si>
  <si>
    <t xml:space="preserve">SMED </t>
  </si>
  <si>
    <t xml:space="preserve">SMEL </t>
  </si>
  <si>
    <t xml:space="preserve"> Gravité pour Plans</t>
  </si>
  <si>
    <t>min(3A04,3A07)</t>
  </si>
  <si>
    <t>max(min(3A04,3A07),5A02,5B02)</t>
  </si>
  <si>
    <t>max(min(3A04,3A07),6B01,6B02)</t>
  </si>
  <si>
    <t>max(6A01,6B01,6B02)</t>
  </si>
  <si>
    <t>max(6B01,6B02)</t>
  </si>
  <si>
    <t>max(4A09,5B02)</t>
  </si>
  <si>
    <t>max(5A01,5B01)</t>
  </si>
  <si>
    <t>max(5F01,5G01)</t>
  </si>
  <si>
    <t>min(2B01,2B02)</t>
  </si>
  <si>
    <t>max(6A01,6B01)</t>
  </si>
  <si>
    <t>max(min(2B01,2B02),5B02)</t>
  </si>
  <si>
    <t>Nb Scénarios</t>
  </si>
  <si>
    <t>Versions et commentaires</t>
  </si>
  <si>
    <t>Tables de détermination d’Impact et de Potentialité des scénarios</t>
  </si>
  <si>
    <t>Détermination de la Gravité du risque en fonction de la Potentialité et de l’Impact</t>
  </si>
  <si>
    <r>
      <t xml:space="preserve">Masquer </t>
    </r>
    <r>
      <rPr>
        <sz val="10"/>
        <rFont val="Wingdings"/>
        <charset val="2"/>
      </rPr>
      <t>è</t>
    </r>
  </si>
  <si>
    <t xml:space="preserve">     Plans_action</t>
  </si>
  <si>
    <t>Traitement des risques : options, plans de réduction et suivi</t>
  </si>
  <si>
    <t>Panorama de gravité des scénarios par type d'événement</t>
  </si>
  <si>
    <t xml:space="preserve">     Risk%event</t>
  </si>
  <si>
    <t>Panorama de gravité des scénarios par type d'actif</t>
  </si>
  <si>
    <t xml:space="preserve">     Risk%Actif</t>
  </si>
  <si>
    <t>Scénarios de risque incluant le calcul des risques</t>
  </si>
  <si>
    <t xml:space="preserve">     Scénarios</t>
  </si>
  <si>
    <t>Module d'analyse de risque (identification, estimation et évaluation des risques)</t>
  </si>
  <si>
    <t>Récapitulé de la qualité des services de sécurité (avec variantes)</t>
  </si>
  <si>
    <t xml:space="preserve">     Services</t>
  </si>
  <si>
    <t>Module du diagnostic des services de sécurité (ou d'audit)</t>
  </si>
  <si>
    <t xml:space="preserve">     Classif</t>
  </si>
  <si>
    <t xml:space="preserve">Tableaux de classification </t>
  </si>
  <si>
    <t>Module d'analyse des enjeux et classification des actifs:</t>
  </si>
  <si>
    <t>Description et navigation entre les onglets du fichier de la base de connaissance</t>
  </si>
  <si>
    <t>Intro</t>
  </si>
  <si>
    <t>Objectif</t>
  </si>
  <si>
    <t>Onglet</t>
  </si>
  <si>
    <t>Base de connaissances Méhari</t>
  </si>
  <si>
    <t xml:space="preserve">     T1 et T2 </t>
  </si>
  <si>
    <t xml:space="preserve">     Domaines 1 Org à 8 Cex </t>
  </si>
  <si>
    <t xml:space="preserve">     Projets</t>
  </si>
  <si>
    <t>A-t-on mis en place les moyens correspondants (techniques ou humains) ?</t>
  </si>
  <si>
    <t>Contrôle de l'application de la politique relative à la Communication financière</t>
  </si>
  <si>
    <t>Ces sanctions sont-elles communiquées au personnel ?</t>
  </si>
  <si>
    <t>Existe-t-il un programme de formation et de sensibilisation aux processus de respect des exigences légales et contractuelles ?</t>
  </si>
  <si>
    <t>Le personnel doit-il s'engager formellement à respecter les processus de respect des exigences légales ou contractuelles (signature)?</t>
  </si>
  <si>
    <t>Le programme de formation et de sensibilisation aux processus de respect des exigences légales et contractuelles et son adéquation au contexte courant fait-il régulièrement l'objet d'une revue et d'un audit ?</t>
  </si>
  <si>
    <t>La mise en œuvre effective des processus de respect des exigences et contractuelles fait-elle l'objet de contrôles réguliers?</t>
  </si>
  <si>
    <t>Est-il prévu des sanctions en cas de non application des processus édictés ?</t>
  </si>
  <si>
    <t>7A01-05</t>
  </si>
  <si>
    <r>
      <t xml:space="preserve">Procède-t-on systématiquement, dès la phase de spécification de projets de nouveaux systèmes d'information ou de modification de systèmes existants, à une analyse des exigences particulières de sécurité de l'information ?
</t>
    </r>
    <r>
      <rPr>
        <i/>
        <sz val="8"/>
        <rFont val="Arial"/>
        <family val="2"/>
      </rPr>
      <t>Cette analyse peut utiliser différentes techniques telles que l'analyse des dérives possibles par rapport à des exigences légales ou contractuelles, la modélisation de menaces, des revues d'incidents ou des analyses de vulnérabilités.</t>
    </r>
  </si>
  <si>
    <r>
      <t xml:space="preserve">A-t-on défini les exigences générales requises pour protéger les informations impliquées dans des applications utilisant des réseaux publics ? 
</t>
    </r>
    <r>
      <rPr>
        <i/>
        <sz val="8"/>
        <rFont val="Arial"/>
        <family val="2"/>
      </rPr>
      <t>Que ce soit la protection des mécanismes d'authentification et de contrôle d'accès que celle des données échangées</t>
    </r>
  </si>
  <si>
    <r>
      <t xml:space="preserve">A-t-on défini les exigences de sécurité relatives aux informations liées aux applications transactionnelles ?
</t>
    </r>
    <r>
      <rPr>
        <i/>
        <sz val="8"/>
        <rFont val="Arial"/>
        <family val="2"/>
      </rPr>
      <t>Ceci devrait comprendre les informations fournies par les clients, l'intégrité, la confidentialité des transactions et la protection contre le rejeu, les accusés de réception et la non répudiation pour se protéger contre des fraudes, ainsi que l'authentification forte du service accédé.</t>
    </r>
  </si>
  <si>
    <t>Une analyse des incompatibilités avec les systèmes d'exploitation et middleware est-elle effectuée au préalable?</t>
  </si>
  <si>
    <t>Les responsabilités et les mesures de sécurité pour respecter ces exigences ont elles été définies et documentées?</t>
  </si>
  <si>
    <t>8B03-02</t>
  </si>
  <si>
    <t>8B03-03</t>
  </si>
  <si>
    <t>Projets liés aux contrôles d'accès</t>
  </si>
  <si>
    <t>SBUR</t>
  </si>
  <si>
    <t>Sécurisation des zones de bureaux sensibles</t>
  </si>
  <si>
    <t xml:space="preserve">SBUR </t>
  </si>
  <si>
    <t>CALO</t>
  </si>
  <si>
    <t>Contrôle d'accès aux locaux sensibles</t>
  </si>
  <si>
    <t xml:space="preserve">CALO </t>
  </si>
  <si>
    <t>Sûreté de fonctionnement des éléments de l'infrastructure</t>
  </si>
  <si>
    <t>SFIN</t>
  </si>
  <si>
    <t xml:space="preserve">SFIN </t>
  </si>
  <si>
    <t>max(4E03,5B02)</t>
  </si>
  <si>
    <t>max(4E03,6B01)</t>
  </si>
  <si>
    <t>Sécurité de la maintenance logicielle</t>
  </si>
  <si>
    <t>PPDT</t>
  </si>
  <si>
    <t xml:space="preserve">PPDT </t>
  </si>
  <si>
    <t>PIMP</t>
  </si>
  <si>
    <t>Protection des impressions sur imprimante partagée</t>
  </si>
  <si>
    <t xml:space="preserve">PIMP </t>
  </si>
  <si>
    <t>Politiques de sécurité de l'information</t>
  </si>
  <si>
    <t>Processus disciplinaires</t>
  </si>
  <si>
    <t>1C05-01:03</t>
  </si>
  <si>
    <t>1D01-04:05</t>
  </si>
  <si>
    <t>1D02-01:02</t>
  </si>
  <si>
    <t>Contrôles d'accès</t>
  </si>
  <si>
    <t>1B04-01:03</t>
  </si>
  <si>
    <r>
      <t xml:space="preserve">Plans de Reprise d'Activité de l'infrastructure informatique externalisée
</t>
    </r>
    <r>
      <rPr>
        <i/>
        <sz val="8"/>
        <rFont val="Arial"/>
        <family val="2"/>
      </rPr>
      <t>Ce service ne concerne pas les plans de reprises d'activité mis en place chez le prestataire mais permet de se protéger de la défaillance de celui-ci (disparition, mouvement social, rupture de contrat, ...) avec une réversibilité ou une transférabilité possible.</t>
    </r>
  </si>
  <si>
    <t>1F03-01:02</t>
  </si>
  <si>
    <t>Existe-t-il une application capable d'analyser les diagnostics individuels d'anomalie ou de comportements suspects, de les corréler  et de déclencher un diagnostic global d'anomalie ainsi qu' une alerte à destination du personnel d'exploitation ?</t>
  </si>
  <si>
    <t>Existe-t-il une application capable d'analyser ces enregistrements, de les corréler  d'en établir un tableau de bord et de déclencher un diagnostic global d'anomalie ainsi qu' une alerte à destination du personnel d'exploitation ?</t>
  </si>
  <si>
    <t>La structure chargée d'analyser les diagnostics d'anomalies ou de comportements suspects a-t-elle l'obligation de le faire toute affaire cessante et a-t-elle la disponibilité suffisante ?</t>
  </si>
  <si>
    <t>La structure chargée d'analyser les éléments de synthèse et tableaux de bord ainsi que les journaux des incidents et événements liés à la sécurité a-t-elle l'obligation de le faire à période fixe et déterminée et a-t-elle la disponibilité suffisante  ?</t>
  </si>
  <si>
    <t>4A11-12</t>
  </si>
  <si>
    <t>Absence de maintenance système ou applicative</t>
  </si>
  <si>
    <t>Absence de fournisseur d'accès à Internet</t>
  </si>
  <si>
    <t>Gravité actuelle, tenant compte de l'état actuel des services de sécurité</t>
  </si>
  <si>
    <t>IndG</t>
  </si>
  <si>
    <t>Paramètre de choix d'option pour les évaluations de Gravité</t>
  </si>
  <si>
    <t>Objectifs fixés par les projets</t>
  </si>
  <si>
    <t>Obectifs de qualité de service fixés par les projets</t>
  </si>
  <si>
    <t>Tmax</t>
  </si>
  <si>
    <t>Tmin</t>
  </si>
  <si>
    <t>4A</t>
  </si>
  <si>
    <t>Sécurité des procédures d'exploitation</t>
  </si>
  <si>
    <t>4B</t>
  </si>
  <si>
    <t>4D</t>
  </si>
  <si>
    <t>Gestion et traitement des incidents</t>
  </si>
  <si>
    <t>4E</t>
  </si>
  <si>
    <t>Gestion des supports informatiques de données et programmes</t>
  </si>
  <si>
    <t>4F</t>
  </si>
  <si>
    <t>Gestion des archives informatiques</t>
  </si>
  <si>
    <t>7B</t>
  </si>
  <si>
    <t>Sécurité des processus de développement et de maintenance</t>
  </si>
  <si>
    <t>L'intégrité des configurations par rapport aux configurations théoriquement attendues est-elle testée après chaque opération de maintenance ?</t>
  </si>
  <si>
    <t>4B01-10</t>
  </si>
  <si>
    <t>4B01-11</t>
  </si>
  <si>
    <t>lors d'une opération de maintenance</t>
  </si>
  <si>
    <t>6B06</t>
  </si>
  <si>
    <t>Sauvegarde des courriels émis ou reçus sur les serveurs de l'entreprise</t>
  </si>
  <si>
    <t>6B06-01</t>
  </si>
  <si>
    <t>6C</t>
  </si>
  <si>
    <t>6C01</t>
  </si>
  <si>
    <t>Politique relative à l'utilisation d'appareils personnels</t>
  </si>
  <si>
    <t>6C01-01</t>
  </si>
  <si>
    <t>6C01-02</t>
  </si>
  <si>
    <t>6C01-03</t>
  </si>
  <si>
    <t>6C01-04</t>
  </si>
  <si>
    <t>6C01-05</t>
  </si>
  <si>
    <t>A-t-on fait une analyse exhaustive de toutes les situations de travail ou d'échanges professionnels utilisant des équipements n'appartenant pas à l'entreprise  ?</t>
  </si>
  <si>
    <r>
      <t xml:space="preserve">A-t-on fait une analyse des risques correspondants et ces analyses sont-elles réactualisées régulièrement ?
</t>
    </r>
    <r>
      <rPr>
        <i/>
        <sz val="8"/>
        <rFont val="Arial"/>
        <family val="2"/>
      </rPr>
      <t>Il conviendra d'effectuer une veille technologique afin d'éclairer l'analyse sur l'existence de nouveaux équipements, ou de nouvelles vulnérabilités.</t>
    </r>
  </si>
  <si>
    <t>6C02</t>
  </si>
  <si>
    <t>Dispositifs de sécurité relatifs aux appareils mobiles personnels</t>
  </si>
  <si>
    <t>6C02-01</t>
  </si>
  <si>
    <t>6C02-02</t>
  </si>
  <si>
    <t>6C02-03</t>
  </si>
  <si>
    <t>6C02-04</t>
  </si>
  <si>
    <t>6C02-05</t>
  </si>
  <si>
    <t>6C01-06</t>
  </si>
  <si>
    <t xml:space="preserve">A-t-on établi un plan de sauvegarde relatif à la messagerie d'entreprise, couvrant l'ensemble des courriels émis, reçus ou en attente d'envoi ou de réception et défini, en accord avec les utilisateurs la fréquence des sauvegardes ? </t>
  </si>
  <si>
    <t xml:space="preserve">L'ensemble des sauvegardes de courriels est-il également stocké en dehors du site de production (sauvegardes de secours) ? </t>
  </si>
  <si>
    <t>L'ensemble des procédures et plans de sauvegarde de la messagerie fait-il l'objet d'un audit régulier ?</t>
  </si>
  <si>
    <t>6B06-02</t>
  </si>
  <si>
    <t>6B06-03</t>
  </si>
  <si>
    <t>6B06-04</t>
  </si>
  <si>
    <t>6B06-05</t>
  </si>
  <si>
    <t>C - Utilisation d'équipement personnel</t>
  </si>
  <si>
    <t>SAMP</t>
  </si>
  <si>
    <t>Sécurité des appareils mobiles personnels</t>
  </si>
  <si>
    <t xml:space="preserve">  Type DICE</t>
  </si>
  <si>
    <t>Sélection si 1</t>
  </si>
  <si>
    <t>Sélection</t>
  </si>
  <si>
    <t>Types d'actifs =&gt;</t>
  </si>
  <si>
    <t>Classification d'ensemble</t>
  </si>
  <si>
    <t>Classification pour les activités sélcionnées</t>
  </si>
  <si>
    <t xml:space="preserve">Tableau d'Impact Intrinsèque </t>
  </si>
  <si>
    <t>Sélection d'actifs</t>
  </si>
  <si>
    <t>Commentaire</t>
  </si>
  <si>
    <t>Sélection 
actif</t>
  </si>
  <si>
    <t>Sélection
menace</t>
  </si>
  <si>
    <t>Sélection résultante</t>
  </si>
  <si>
    <t>Sélection des scénarios</t>
  </si>
  <si>
    <r>
      <rPr>
        <b/>
        <sz val="12"/>
        <rFont val="Arial"/>
        <family val="2"/>
      </rPr>
      <t xml:space="preserve">Panorama des risques
</t>
    </r>
    <r>
      <rPr>
        <sz val="10"/>
        <rFont val="Arial"/>
        <family val="2"/>
      </rPr>
      <t xml:space="preserve"> résultant de l'option définie ci-dessus</t>
    </r>
  </si>
  <si>
    <t>10*Impact +Pot</t>
  </si>
  <si>
    <t>Date de fin</t>
  </si>
  <si>
    <t>Date de début</t>
  </si>
  <si>
    <t>jj/mm/aa</t>
  </si>
  <si>
    <t>Présentation</t>
  </si>
  <si>
    <t>Les scénarios de risque conservent la même structure que précédemment mais peuvent faire référence à plusieurs types d'actifs si le traitement de ces scénarios fait appel aux mêmes services de sécurité. Dans de tels cas, l'impact le plus sérieux est pris en compte pour l'évaluation de la gravité du scénario de risque.</t>
  </si>
  <si>
    <t>La première étape, incontournable, est l'évaluation des impacts intrinsèques. C'est une étape fondamentale et toute l'analyse des risques, comme leur traitement, dépend de cette évaluation.</t>
  </si>
  <si>
    <t>2. Démarche d'analyse et de traitement des risques</t>
  </si>
  <si>
    <t>La deuxième étape, le diagnostic de l'état des services de sécurité, est inchangée par rapport aux versions précédentes de Méhari, à ceci près que les questionnaires sont plus réduits.</t>
  </si>
  <si>
    <t>Les cibles de niveaux de qualité visés, pour chaque service de sécurité, au sein de chaque projet, sont indiqués en standard mais peuvent être modifiés par l'utilisateur.</t>
  </si>
  <si>
    <t xml:space="preserve">La base de questionnaire a été revue pour un diagnostic plus aisé, tout en conservant la rigueur d'analyse et la volonté de ne pas sous-estimer les risques qui sont le cœur de Méhari depuis l'origine. </t>
  </si>
  <si>
    <t>A chaque moment, on peut, dans la feuille Risk%actifs, sélectionner par des boutons de choix, une synthèse et un panorama des risques intrinsèques, des risques actuels ou des risques à l'issue des projets (planifiés ou non).</t>
  </si>
  <si>
    <t xml:space="preserve">SAMP </t>
  </si>
  <si>
    <t>Nom projet</t>
  </si>
  <si>
    <t>Projets décidés</t>
  </si>
  <si>
    <r>
      <t xml:space="preserve">La classification (maximum de chaque colonne) </t>
    </r>
    <r>
      <rPr>
        <b/>
        <sz val="8"/>
        <rFont val="Helv"/>
      </rPr>
      <t>pour les activités sélectionnées</t>
    </r>
    <r>
      <rPr>
        <sz val="8"/>
        <rFont val="Helv"/>
      </rPr>
      <t xml:space="preserve"> est reportée dans le tableau d'impact intrinsèque, pour chaque type d'actif dans la colonne correspondant au critère de classification (D, I ou C)</t>
    </r>
  </si>
  <si>
    <t>Services des technologies de l'information</t>
  </si>
  <si>
    <t>Un 1 positionné dans la cellule ci-contre à droite fera que les questions utilisées pour le scoring ISO seront indiquées sur fond jaune dans les questionnaires</t>
  </si>
  <si>
    <t>Absence de personnel</t>
  </si>
  <si>
    <t>Logiciel malveillant ou virus</t>
  </si>
  <si>
    <t xml:space="preserve">  P calculée</t>
  </si>
  <si>
    <t>Dégât dû à la pollution ou au vieillissement</t>
  </si>
  <si>
    <t>Dégât des eaux ou surcharge électrique</t>
  </si>
  <si>
    <t>Le plan de contrôle des processus de respect des exigences légales et contractuelles fait-il l'objet d'une revue et d'un audit régulier ?</t>
  </si>
  <si>
    <t xml:space="preserve">Nombre de scénaios par niveaux de gravité : </t>
  </si>
  <si>
    <t>Gravité intrinsèque : sans tenir compte des services de sécurité</t>
  </si>
  <si>
    <t>Gravité future, tenant compte des projets planifiés et achevés à la date ci-dessous :</t>
  </si>
  <si>
    <t>INCIDENT</t>
  </si>
  <si>
    <t>Evolution des risques par années</t>
  </si>
  <si>
    <t>Nombre de risques de niveau 4</t>
  </si>
  <si>
    <t>Nombre de risques de niveau 3</t>
  </si>
  <si>
    <t>T0</t>
  </si>
  <si>
    <t>T1</t>
  </si>
  <si>
    <t>T2</t>
  </si>
  <si>
    <t>T3</t>
  </si>
  <si>
    <t>T4</t>
  </si>
  <si>
    <t>T5</t>
  </si>
  <si>
    <t>T6</t>
  </si>
  <si>
    <t>T7</t>
  </si>
  <si>
    <t>T8</t>
  </si>
  <si>
    <t>T9</t>
  </si>
  <si>
    <t>T10</t>
  </si>
  <si>
    <t>A - Politiques relatives à la sécurité de l'information</t>
  </si>
  <si>
    <t>Projets liés à l'infratructure</t>
  </si>
  <si>
    <t>Projets de continuité de l'accès aux données et informations</t>
  </si>
  <si>
    <t xml:space="preserve">Plans de secours et plans de continuité </t>
  </si>
  <si>
    <t>Contrôle d'accès physique</t>
  </si>
  <si>
    <t>Contrôle d'accès logique</t>
  </si>
  <si>
    <t>Projets liés au contrôle des configurations</t>
  </si>
  <si>
    <t>Projets de protection de la confidentialité des données</t>
  </si>
  <si>
    <t>Contrôle d'accès aux postes de travail et appareils mobiles</t>
  </si>
  <si>
    <t>Projets de sécurité applicative</t>
  </si>
  <si>
    <t>Projets de sécurité des documents écrits ou imprimés</t>
  </si>
  <si>
    <t>Projets de sécurité des médias supports</t>
  </si>
  <si>
    <t>Tableau de bord</t>
  </si>
  <si>
    <t>Nombre de scénarios de risque, par niveau</t>
  </si>
  <si>
    <t>Risques intrinsèques</t>
  </si>
  <si>
    <t>En fonction des projets planifiés</t>
  </si>
  <si>
    <t>Niveau 1</t>
  </si>
  <si>
    <t>Niveau 2</t>
  </si>
  <si>
    <t>Niveau 3</t>
  </si>
  <si>
    <t>Niveau 4</t>
  </si>
  <si>
    <t>Risques réduits, à l'issue de tous les plans retenus</t>
  </si>
  <si>
    <t>Risques acceptés</t>
  </si>
  <si>
    <t>Risques actuels</t>
  </si>
  <si>
    <t>Pour l'évaluation de la gravité des risques,
une des options ci-dessous doit être choisie</t>
  </si>
  <si>
    <t>Sélection de projets</t>
  </si>
  <si>
    <t>Projets réduisant le nombre de risques de niveau 4</t>
  </si>
  <si>
    <t>Code projet</t>
  </si>
  <si>
    <t>Libellé</t>
  </si>
  <si>
    <t>Nb de risques de niveau 4 réduits</t>
  </si>
  <si>
    <t>Impact sur risques de niveau 3</t>
  </si>
  <si>
    <t>Projets réduisant le nombre de risques de niveau 3</t>
  </si>
  <si>
    <t>Nb de risques de niveau 3 réduits</t>
  </si>
  <si>
    <t>taux de service appelé par un projet</t>
  </si>
  <si>
    <t>Dom</t>
  </si>
  <si>
    <t>Nb</t>
  </si>
  <si>
    <t>Type d'impact</t>
  </si>
  <si>
    <t>Nb de risques touchés</t>
  </si>
  <si>
    <t>3A08-10</t>
  </si>
  <si>
    <t>Ces enregistrements comprennent-ils l'identité de l'auteur de l'intervention ou un moyen incontestable de l'identifier ?</t>
  </si>
  <si>
    <t xml:space="preserve">     Sel_Projets</t>
  </si>
  <si>
    <t>Aide à la sélection de Projets de réduction des risques</t>
  </si>
  <si>
    <t xml:space="preserve">     Tbord</t>
  </si>
  <si>
    <t>Indicateurs et tableau de bord</t>
  </si>
  <si>
    <r>
      <rPr>
        <b/>
        <sz val="10"/>
        <rFont val="Arial"/>
        <family val="2"/>
      </rPr>
      <t>Traitement des risques :</t>
    </r>
    <r>
      <rPr>
        <sz val="10"/>
        <rFont val="Arial"/>
        <family val="2"/>
      </rPr>
      <t xml:space="preserve">
Plans_d'action
Projets
Sel_Projets</t>
    </r>
  </si>
  <si>
    <r>
      <rPr>
        <b/>
        <sz val="10"/>
        <rFont val="Arial"/>
        <family val="2"/>
      </rPr>
      <t>Tableaux de classification :</t>
    </r>
    <r>
      <rPr>
        <sz val="10"/>
        <rFont val="Arial"/>
        <family val="2"/>
      </rPr>
      <t xml:space="preserve"> 
T1, T2, et Classif</t>
    </r>
  </si>
  <si>
    <t>Sélection directe et planification des projets</t>
  </si>
  <si>
    <t>Le traitement des risques est, dans cette version de Méhari, basé sur des projets qui regroupent plusieurs  services de sécurité cohérents à améliorer.
Ces projets peuvent être sélectionnés, dans un premier temps, dans la feuille Plans_d'action, ou directement dans la feuille Projets, puis précisés et planifiés, dans la feuille Projets. Une aide à la sélection des projets est procurée dans la feuille Sel_Projets.</t>
  </si>
  <si>
    <t>Des indicateurs et un tableau de bord sont fournis dans la feuille Tbord</t>
  </si>
  <si>
    <t xml:space="preserve">Projets </t>
  </si>
  <si>
    <t>Etat du projet</t>
  </si>
  <si>
    <t xml:space="preserve">4. Scénarios de type Efficience </t>
  </si>
  <si>
    <t>Risques évités</t>
  </si>
  <si>
    <t>Risques transférés</t>
  </si>
  <si>
    <t>Gravité résiduelle, tenant compte des projets sélectionnés ou décidés</t>
  </si>
  <si>
    <t>Questionnaires relatifs aux domaines (1 à 8) de sécurité MEHARI</t>
  </si>
  <si>
    <t>Présélection de Projets de réduction des risques, par domaine de risques</t>
  </si>
  <si>
    <t>Une fois ces deux étapes réalisées, on obtient une première synthèse des risques dans la feuille Risk%actifs, que ce soit un panorama des risques intrinsèques, sans tenir compte des services de sécurité, ou des risques actuels, en fonction des services de sécurité, ou des risques réduits à l'issue de tous les projets de réduction de risque, ou à un date donnée et à l'issue des projets achevés à cette date..</t>
  </si>
  <si>
    <t>Absence accidentelle de personnel interne ou de partenaire</t>
  </si>
  <si>
    <t>Ces solutions comprennent-elles les postes de travail des utilisateurs (PC, terminaux, périphériques, etc.) ?</t>
  </si>
  <si>
    <t>Si ces moyens requièrent des approvisionnements externes, plusieurs fournisseurs et plusieurs circuits d'approvisionnement ont-ils été prévus ?</t>
  </si>
  <si>
    <t>L'accès aux zones de bureaux sensibles est-il sujet à une autorisation d'accès attribuée nominativement en fonction des seuls besoins ?</t>
  </si>
  <si>
    <t>Politique de "bureau propre et écran muet"</t>
  </si>
  <si>
    <t>Existe-t-il une procédure spécifique pour la destruction des archives ?</t>
  </si>
  <si>
    <r>
      <t xml:space="preserve">Existe-t-il une procédure formelle d'enregistrement et de désenregistrement des utilisateurs du système d'information ?
</t>
    </r>
    <r>
      <rPr>
        <i/>
        <sz val="8"/>
        <rFont val="Arial"/>
        <family val="2"/>
      </rPr>
      <t>Cette procédure devrait assurer qu'un utilisateur a un identifiant unique et ne permettre des identifiants partagés que si l'activité le nécessite. Elle devrait également être à même de supprimer les identifiants redondants et les identifiants d'utilisateurs ayant quitté l'organisation.</t>
    </r>
  </si>
  <si>
    <t xml:space="preserve">Les autorisations d'accès aux systèmes, applications et données sont-elles attribuées nominativement (par individu) en fonction du seul profil des utilisateurs ? </t>
  </si>
  <si>
    <r>
      <t xml:space="preserve">La procédure d'attribution des autorisations d'accès nécessite-t-elle  l'accord formel des propriétaires des informations concernées et de la hiérarchie (à un niveau suffisant) ?
</t>
    </r>
    <r>
      <rPr>
        <i/>
        <sz val="8"/>
        <rFont val="Arial"/>
        <family val="2"/>
      </rPr>
      <t>L'accord des propriétaires d'information peut être obtenu par un accord général donné spécifiquement en fonction de profils métiers et par une attribution formelle d'un ou plusieurs profils aux utilisateurs par leur hiérarchie.</t>
    </r>
  </si>
  <si>
    <t>Permet-il de contrôler quelles applications et quelles données applicatives sont accessibles par chaque utilisateur et par chaque application et avec quels droits (écriture, lecture, suppression, exécution) ?</t>
  </si>
  <si>
    <r>
      <t xml:space="preserve">L'acceptation de l'identifiant par le système ou l'application est-elle systématiquement sujette à une authentification ?
</t>
    </r>
    <r>
      <rPr>
        <i/>
        <sz val="8"/>
        <rFont val="Arial"/>
        <family val="2"/>
      </rPr>
      <t>L'authentification systématique requiert que ce processus soit effectivement mis en œuvre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</si>
  <si>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A-t-on identifié tous les droits d'accès privilégiés associés à chaque système ou processus, gestion de base de données, application ou système de sécurité ?</t>
  </si>
  <si>
    <r>
      <t xml:space="preserve">Cette architecture et sa mise en œuvre en cas d'incident ou de panne garantissent-elles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</si>
  <si>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A-t-on analysé la criticité des différents éléments de l'architecture des services externalisés pour mettre en évidence les besoins de continuité de service ?</t>
  </si>
  <si>
    <t xml:space="preserve">Protection de la confidentialité des échanges, lors de l'utilisation des services externalisés
</t>
  </si>
  <si>
    <t>Ces plans de continuité prévoient-ils bien toutes les actions à entreprendre pour assurer la continuité des processus applicatifs entre l'alerte et la mise en œuvre effective des solutions de remplacement prévues par les PRA (Plans de Reprise d'Activité des services informatiques) ?</t>
  </si>
  <si>
    <t>Ces solutions de secours et leur mise en œuvre, en cas d'indisponibilité ou d'interruption du service de base, garantissent-elles la satisfaction des performances minimales ?</t>
  </si>
  <si>
    <t>Protection de l'intégrité des échanges lors des accès à des services externalisés</t>
  </si>
  <si>
    <t>Les fichiers de données externalisés sensibles sont-ils protégés par des solutions de scellement, mis en place au niveau applicatif, voire au niveau de l'infrastructure ?</t>
  </si>
  <si>
    <r>
      <t xml:space="preserve">La connexion a réseau interne depuis l'extérieur de l'organisme vérifie-t-elle que le poste de travail de l'utilisateur a bien été déclaré, configuré spécifiquement et sécurisé en fonction du profil de l'utilisateur et de la sensibilité des données auxquelles il pourra avoir accès ?
</t>
    </r>
    <r>
      <rPr>
        <i/>
        <sz val="8"/>
        <rFont val="Arial"/>
        <family val="2"/>
      </rPr>
      <t>Cela devrait comprendre une liaison sécurisée et chiffrée (VPN) dès que l'utilisateur est susceptible d'accéder à des données confidentielles ou critiques en sensibilité.</t>
    </r>
  </si>
  <si>
    <t>Existe-t-il une politique de sécurité propre à la messagerie électronique (courriel) définissant les précautions d'emploi et mesures de sécurité à mettre en œuvre ?</t>
  </si>
  <si>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œuvre ?</t>
  </si>
  <si>
    <r>
      <t xml:space="preserve">Les personnes susceptibles d'utiliser un équipement personnel reçoivent-elles une sensibilisation et une formation sur les mesures à appliquer pour protéger les informations et les données traitées sur cet équipement ?
</t>
    </r>
    <r>
      <rPr>
        <i/>
        <sz val="8"/>
        <rFont val="Arial"/>
        <family val="2"/>
      </rPr>
      <t>Ces protections concernent la sécurité physique et logique contre le vol mais aussi les indiscrétions ou les accès non autorisés par la famille tout autant qu'en public. Une séparation stricte entre les environnements personnels et de travail devrait faire partie des exigences.</t>
    </r>
  </si>
  <si>
    <t>Utilise-t-on un outil de gestion des appareils personnels autorisés (MDM, EMM, etc.) ?</t>
  </si>
  <si>
    <t>Les procédures et les moyens de contrôle de la sécurisation des équipements personnels utilisés dans le cadre du travail font-ils l'objet d'audit régulier ?</t>
  </si>
  <si>
    <t>Toute demande de changement relative à une application ou à un système fait-elle l'objet d'une procédure d'approbation formelle (approbation de la demande, contrôle de l'acceptation des utilisateurs, approbation des détails du changement et des conditions de mise en œuvre, délais, etc.) ?</t>
  </si>
  <si>
    <t>Effectue-t-on une revue technique des applications, après tout changement de plateforme hôte de l'application (revue des points de contrôle applicatifs et des procédures d'intégrité pour s'assurer qu'elles n'ont pas été compromises, vérification que les délais permettent d'effectuer des tests avant mise en œuvre, contrôle que les plans de continuité ont été modifiés en conséquence, etc.) ?</t>
  </si>
  <si>
    <t>2C</t>
  </si>
  <si>
    <t xml:space="preserve"> Sécurité des équipements</t>
  </si>
  <si>
    <t>4C03-13</t>
  </si>
  <si>
    <t>Table de scoring ISO 27002 suite au diagnostic des services Méhari</t>
  </si>
  <si>
    <t xml:space="preserve">Sécurité physique des media support de données </t>
  </si>
  <si>
    <t>1B02-03</t>
  </si>
  <si>
    <t>La connexion au réseau interne depuis l'extérieur de l'organisme (ou via un wifi corporatif) vérifie-t-elle que le poste de travail de l'utilisateur, même si c'est un équipement personnel, a bien été déclaré, configuré spécifiquement et sécurisé en fonction du profil de l'utilisateur et de la sensibilité des données auxquelles il pourra avoir accès ?</t>
  </si>
  <si>
    <t>La connexion au réseau interne depuis l'extérieur de l'organisme (ou via un wifi corporatif) vérifie-t-elle que la configuration du poste de travail de l'utilisateur, en particulier si c'est un équipement personnel, n'a pas été modifiée, que les dispositifs de sécurité sont bien activés  et que de nouvelles applications n'ont pas été installées ?</t>
  </si>
  <si>
    <t>Les moyens et les règles de sécurité implantés sur des équipements personnels sont-ils gérés de façon centralisée par un système MDM (Mobile Device Management) et protégés contre toute tentative de désactivation ou de contournement ?</t>
  </si>
  <si>
    <t>Les patchs de sécurité publiés par les fournisseurs font-ils l'objet d'une mise à jour systématique tant des serveurs que des postes de travail et des appareils mobiles, et ceci sans délai notable ?</t>
  </si>
  <si>
    <t>Sécurité de l'information dans les relations avec les fournisseurs</t>
  </si>
  <si>
    <t>Effacement volontaire ou pollution massive de configurations systèmes</t>
  </si>
  <si>
    <t>Sûreté de fonctionnement des services externalisés</t>
  </si>
  <si>
    <r>
      <t xml:space="preserve">Utilisation de programmes privilégiés
</t>
    </r>
    <r>
      <rPr>
        <i/>
        <sz val="8"/>
        <rFont val="Arial"/>
        <family val="2"/>
      </rPr>
      <t>On entend par programmes privilégiés des utilitaires capables de neutraliser ou modifier des fonctions systèmes ou applicatives</t>
    </r>
  </si>
  <si>
    <t>La modification des paramètres et fonctions de sécurité ainsi que l'introduction de nouvelles fonctions dans les systèmes sont-ils soumis à un contrôle d'accès strict demandant des droits privilégiés ?</t>
  </si>
  <si>
    <t xml:space="preserve">A-t-on établi, pour chaque incident critique d'exploitation, la solution à mettre en œuvre ainsi que les opérations à mener par le personnel d'exploitation ? </t>
  </si>
  <si>
    <t>En cas de réintégration du service externalisé, les ressources organisationnelles, techniques et humaines internes sont-elles suffisantes pour satisfaire les exigences de continuité ?</t>
  </si>
  <si>
    <r>
      <t xml:space="preserve">L'utilisation d'équipement personnel est-il soumis à une autorisation préalable hiérarchique et à l'implantation, par l'organisme, de dispositifs de sécurité adaptés ?
</t>
    </r>
    <r>
      <rPr>
        <i/>
        <sz val="8"/>
        <rFont val="Arial"/>
        <family val="2"/>
      </rPr>
      <t>Ces dispositifs devraient comprendre une séparation des espaces privés et professionnels, l'utilisation de contrôle d'accès pour accéder à l'espace professionnel, la protection de la confidentialité des données stockées dans l'espace professionnel (par des mesures de chiffrement, en particulier) , la protection des échanges de données avec l'organisme le cas échéant (par VPN en particulier) et des dispositifs de protection contre les virus et les codes malveillants.</t>
    </r>
  </si>
  <si>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</si>
  <si>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</si>
  <si>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</si>
  <si>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</si>
  <si>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</si>
  <si>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</si>
  <si>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</si>
  <si>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</si>
  <si>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</si>
  <si>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</si>
  <si>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</si>
  <si>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</si>
  <si>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</si>
  <si>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</si>
  <si>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</si>
  <si>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</si>
  <si>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</si>
  <si>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</si>
  <si>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</si>
  <si>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</si>
  <si>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</si>
  <si>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</si>
  <si>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</si>
  <si>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</si>
  <si>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</si>
  <si>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</si>
  <si>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</si>
  <si>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</si>
  <si>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</si>
  <si>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</si>
  <si>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</si>
  <si>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</si>
  <si>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</si>
  <si>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</si>
  <si>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</si>
  <si>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</si>
  <si>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</si>
  <si>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</si>
  <si>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</si>
  <si>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</si>
  <si>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</si>
  <si>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</si>
  <si>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</si>
  <si>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</si>
  <si>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</si>
  <si>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</si>
  <si>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</si>
  <si>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</si>
  <si>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</si>
  <si>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</si>
  <si>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</si>
  <si>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</si>
  <si>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</si>
  <si>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</si>
  <si>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</si>
  <si>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</si>
  <si>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</si>
  <si>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</si>
  <si>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</si>
  <si>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</si>
  <si>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</si>
  <si>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</si>
  <si>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</si>
  <si>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</si>
  <si>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</si>
  <si>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</si>
  <si>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</si>
  <si>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</si>
  <si>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</si>
  <si>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</si>
  <si>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</si>
  <si>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</si>
  <si>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</si>
  <si>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</si>
  <si>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</si>
  <si>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</si>
  <si>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</si>
  <si>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</si>
  <si>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</si>
  <si>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</si>
  <si>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</si>
  <si>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</si>
  <si>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</si>
  <si>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</si>
  <si>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</si>
  <si>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</si>
  <si>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</si>
  <si>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</si>
  <si>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</si>
  <si>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</si>
  <si>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</si>
  <si>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</si>
  <si>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</si>
  <si>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</si>
  <si>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</si>
  <si>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</si>
  <si>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</si>
  <si>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</si>
  <si>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</si>
  <si>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</si>
  <si>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</si>
  <si>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</si>
  <si>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</si>
  <si>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</si>
  <si>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</si>
  <si>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</si>
  <si>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</si>
  <si>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</si>
  <si>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</si>
  <si>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</si>
  <si>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</si>
  <si>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</si>
  <si>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</si>
  <si>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</si>
  <si>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</si>
  <si>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</si>
  <si>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</si>
  <si>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</si>
  <si>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</si>
  <si>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</si>
  <si>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</si>
  <si>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</si>
  <si>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</si>
  <si>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</si>
  <si>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</si>
  <si>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</si>
  <si>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</si>
  <si>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</si>
  <si>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</si>
  <si>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</si>
  <si>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</si>
  <si>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</si>
  <si>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</si>
  <si>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</si>
  <si>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</si>
  <si>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</si>
  <si>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</si>
  <si>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</si>
  <si>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</si>
  <si>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</si>
  <si>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</si>
  <si>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</si>
  <si>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</si>
  <si>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</si>
  <si>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</si>
  <si>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</si>
  <si>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</si>
  <si>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</si>
  <si>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</si>
  <si>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</si>
  <si>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</si>
  <si>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</si>
  <si>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</si>
  <si>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</si>
  <si>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</si>
  <si>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</si>
  <si>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</si>
  <si>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</si>
  <si>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</si>
  <si>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</si>
  <si>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</si>
  <si>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</si>
  <si>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</si>
  <si>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</si>
  <si>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</si>
  <si>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</si>
  <si>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</si>
  <si>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</si>
  <si>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</si>
  <si>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</si>
  <si>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</si>
  <si>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</si>
  <si>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</si>
  <si>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</si>
  <si>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</si>
  <si>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</si>
  <si>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</si>
  <si>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</si>
  <si>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</si>
  <si>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</si>
  <si>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</si>
  <si>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</si>
  <si>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</si>
  <si>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</si>
  <si>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</si>
  <si>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</si>
  <si>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</si>
  <si>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</si>
  <si>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</si>
  <si>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</si>
  <si>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</si>
  <si>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</si>
  <si>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</si>
  <si>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</si>
  <si>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</si>
  <si>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</si>
  <si>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</si>
  <si>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</si>
  <si>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</si>
  <si>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</si>
  <si>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</si>
  <si>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</si>
  <si>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</si>
  <si>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</si>
  <si>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</si>
  <si>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</si>
  <si>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</si>
  <si>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</si>
  <si>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</si>
  <si>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</si>
  <si>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</si>
  <si>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</si>
  <si>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</si>
  <si>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</si>
  <si>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</si>
  <si>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</si>
  <si>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</si>
  <si>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</si>
  <si>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</si>
  <si>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</si>
  <si>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</si>
  <si>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</si>
  <si>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</si>
  <si>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</si>
  <si>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</si>
  <si>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</si>
  <si>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</si>
  <si>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</si>
  <si>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</si>
  <si>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</si>
  <si>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</si>
  <si>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</si>
  <si>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</si>
  <si>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</si>
  <si>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</si>
  <si>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</si>
  <si>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</si>
  <si>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</si>
  <si>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</si>
  <si>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</si>
  <si>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</si>
  <si>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</si>
  <si>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</si>
  <si>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</si>
  <si>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</si>
  <si>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</si>
  <si>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</si>
  <si>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</si>
  <si>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</si>
  <si>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</si>
  <si>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</si>
  <si>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</si>
  <si>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</si>
  <si>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</si>
  <si>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</si>
  <si>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</si>
  <si>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</si>
  <si>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</si>
  <si>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</si>
  <si>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</si>
  <si>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</si>
  <si>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</si>
  <si>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</si>
  <si>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</si>
  <si>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</si>
  <si>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</si>
  <si>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</si>
  <si>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</si>
  <si>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</si>
  <si>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</si>
  <si>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</si>
  <si>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</si>
  <si>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</si>
  <si>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</si>
  <si>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</si>
  <si>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</si>
  <si>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</si>
  <si>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</si>
  <si>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</si>
  <si>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</si>
  <si>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</si>
  <si>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</si>
  <si>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</si>
  <si>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</si>
  <si>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</si>
  <si>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</si>
  <si>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</si>
  <si>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</si>
  <si>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</si>
  <si>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</si>
  <si>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</si>
  <si>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</si>
  <si>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</si>
  <si>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</si>
  <si>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</si>
  <si>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</si>
  <si>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</si>
  <si>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</si>
  <si>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</si>
  <si>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</si>
  <si>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</si>
  <si>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</si>
  <si>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</si>
  <si>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</si>
  <si>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</si>
  <si>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</si>
  <si>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</si>
  <si>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</si>
  <si>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</si>
  <si>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</si>
  <si>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</si>
  <si>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</si>
  <si>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</si>
  <si>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</si>
  <si>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</si>
  <si>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</si>
  <si>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</si>
  <si>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</si>
  <si>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</si>
  <si>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</si>
  <si>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</si>
  <si>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</si>
  <si>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</si>
  <si>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</si>
  <si>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</si>
  <si>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</si>
  <si>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</si>
  <si>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</si>
  <si>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</si>
  <si>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</si>
  <si>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</si>
  <si>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</si>
  <si>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</si>
  <si>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</si>
  <si>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</si>
  <si>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</si>
  <si>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</si>
  <si>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</si>
  <si>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</si>
  <si>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</si>
  <si>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</si>
  <si>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</si>
  <si>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</si>
  <si>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</si>
  <si>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</si>
  <si>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</si>
  <si>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</si>
  <si>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</si>
  <si>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</si>
  <si>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</si>
  <si>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</si>
  <si>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</si>
  <si>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</si>
  <si>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</si>
  <si>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</si>
  <si>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</si>
  <si>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</si>
  <si>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</si>
  <si>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</si>
  <si>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</si>
  <si>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</si>
  <si>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</si>
  <si>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</si>
  <si>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</si>
  <si>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</si>
  <si>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</si>
  <si>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</si>
  <si>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</si>
  <si>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</si>
  <si>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</si>
  <si>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</si>
  <si>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</si>
  <si>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</si>
  <si>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</si>
  <si>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</si>
  <si>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</si>
  <si>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</si>
  <si>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</si>
  <si>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</si>
  <si>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</si>
  <si>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</si>
  <si>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</si>
  <si>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</si>
  <si>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</si>
  <si>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</si>
  <si>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</si>
  <si>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</si>
  <si>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</si>
  <si>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</si>
  <si>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</si>
  <si>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</si>
  <si>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</si>
  <si>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</si>
  <si>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</si>
  <si>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</si>
  <si>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</si>
  <si>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</si>
  <si>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</si>
  <si>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</si>
  <si>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</si>
  <si>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</si>
  <si>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</si>
  <si>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</si>
  <si>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</si>
  <si>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</si>
  <si>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</si>
  <si>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</si>
  <si>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</si>
  <si>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</si>
  <si>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</si>
  <si>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</si>
  <si>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</si>
  <si>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</si>
  <si>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</si>
  <si>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</si>
  <si>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</si>
  <si>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</si>
  <si>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</si>
  <si>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</si>
  <si>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</si>
  <si>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</si>
  <si>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</si>
  <si>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</si>
  <si>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</si>
  <si>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</si>
  <si>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</si>
  <si>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</si>
  <si>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</si>
  <si>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</si>
  <si>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</si>
  <si>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</si>
  <si>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</si>
  <si>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</si>
  <si>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</si>
  <si>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</si>
  <si>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</si>
  <si>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</si>
  <si>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</si>
  <si>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</si>
  <si>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</si>
  <si>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</si>
  <si>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</si>
  <si>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</si>
  <si>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</si>
  <si>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</si>
  <si>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</si>
  <si>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</si>
  <si>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</si>
  <si>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</si>
  <si>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</si>
  <si>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</si>
  <si>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</si>
  <si>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</si>
  <si>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</si>
  <si>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</si>
  <si>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</si>
  <si>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</si>
  <si>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</si>
  <si>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</si>
  <si>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</si>
  <si>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</si>
  <si>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</si>
  <si>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</si>
  <si>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</si>
  <si>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</si>
  <si>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</si>
  <si>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</si>
  <si>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</si>
  <si>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</si>
  <si>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</si>
  <si>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</si>
  <si>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</si>
  <si>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</si>
  <si>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</si>
  <si>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</si>
  <si>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</si>
  <si>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</si>
  <si>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</si>
  <si>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</si>
  <si>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</si>
  <si>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</si>
  <si>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</si>
  <si>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</si>
  <si>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</si>
  <si>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</si>
  <si>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</si>
  <si>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</si>
  <si>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</si>
  <si>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</si>
  <si>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</si>
  <si>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</si>
  <si>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</si>
  <si>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</si>
  <si>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</si>
  <si>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</si>
  <si>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</si>
  <si>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</si>
  <si>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</si>
  <si>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</si>
  <si>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</si>
  <si>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</si>
  <si>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</si>
  <si>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</si>
  <si>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</si>
  <si>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</si>
  <si>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</si>
  <si>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</si>
  <si>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</si>
  <si>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</si>
  <si>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</si>
  <si>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</si>
  <si>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</si>
  <si>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</si>
  <si>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</si>
  <si>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</si>
  <si>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</si>
  <si>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</si>
  <si>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</si>
  <si>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</si>
  <si>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</si>
  <si>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</si>
  <si>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</si>
  <si>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</si>
  <si>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</si>
  <si>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</si>
  <si>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</si>
  <si>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</si>
  <si>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</si>
  <si>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</si>
  <si>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</si>
  <si>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</si>
  <si>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</si>
  <si>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</si>
  <si>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</si>
  <si>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</si>
  <si>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</si>
  <si>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</si>
  <si>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</si>
  <si>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</si>
  <si>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</si>
  <si>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</si>
  <si>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</si>
  <si>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</si>
  <si>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</si>
  <si>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</si>
  <si>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</si>
  <si>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</si>
  <si>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</si>
  <si>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</si>
  <si>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</si>
  <si>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</si>
  <si>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</si>
  <si>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</si>
  <si>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</si>
  <si>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</si>
  <si>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</si>
  <si>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</si>
  <si>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</si>
  <si>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</si>
  <si>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</si>
  <si>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</si>
  <si>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</si>
  <si>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</si>
  <si>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</si>
  <si>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</si>
  <si>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</si>
  <si>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</si>
  <si>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</si>
  <si>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</si>
  <si>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</si>
  <si>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</si>
  <si>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</si>
  <si>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</si>
  <si>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</si>
  <si>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</si>
  <si>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</si>
  <si>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</si>
  <si>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</si>
  <si>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</si>
  <si>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</si>
  <si>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</si>
  <si>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</si>
  <si>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</si>
  <si>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</si>
  <si>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</si>
  <si>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</si>
  <si>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 xml:space="preserve">Chiffrement des échanges de données applicatives
On traite ici du chiffrement effectué soit directement par l'application (couche 6-7, par ex. chiffrement avant ou lors de l'envoi), soit au niveau de l'infrastructure (chiffrement de tous les échanges de données). </t>
  </si>
  <si>
    <t>A-t-on défini les échanges de données ou transactions sensibles devant être protégés par des solutions de scellement et mis en place de telles solutions au niveau applicatif, voire au niveau de l'infrastructure ?</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</si>
  <si>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</si>
  <si>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</si>
  <si>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</si>
  <si>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</si>
  <si>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</si>
  <si>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</si>
  <si>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</si>
  <si>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</si>
  <si>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</si>
  <si>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</si>
  <si>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</si>
  <si>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</si>
  <si>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</si>
  <si>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</si>
  <si>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</si>
  <si>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</si>
  <si>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</si>
  <si>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</si>
  <si>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</si>
  <si>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</si>
  <si>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</si>
  <si>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</si>
  <si>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</si>
  <si>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</si>
  <si>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</si>
  <si>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</si>
  <si>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</si>
  <si>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</si>
  <si>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</si>
  <si>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</si>
  <si>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</si>
  <si>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</si>
  <si>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</si>
  <si>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</si>
  <si>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</si>
  <si>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</si>
  <si>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</si>
  <si>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</si>
  <si>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</si>
  <si>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</si>
  <si>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</si>
  <si>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</si>
  <si>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</si>
  <si>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</si>
  <si>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</si>
  <si>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</si>
  <si>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</si>
  <si>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</si>
  <si>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</si>
  <si>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</si>
  <si>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</si>
  <si>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</si>
  <si>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</si>
  <si>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</si>
  <si>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</si>
  <si>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</si>
  <si>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</si>
  <si>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</si>
  <si>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</si>
  <si>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</si>
  <si>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</si>
  <si>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</si>
  <si>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</si>
  <si>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</si>
  <si>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</si>
  <si>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</si>
  <si>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</si>
  <si>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</si>
  <si>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</si>
  <si>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</si>
  <si>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</si>
  <si>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</si>
  <si>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</si>
  <si>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</si>
  <si>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</si>
  <si>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</si>
  <si>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</si>
  <si>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</si>
  <si>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</si>
  <si>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</si>
  <si>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</si>
  <si>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</si>
  <si>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</si>
  <si>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</si>
  <si>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</si>
  <si>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</si>
  <si>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</si>
  <si>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</si>
  <si>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</si>
  <si>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</si>
  <si>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</si>
  <si>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</si>
  <si>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</si>
  <si>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</si>
  <si>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</si>
  <si>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</si>
  <si>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</si>
  <si>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</si>
  <si>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</si>
  <si>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</si>
  <si>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</si>
  <si>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</si>
  <si>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</si>
  <si>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</si>
  <si>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</si>
  <si>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</si>
  <si>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</si>
  <si>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</si>
  <si>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</si>
  <si>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</si>
  <si>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</si>
  <si>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</si>
  <si>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</si>
  <si>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</si>
  <si>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</si>
  <si>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</si>
  <si>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</si>
  <si>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</si>
  <si>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</si>
  <si>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</si>
  <si>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</si>
  <si>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</si>
  <si>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</si>
  <si>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</si>
  <si>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</si>
  <si>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</si>
  <si>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</si>
  <si>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</si>
  <si>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</si>
  <si>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</si>
  <si>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</si>
  <si>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</si>
  <si>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</si>
  <si>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</si>
  <si>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</si>
  <si>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</si>
  <si>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</si>
  <si>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</si>
  <si>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</si>
  <si>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</si>
  <si>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</si>
  <si>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</si>
  <si>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</si>
  <si>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</si>
  <si>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</si>
  <si>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</si>
  <si>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</si>
  <si>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</si>
  <si>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</si>
  <si>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</si>
  <si>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</si>
  <si>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1. Présentation de Méhari  - Standard</t>
  </si>
  <si>
    <t>Présentation de Méhari Standard et de la démarche de traitement des risques</t>
  </si>
  <si>
    <t>regroupé avec risques environnementaux divers (2A03)</t>
  </si>
  <si>
    <t>Correction à faire</t>
  </si>
  <si>
    <t>regroupé avec système en 3B01</t>
  </si>
  <si>
    <t>reporté en 1E03</t>
  </si>
  <si>
    <t>Méhari - Standard prend en compte la norme ISO 27002: 2013 de manière étroite : le services de sécurité ont été définis en fonction de cette norme et tous les aspects de la norme sont pris en compte.</t>
  </si>
  <si>
    <t>5F03</t>
  </si>
  <si>
    <t>5F03-01</t>
  </si>
  <si>
    <t>A-t-on analysé les contrôles qu'il serait nécessaire de faire pour s'assurer de la conformité des services externalisés (introduction de variables de contrôle, tests incorporés aux processus, etc.) et a-t-on mis en place les contrôles correspondants  ?</t>
  </si>
  <si>
    <t>Contrôle de l'intégrité des données et services externalisés</t>
  </si>
  <si>
    <t>F - Contrôle de l'intégrité des données et services externalisés</t>
  </si>
  <si>
    <t>5F03-02</t>
  </si>
  <si>
    <t>5F03-03</t>
  </si>
  <si>
    <t>5F03-04</t>
  </si>
  <si>
    <t>5F03-05</t>
  </si>
  <si>
    <t>3A09</t>
  </si>
  <si>
    <t>3A09-01</t>
  </si>
  <si>
    <t>3A09-02</t>
  </si>
  <si>
    <t>3A09-03</t>
  </si>
  <si>
    <t>PISE</t>
  </si>
  <si>
    <t>Protection de l'intégrité des services externalisés</t>
  </si>
  <si>
    <t xml:space="preserve">PISE </t>
  </si>
  <si>
    <t>Données en transit</t>
  </si>
  <si>
    <t>Contrôle des systèmes opérationnels</t>
  </si>
  <si>
    <t>Contrôle des systèmes opérationnels (contrôle de la mise en opération de logiciels, de nouvelles versions de systèmes logiciels ou matériels)</t>
  </si>
  <si>
    <t>Les décisions de mise en production de tous nouveaux logiciels ou systèmes (logiciels ou matériels) font-elles l'objet de procédures de contrôle (enregistrement, planification, approbation formelle, communication à l'ensemble des personnes concernées, etc.) ?</t>
  </si>
  <si>
    <t>Les paramétrages de sécurité et règles de configuration sont-ils contrôlés avant toute mise en exploitation d'une nouvelle version ou d'un nouveau système ?</t>
  </si>
  <si>
    <t>Tous les changements de logiciels ou de systèmes font-ils l'objet d'une phase de tests intensifs dans un environnement séparé de test avant mise en production ?</t>
  </si>
  <si>
    <t>Une stratégie de retour arrière est-elle systématiquement prévue avant la mise en production de tout nouveau système ?</t>
  </si>
  <si>
    <t>La mise en production de nouvelles versions de systèmes ou applications ou de nouveaux matériels n'est-elle possible que par le personnel d'exploitation ?</t>
  </si>
  <si>
    <t>Questionnaire d'audit : Sécurité physique</t>
  </si>
  <si>
    <t>Service appelé par un projet</t>
  </si>
  <si>
    <t>Référence comparaison</t>
  </si>
  <si>
    <t>1 Org</t>
  </si>
  <si>
    <t>2 Phy</t>
  </si>
  <si>
    <t>3 Sys</t>
  </si>
  <si>
    <t>4 Ope</t>
  </si>
  <si>
    <t>5 App</t>
  </si>
  <si>
    <t>6 Mic</t>
  </si>
  <si>
    <t>7 Dev</t>
  </si>
  <si>
    <t>8 Cex</t>
  </si>
  <si>
    <t>Services</t>
  </si>
  <si>
    <t>Score ISO</t>
  </si>
  <si>
    <t>Expo</t>
  </si>
  <si>
    <t>Scénarios</t>
  </si>
  <si>
    <t>Plans_action</t>
  </si>
  <si>
    <t>Projets</t>
  </si>
  <si>
    <t>Grilles_IP</t>
  </si>
  <si>
    <t>DB-Mehari_Standard_v1-3.xlsm</t>
  </si>
  <si>
    <t>4C01 : Organisation de la maintenance des systèmes informatiques (matériel, logiciel et applications) et des équipements de réseaux</t>
  </si>
  <si>
    <t>4C02 : Procédures et plans de reprise des applications sur incidents</t>
  </si>
  <si>
    <t>4C05 : Maintien des comptes d'accès</t>
  </si>
  <si>
    <t>2C02 : Sécurité des équipements de servitude</t>
  </si>
  <si>
    <t xml:space="preserve">2C04 : Continuité de la fourniture de l'énergie </t>
  </si>
  <si>
    <t>3B01 : Sûreté de fonctionnement des éléments d'architecture</t>
  </si>
  <si>
    <t>2A03 : Protection contre les risques environnementaux divers</t>
  </si>
  <si>
    <t>4A03 : Sauvegardes des données et configurations</t>
  </si>
  <si>
    <t>6B04 : Sauvegarde des données utilisateurs stockées sur les postes de travail</t>
  </si>
  <si>
    <t>6B06 : Sauvegarde des courriels émis ou reçus sur les serveurs de l'entreprise</t>
  </si>
  <si>
    <t>4A02 : Protection contre les malwares</t>
  </si>
  <si>
    <t>4C03 : Plans de Reprise d'Activité de l'infrastructure informatique et des systèmes</t>
  </si>
  <si>
    <t>5D01 : Plans de Continuité des processus applicatifs</t>
  </si>
  <si>
    <t>4C04 : Plans de Reprise d'Activité de l'infrastructure informatique externalisée</t>
  </si>
  <si>
    <t>5D02 : Plan de continuité des services externalisés</t>
  </si>
  <si>
    <t>1E02 : Plans de Reprise de l'Environnement de Travail</t>
  </si>
  <si>
    <t>1E01 : Plans de continuité de l'activité</t>
  </si>
  <si>
    <t>1E03 : Gestion du personnel et des partenaires ou prestataires stratégiques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</si>
  <si>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</si>
  <si>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</si>
  <si>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</si>
  <si>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</si>
  <si>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2B01 : Contrôle des accès aux locaux sensibles</t>
  </si>
  <si>
    <t xml:space="preserve">2B02 : Détection des intrusions dans les locaux sensibles </t>
  </si>
  <si>
    <t>2B03 : Surveillance des locaux sensibles</t>
  </si>
  <si>
    <t>3A02 : Gestion des autorisations d'accès  (attribution, délégation, retrait)</t>
  </si>
  <si>
    <t>3A07 : Contrôle des accès privilégiés</t>
  </si>
  <si>
    <t>6A01 : Protection du poste de travail</t>
  </si>
  <si>
    <t>6C02 : Dispositifs de sécurité relatifs aux appareils mobiles personnels</t>
  </si>
  <si>
    <t>7B08 : Sécurité de la maintenance applicative</t>
  </si>
  <si>
    <t>4A11 : Journalisation et contrôle des journaux</t>
  </si>
  <si>
    <t>3A08 : Surveillance des actions effectuées avec des droits privilégiés</t>
  </si>
  <si>
    <t>5B02 : Chiffrement des données applicatives stockées</t>
  </si>
  <si>
    <t>6B01 : Protection de la confidentialité des données contenues sur le poste de travail ou sur un serveur de données (disque logique pour le poste de travail)</t>
  </si>
  <si>
    <t xml:space="preserve">5B01 : Chiffrement des échanges de données applicatives </t>
  </si>
  <si>
    <t>5G02 : Protection de la confidentialité de données externalisées</t>
  </si>
  <si>
    <t>6B03 : Sécurité de la messagerie électronique (courriels) et des échanges électroniques d'information</t>
  </si>
  <si>
    <t xml:space="preserve">4A09 : Contrôle des opérations de maintenance </t>
  </si>
  <si>
    <t>6B02 : Protection de l'intégrité des fichiers contenus sur le poste de travail ou sur un serveur de données (disque logique pour le poste de travail)</t>
  </si>
  <si>
    <t>5F02 : Protection de l'intégrité des fichiers de données sensibles externalisés</t>
  </si>
  <si>
    <t xml:space="preserve">5A01 : Protection de l'intégrité des données applicatives échangées </t>
  </si>
  <si>
    <t xml:space="preserve">5F01 : Protection de l'intégrité des échanges lors des accès aux services externalisés
</t>
  </si>
  <si>
    <t>5F03 : Contrôls de l'intégrité des services externalisés</t>
  </si>
  <si>
    <t>5A03 : Contrôles permanents  (vraisemblance, ...) sur les données et traitements</t>
  </si>
  <si>
    <t>5A04 : Contrôle de la saisie des données</t>
  </si>
  <si>
    <t>5E01 : Garantie d'origine, signature, électronique</t>
  </si>
  <si>
    <t>5E02 : Individualisation des messages empêchant leur duplication (numérotation, séquencement,...)</t>
  </si>
  <si>
    <t>2E02 : Ramassage des corbeilles à papier et destruction des documents</t>
  </si>
  <si>
    <t>6A02 : Travail en dehors des locaux de l'entreprise</t>
  </si>
  <si>
    <t>6B05 : Protection des impressions sur imprimantes partagées</t>
  </si>
  <si>
    <t>4E01 : Gestion des supports amovibles</t>
  </si>
  <si>
    <t>4E02 : Sécurité physique des medias</t>
  </si>
  <si>
    <t>4E04 : Sécurité physique des media en transit</t>
  </si>
  <si>
    <t>4F01 : Organisation de la gestion des archives informatiques</t>
  </si>
  <si>
    <t>4F02 : Gestion des accès aux archives</t>
  </si>
  <si>
    <t>4F03 : Sécurité des archives</t>
  </si>
  <si>
    <t>2E04 : Gestion des archives documentaires</t>
  </si>
  <si>
    <t>Informations écrites ou imprimées</t>
  </si>
  <si>
    <t xml:space="preserve">Processus de gestion de la conformité </t>
  </si>
  <si>
    <t xml:space="preserve">Processus de gouvernance et de prise de décision </t>
  </si>
  <si>
    <t>Courrier postal ou électronique</t>
  </si>
  <si>
    <t>Inform. Écrite ou imprimée</t>
  </si>
  <si>
    <t>Archives, document. ou informat.</t>
  </si>
  <si>
    <t>CLASSIFICATION DES SERVICES ET PROCESSUS</t>
  </si>
  <si>
    <t>Processus de gestion de la conformité</t>
  </si>
  <si>
    <t>Processus de gouvernance et de prise de décision</t>
  </si>
  <si>
    <t>P01</t>
  </si>
  <si>
    <t>P02</t>
  </si>
  <si>
    <t>AH.L.Del</t>
  </si>
  <si>
    <t>REF SCENARIO</t>
  </si>
  <si>
    <t>Effacement ou disparition de moyens d'accès (clés de chiffrement, jetons, fichiers ou éléments nécessaires à l'identification et à l'authentification, licences, etc.)</t>
  </si>
  <si>
    <t>Indisponibilité de références, d’adresses ou de processus d’accès au media support de données</t>
  </si>
  <si>
    <t>Incident dû à l'environnement (Dégât des eaux, vieillissement, pollution, surcharge électrique, etc.) ou à du vandalisme</t>
  </si>
  <si>
    <t>IC.E.Div</t>
  </si>
  <si>
    <t>AB.S.Gen</t>
  </si>
  <si>
    <t>AB.S.Mat</t>
  </si>
  <si>
    <t>AH.L</t>
  </si>
  <si>
    <t>AH.L.Blo</t>
  </si>
  <si>
    <t>AH.L.Cap</t>
  </si>
  <si>
    <t>Captation de données ou messages en transit</t>
  </si>
  <si>
    <t>AH.L.Cfg</t>
  </si>
  <si>
    <t>AH.L.Fal</t>
  </si>
  <si>
    <t>AH.L.Fau</t>
  </si>
  <si>
    <t>AH.L.Kyl</t>
  </si>
  <si>
    <t>Captation de données par Keylogger logiciel</t>
  </si>
  <si>
    <t>Captation de données par Keylogger physique</t>
  </si>
  <si>
    <t>AH.L.Phi</t>
  </si>
  <si>
    <t>Action menée par abus de confiance (Phishing)</t>
  </si>
  <si>
    <t>AH.L.Sam</t>
  </si>
  <si>
    <t>AH.L.Tot</t>
  </si>
  <si>
    <t>AH.L.Vol</t>
  </si>
  <si>
    <t>AH.P</t>
  </si>
  <si>
    <t>AH.P.Phc</t>
  </si>
  <si>
    <t xml:space="preserve">Duplication, photocopie ou consultation de media physique </t>
  </si>
  <si>
    <t>AH.P.Vol</t>
  </si>
  <si>
    <t xml:space="preserve">Vol ou substitution physique </t>
  </si>
  <si>
    <t>PR.N.Nai</t>
  </si>
  <si>
    <t>Procédures adéquates absentes ou méconnues</t>
  </si>
  <si>
    <t>PR.N.Nar</t>
  </si>
  <si>
    <t>AC.E.Evt</t>
  </si>
  <si>
    <t>Accident grave d'environnement : Incendie, Inondation, foudroiement, tremblement de terre… ou dû à du terrorisme</t>
  </si>
  <si>
    <t xml:space="preserve">Accident grave dû à l'environnement (Incendie, Inondation, foudroiement, etc.) ou à des actes de terrorisme </t>
  </si>
  <si>
    <t>Cette revue comprend-elle une analyse des risques éventuels pouvant naître à cette occasion ?
S'assure-t-on, en particulier, en cas d'évolution, que le nouveau système ou équipement sera bien compatible avec tous les formats de données ou de logiciels utilisés</t>
  </si>
  <si>
    <t>Perte ou disparition de moyens nécessaires à l'exploitation de médias (clés de chiffrement, logiciels de lecture, etc.)</t>
  </si>
  <si>
    <t>Altération (non détectée) de fichiers ou de base de données applicatives</t>
  </si>
  <si>
    <t>Surveillance en temps réel de l'activité et gestion des anomalies</t>
  </si>
  <si>
    <t>max(min(3A04,3A07),5B02)</t>
  </si>
  <si>
    <t>max(2B01,5B02)</t>
  </si>
  <si>
    <t>Altération (non détectée) de fichiers bureautiques</t>
  </si>
  <si>
    <t>Divulgation ou détournement de fichiers bureautiques</t>
  </si>
  <si>
    <t>4E01-07</t>
  </si>
  <si>
    <t>E - Protection de l'information écrite et médias amovibles importants</t>
  </si>
  <si>
    <r>
      <t xml:space="preserve">S'assure-t-on que les moyens matériels et logiciels nécessaires à la lecture de tous les types de fichiers sont disponibles ou facilement rendus disponibles ?
</t>
    </r>
    <r>
      <rPr>
        <i/>
        <sz val="8"/>
        <rFont val="Arial"/>
        <family val="2"/>
      </rPr>
      <t>Ceci incluant le maintien de périphériques de lecture de tous types de médias amovibles utilisés.</t>
    </r>
  </si>
  <si>
    <t>Le processus ou les directives concernant le contrôle d'intégrité des fichiers s'étend-il aux informations contenues dans les carnets d'adresses électroniques ?</t>
  </si>
  <si>
    <t>Création de faux</t>
  </si>
  <si>
    <t>max(min(3A04,3A07),6B01)</t>
  </si>
  <si>
    <t>max(4A09,6B01)</t>
  </si>
  <si>
    <t>1C06</t>
  </si>
  <si>
    <t>Ces procédures incluent-elles une procédure d'escalade obligatoire en cas de doute ?</t>
  </si>
  <si>
    <t>max(4A02,6B01)</t>
  </si>
  <si>
    <t>max(min(2D01,2D02),6B01)</t>
  </si>
  <si>
    <t>Contrôle de la réception des messages sensibles</t>
  </si>
  <si>
    <t>L86C1</t>
  </si>
  <si>
    <t>L86C2</t>
  </si>
  <si>
    <t>L87C1</t>
  </si>
  <si>
    <t>L87C2</t>
  </si>
  <si>
    <t>L87C7</t>
  </si>
  <si>
    <t>L88C1</t>
  </si>
  <si>
    <t>L88C2</t>
  </si>
  <si>
    <t>L88C7</t>
  </si>
  <si>
    <t>L88C8</t>
  </si>
  <si>
    <t>L88C10</t>
  </si>
  <si>
    <t>L88C31</t>
  </si>
  <si>
    <t>L88C32</t>
  </si>
  <si>
    <t>L88C33</t>
  </si>
  <si>
    <t>L88C34</t>
  </si>
  <si>
    <t>L89C1</t>
  </si>
  <si>
    <t>L89C2</t>
  </si>
  <si>
    <t>L89C10</t>
  </si>
  <si>
    <t>L89C31</t>
  </si>
  <si>
    <t>L89C32</t>
  </si>
  <si>
    <t>L89C33</t>
  </si>
  <si>
    <t>L89C34</t>
  </si>
  <si>
    <t>L90C1</t>
  </si>
  <si>
    <t>L90C2</t>
  </si>
  <si>
    <t>L90C10</t>
  </si>
  <si>
    <t>L90C31</t>
  </si>
  <si>
    <t>L90C32</t>
  </si>
  <si>
    <t>L90C33</t>
  </si>
  <si>
    <t>L90C34</t>
  </si>
  <si>
    <t>L91C1</t>
  </si>
  <si>
    <t>L91C2</t>
  </si>
  <si>
    <t>L91C7</t>
  </si>
  <si>
    <t>L91C10</t>
  </si>
  <si>
    <t>L91C31</t>
  </si>
  <si>
    <t>L91C32</t>
  </si>
  <si>
    <t>L91C33</t>
  </si>
  <si>
    <t>L91C34</t>
  </si>
  <si>
    <t>L92C1</t>
  </si>
  <si>
    <t>L92C2</t>
  </si>
  <si>
    <t>L92C7</t>
  </si>
  <si>
    <t>L92C10</t>
  </si>
  <si>
    <t>L92C31</t>
  </si>
  <si>
    <t>L92C32</t>
  </si>
  <si>
    <t>L92C33</t>
  </si>
  <si>
    <t>L92C34</t>
  </si>
  <si>
    <t>L93C1</t>
  </si>
  <si>
    <t>L93C2</t>
  </si>
  <si>
    <t>L93C7</t>
  </si>
  <si>
    <t>L93C10</t>
  </si>
  <si>
    <t>L94C1</t>
  </si>
  <si>
    <t>L94C2</t>
  </si>
  <si>
    <t>L94C7</t>
  </si>
  <si>
    <t>L94C10</t>
  </si>
  <si>
    <t>L94C31</t>
  </si>
  <si>
    <t>L94C32</t>
  </si>
  <si>
    <t>L94C33</t>
  </si>
  <si>
    <t>L94C34</t>
  </si>
  <si>
    <t>L95C1</t>
  </si>
  <si>
    <t>L95C2</t>
  </si>
  <si>
    <t>L95C7</t>
  </si>
  <si>
    <t>L95C10</t>
  </si>
  <si>
    <t>L96C1</t>
  </si>
  <si>
    <t>L96C2</t>
  </si>
  <si>
    <t>L96C7</t>
  </si>
  <si>
    <t>L96C10</t>
  </si>
  <si>
    <t>L97C1</t>
  </si>
  <si>
    <t>L97C2</t>
  </si>
  <si>
    <t>L97C7</t>
  </si>
  <si>
    <t>L97C10</t>
  </si>
  <si>
    <t>L98C1</t>
  </si>
  <si>
    <t>L98C2</t>
  </si>
  <si>
    <t>L98C7</t>
  </si>
  <si>
    <t>L98C10</t>
  </si>
  <si>
    <t>L99C1</t>
  </si>
  <si>
    <t>L99C2</t>
  </si>
  <si>
    <t>L100C1</t>
  </si>
  <si>
    <t>L100C2</t>
  </si>
  <si>
    <t>L100C7</t>
  </si>
  <si>
    <t>L100C10</t>
  </si>
  <si>
    <t>L100C31</t>
  </si>
  <si>
    <t>L100C32</t>
  </si>
  <si>
    <t>L100C33</t>
  </si>
  <si>
    <t>L100C34</t>
  </si>
  <si>
    <t>L101C1</t>
  </si>
  <si>
    <t>L101C2</t>
  </si>
  <si>
    <t>L101C7</t>
  </si>
  <si>
    <t>L101C10</t>
  </si>
  <si>
    <t>L102C1</t>
  </si>
  <si>
    <t>L102C2</t>
  </si>
  <si>
    <t>L102C7</t>
  </si>
  <si>
    <t>L102C8</t>
  </si>
  <si>
    <t>L102C10</t>
  </si>
  <si>
    <t>L102C31</t>
  </si>
  <si>
    <t>L102C32</t>
  </si>
  <si>
    <t>L102C33</t>
  </si>
  <si>
    <t>L102C34</t>
  </si>
  <si>
    <t>L103C1</t>
  </si>
  <si>
    <t>L103C2</t>
  </si>
  <si>
    <t>L103C7</t>
  </si>
  <si>
    <t>L103C8</t>
  </si>
  <si>
    <t>L103C10</t>
  </si>
  <si>
    <t>L103C31</t>
  </si>
  <si>
    <t>L103C32</t>
  </si>
  <si>
    <t>L103C33</t>
  </si>
  <si>
    <t>L103C34</t>
  </si>
  <si>
    <t>L104C1</t>
  </si>
  <si>
    <t>L104C2</t>
  </si>
  <si>
    <t>L104C7</t>
  </si>
  <si>
    <t>L104C10</t>
  </si>
  <si>
    <t>L104C31</t>
  </si>
  <si>
    <t>L104C32</t>
  </si>
  <si>
    <t>L104C33</t>
  </si>
  <si>
    <t>L104C34</t>
  </si>
  <si>
    <t>L105C1</t>
  </si>
  <si>
    <t>L105C2</t>
  </si>
  <si>
    <t>L105C7</t>
  </si>
  <si>
    <t>L105C10</t>
  </si>
  <si>
    <t>L105C31</t>
  </si>
  <si>
    <t>L105C32</t>
  </si>
  <si>
    <t>L105C33</t>
  </si>
  <si>
    <t>L105C34</t>
  </si>
  <si>
    <t>L106C1</t>
  </si>
  <si>
    <t>L106C2</t>
  </si>
  <si>
    <t>L106C7</t>
  </si>
  <si>
    <t>L106C8</t>
  </si>
  <si>
    <t>L106C10</t>
  </si>
  <si>
    <t>L106C31</t>
  </si>
  <si>
    <t>L106C32</t>
  </si>
  <si>
    <t>L106C33</t>
  </si>
  <si>
    <t>L106C34</t>
  </si>
  <si>
    <t>L107C1</t>
  </si>
  <si>
    <t>L107C2</t>
  </si>
  <si>
    <t>L107C7</t>
  </si>
  <si>
    <t>L107C8</t>
  </si>
  <si>
    <t>L107C10</t>
  </si>
  <si>
    <t>L107C31</t>
  </si>
  <si>
    <t>L107C32</t>
  </si>
  <si>
    <t>L107C33</t>
  </si>
  <si>
    <t>L107C34</t>
  </si>
  <si>
    <t>L108C1</t>
  </si>
  <si>
    <t>L108C2</t>
  </si>
  <si>
    <t>L108C7</t>
  </si>
  <si>
    <t>L108C9</t>
  </si>
  <si>
    <t>L108C10</t>
  </si>
  <si>
    <t>L109C1</t>
  </si>
  <si>
    <t>L109C2</t>
  </si>
  <si>
    <t>L109C10</t>
  </si>
  <si>
    <t>L110C1</t>
  </si>
  <si>
    <t>L110C2</t>
  </si>
  <si>
    <t>L110C7</t>
  </si>
  <si>
    <t>L110C8</t>
  </si>
  <si>
    <t>L110C10</t>
  </si>
  <si>
    <t>L110C31</t>
  </si>
  <si>
    <t>L110C32</t>
  </si>
  <si>
    <t>L110C33</t>
  </si>
  <si>
    <t>L110C34</t>
  </si>
  <si>
    <t>L111C1</t>
  </si>
  <si>
    <t>L111C2</t>
  </si>
  <si>
    <t>L111C7</t>
  </si>
  <si>
    <t>L111C10</t>
  </si>
  <si>
    <t>L112C1</t>
  </si>
  <si>
    <t>L112C2</t>
  </si>
  <si>
    <t>L112C7</t>
  </si>
  <si>
    <t>L112C8</t>
  </si>
  <si>
    <t>L112C10</t>
  </si>
  <si>
    <t>L112C31</t>
  </si>
  <si>
    <t>L112C32</t>
  </si>
  <si>
    <t>L112C33</t>
  </si>
  <si>
    <t>L112C34</t>
  </si>
  <si>
    <t>L113C1</t>
  </si>
  <si>
    <t>L113C2</t>
  </si>
  <si>
    <t>L113C7</t>
  </si>
  <si>
    <t>L113C9</t>
  </si>
  <si>
    <t>L113C10</t>
  </si>
  <si>
    <t>L114C1</t>
  </si>
  <si>
    <t>L114C2</t>
  </si>
  <si>
    <t>L114C7</t>
  </si>
  <si>
    <t>L114C10</t>
  </si>
  <si>
    <t>L114C31</t>
  </si>
  <si>
    <t>L114C32</t>
  </si>
  <si>
    <t>L114C33</t>
  </si>
  <si>
    <t>L114C34</t>
  </si>
  <si>
    <t>L115C1</t>
  </si>
  <si>
    <t>L115C2</t>
  </si>
  <si>
    <t>L115C7</t>
  </si>
  <si>
    <t>L115C10</t>
  </si>
  <si>
    <t>L116C1</t>
  </si>
  <si>
    <t>L116C2</t>
  </si>
  <si>
    <t>L116C7</t>
  </si>
  <si>
    <t>L116C10</t>
  </si>
  <si>
    <t>L117C1</t>
  </si>
  <si>
    <t>L117C2</t>
  </si>
  <si>
    <t>L117C7</t>
  </si>
  <si>
    <t>L117C8</t>
  </si>
  <si>
    <t>L117C10</t>
  </si>
  <si>
    <t>L117C31</t>
  </si>
  <si>
    <t>L117C32</t>
  </si>
  <si>
    <t>L117C33</t>
  </si>
  <si>
    <t>L117C34</t>
  </si>
  <si>
    <t>L118C1</t>
  </si>
  <si>
    <t>L118C2</t>
  </si>
  <si>
    <t>L118C7</t>
  </si>
  <si>
    <t>L118C8</t>
  </si>
  <si>
    <t>L118C10</t>
  </si>
  <si>
    <t>L118C31</t>
  </si>
  <si>
    <t>L118C32</t>
  </si>
  <si>
    <t>L118C33</t>
  </si>
  <si>
    <t>L118C34</t>
  </si>
  <si>
    <t>L119C1</t>
  </si>
  <si>
    <t>L119C2</t>
  </si>
  <si>
    <t>L119C7</t>
  </si>
  <si>
    <t>L119C8</t>
  </si>
  <si>
    <t>L119C10</t>
  </si>
  <si>
    <t>L119C31</t>
  </si>
  <si>
    <t>L119C32</t>
  </si>
  <si>
    <t>L119C33</t>
  </si>
  <si>
    <t>L119C34</t>
  </si>
  <si>
    <t>L120C1</t>
  </si>
  <si>
    <t>L120C2</t>
  </si>
  <si>
    <t>L120C7</t>
  </si>
  <si>
    <t>L120C8</t>
  </si>
  <si>
    <t>L120C31</t>
  </si>
  <si>
    <t>L120C32</t>
  </si>
  <si>
    <t>L120C33</t>
  </si>
  <si>
    <t>L120C34</t>
  </si>
  <si>
    <t>L121C1</t>
  </si>
  <si>
    <t>L121C2</t>
  </si>
  <si>
    <t>L121C7</t>
  </si>
  <si>
    <t>L121C8</t>
  </si>
  <si>
    <t>L121C31</t>
  </si>
  <si>
    <t>L121C32</t>
  </si>
  <si>
    <t>L121C33</t>
  </si>
  <si>
    <t>L121C34</t>
  </si>
  <si>
    <t>L122C1</t>
  </si>
  <si>
    <t>L122C2</t>
  </si>
  <si>
    <t>L122C7</t>
  </si>
  <si>
    <t>L122C10</t>
  </si>
  <si>
    <t>L122C31</t>
  </si>
  <si>
    <t>L122C32</t>
  </si>
  <si>
    <t>L122C33</t>
  </si>
  <si>
    <t>L122C34</t>
  </si>
  <si>
    <t>L123C1</t>
  </si>
  <si>
    <t>L123C2</t>
  </si>
  <si>
    <t>L123C7</t>
  </si>
  <si>
    <t>L123C8</t>
  </si>
  <si>
    <t>L123C10</t>
  </si>
  <si>
    <t>L123C31</t>
  </si>
  <si>
    <t>L123C32</t>
  </si>
  <si>
    <t>L123C33</t>
  </si>
  <si>
    <t>L123C34</t>
  </si>
  <si>
    <t>L124C1</t>
  </si>
  <si>
    <t>L124C2</t>
  </si>
  <si>
    <t>L124C10</t>
  </si>
  <si>
    <t>L125C1</t>
  </si>
  <si>
    <t>L125C2</t>
  </si>
  <si>
    <t>L125C7</t>
  </si>
  <si>
    <t>L125C8</t>
  </si>
  <si>
    <t>L125C10</t>
  </si>
  <si>
    <t>L125C31</t>
  </si>
  <si>
    <t>L125C32</t>
  </si>
  <si>
    <t>L125C33</t>
  </si>
  <si>
    <t>L125C34</t>
  </si>
  <si>
    <t>L126C1</t>
  </si>
  <si>
    <t>L126C2</t>
  </si>
  <si>
    <t>L126C7</t>
  </si>
  <si>
    <t>L126C8</t>
  </si>
  <si>
    <t>L126C10</t>
  </si>
  <si>
    <t>L126C31</t>
  </si>
  <si>
    <t>L126C32</t>
  </si>
  <si>
    <t>L126C33</t>
  </si>
  <si>
    <t>L126C34</t>
  </si>
  <si>
    <t>L127C1</t>
  </si>
  <si>
    <t>L127C2</t>
  </si>
  <si>
    <t>L127C7</t>
  </si>
  <si>
    <t>L127C8</t>
  </si>
  <si>
    <t>L127C31</t>
  </si>
  <si>
    <t>L127C32</t>
  </si>
  <si>
    <t>L127C33</t>
  </si>
  <si>
    <t>L127C34</t>
  </si>
  <si>
    <t>L128C1</t>
  </si>
  <si>
    <t>L128C2</t>
  </si>
  <si>
    <t>L128C7</t>
  </si>
  <si>
    <t>L128C8</t>
  </si>
  <si>
    <t>L128C31</t>
  </si>
  <si>
    <t>L128C32</t>
  </si>
  <si>
    <t>L128C33</t>
  </si>
  <si>
    <t>L128C34</t>
  </si>
  <si>
    <t>L129C1</t>
  </si>
  <si>
    <t>L129C2</t>
  </si>
  <si>
    <t>L129C7</t>
  </si>
  <si>
    <t>L129C8</t>
  </si>
  <si>
    <t>L129C31</t>
  </si>
  <si>
    <t>L129C32</t>
  </si>
  <si>
    <t>L129C33</t>
  </si>
  <si>
    <t>L129C34</t>
  </si>
  <si>
    <t>L130C1</t>
  </si>
  <si>
    <t>L130C2</t>
  </si>
  <si>
    <t>L130C7</t>
  </si>
  <si>
    <t>L130C8</t>
  </si>
  <si>
    <t>L130C31</t>
  </si>
  <si>
    <t>L130C32</t>
  </si>
  <si>
    <t>L130C33</t>
  </si>
  <si>
    <t>L130C34</t>
  </si>
  <si>
    <t>L131C1</t>
  </si>
  <si>
    <t>L131C2</t>
  </si>
  <si>
    <t>L131C7</t>
  </si>
  <si>
    <t>L131C8</t>
  </si>
  <si>
    <t>L131C31</t>
  </si>
  <si>
    <t>L131C32</t>
  </si>
  <si>
    <t>L131C33</t>
  </si>
  <si>
    <t>L131C34</t>
  </si>
  <si>
    <t>L132C1</t>
  </si>
  <si>
    <t>L132C2</t>
  </si>
  <si>
    <t>L132C7</t>
  </si>
  <si>
    <t>L132C8</t>
  </si>
  <si>
    <t>L132C31</t>
  </si>
  <si>
    <t>L132C32</t>
  </si>
  <si>
    <t>L132C33</t>
  </si>
  <si>
    <t>L132C34</t>
  </si>
  <si>
    <t>L133C1</t>
  </si>
  <si>
    <t>L133C2</t>
  </si>
  <si>
    <t>L133C7</t>
  </si>
  <si>
    <t>L133C10</t>
  </si>
  <si>
    <t>L134C1</t>
  </si>
  <si>
    <t>L134C2</t>
  </si>
  <si>
    <t>L134C7</t>
  </si>
  <si>
    <t>L134C10</t>
  </si>
  <si>
    <t>L135C1</t>
  </si>
  <si>
    <t>L135C2</t>
  </si>
  <si>
    <t>L135C7</t>
  </si>
  <si>
    <t>L135C31</t>
  </si>
  <si>
    <t>L135C32</t>
  </si>
  <si>
    <t>L135C33</t>
  </si>
  <si>
    <t>L135C34</t>
  </si>
  <si>
    <t>L136C1</t>
  </si>
  <si>
    <t>L136C2</t>
  </si>
  <si>
    <t>L136C7</t>
  </si>
  <si>
    <t>L136C10</t>
  </si>
  <si>
    <t>L136C31</t>
  </si>
  <si>
    <t>L136C32</t>
  </si>
  <si>
    <t>L136C33</t>
  </si>
  <si>
    <t>L136C34</t>
  </si>
  <si>
    <t>L137C1</t>
  </si>
  <si>
    <t>L137C2</t>
  </si>
  <si>
    <t>L138C1</t>
  </si>
  <si>
    <t>L138C2</t>
  </si>
  <si>
    <t>L138C10</t>
  </si>
  <si>
    <t>L139C1</t>
  </si>
  <si>
    <t>L139C2</t>
  </si>
  <si>
    <t>L139C10</t>
  </si>
  <si>
    <t>L140C1</t>
  </si>
  <si>
    <t>L140C2</t>
  </si>
  <si>
    <t>L141C1</t>
  </si>
  <si>
    <t>L141C2</t>
  </si>
  <si>
    <t>L141C7</t>
  </si>
  <si>
    <t>L141C10</t>
  </si>
  <si>
    <t>L142C1</t>
  </si>
  <si>
    <t>L142C2</t>
  </si>
  <si>
    <t>L142C7</t>
  </si>
  <si>
    <t>L142C10</t>
  </si>
  <si>
    <t>L142C31</t>
  </si>
  <si>
    <t>L142C32</t>
  </si>
  <si>
    <t>L142C33</t>
  </si>
  <si>
    <t>L142C34</t>
  </si>
  <si>
    <t>L143C1</t>
  </si>
  <si>
    <t>L143C2</t>
  </si>
  <si>
    <t>L143C10</t>
  </si>
  <si>
    <t>L144C1</t>
  </si>
  <si>
    <t>L144C2</t>
  </si>
  <si>
    <t>L144C7</t>
  </si>
  <si>
    <t>L144C10</t>
  </si>
  <si>
    <t>L145C1</t>
  </si>
  <si>
    <t>L145C2</t>
  </si>
  <si>
    <t>L146C1</t>
  </si>
  <si>
    <t>L146C2</t>
  </si>
  <si>
    <t>L146C10</t>
  </si>
  <si>
    <t>L147C1</t>
  </si>
  <si>
    <t>L147C2</t>
  </si>
  <si>
    <t>L147C7</t>
  </si>
  <si>
    <t>L147C10</t>
  </si>
  <si>
    <t>L148C1</t>
  </si>
  <si>
    <t>L148C2</t>
  </si>
  <si>
    <t>L148C7</t>
  </si>
  <si>
    <t>L148C10</t>
  </si>
  <si>
    <t>L148C31</t>
  </si>
  <si>
    <t>L148C32</t>
  </si>
  <si>
    <t>L148C33</t>
  </si>
  <si>
    <t>L148C34</t>
  </si>
  <si>
    <t>L149C1</t>
  </si>
  <si>
    <t>L149C2</t>
  </si>
  <si>
    <t>L149C7</t>
  </si>
  <si>
    <t>L149C10</t>
  </si>
  <si>
    <t>L149C31</t>
  </si>
  <si>
    <t>L149C32</t>
  </si>
  <si>
    <t>L149C33</t>
  </si>
  <si>
    <t>L149C34</t>
  </si>
  <si>
    <t>L150C1</t>
  </si>
  <si>
    <t>L150C2</t>
  </si>
  <si>
    <t>L151C1</t>
  </si>
  <si>
    <t>L151C2</t>
  </si>
  <si>
    <t>L151C7</t>
  </si>
  <si>
    <t>L151C10</t>
  </si>
  <si>
    <t>L151C31</t>
  </si>
  <si>
    <t>L151C32</t>
  </si>
  <si>
    <t>L151C33</t>
  </si>
  <si>
    <t>L151C34</t>
  </si>
  <si>
    <t>L152C1</t>
  </si>
  <si>
    <t>L152C2</t>
  </si>
  <si>
    <t>L152C7</t>
  </si>
  <si>
    <t>L152C10</t>
  </si>
  <si>
    <t>L152C31</t>
  </si>
  <si>
    <t>L152C32</t>
  </si>
  <si>
    <t>L152C33</t>
  </si>
  <si>
    <t>L152C34</t>
  </si>
  <si>
    <t>L155C2</t>
  </si>
  <si>
    <t>L54C2</t>
  </si>
  <si>
    <t>L54C8</t>
  </si>
  <si>
    <t>L54C31</t>
  </si>
  <si>
    <t>L54C32</t>
  </si>
  <si>
    <t>L54C33</t>
  </si>
  <si>
    <t>L54C34</t>
  </si>
  <si>
    <t>L250C2</t>
  </si>
  <si>
    <t>L250C8</t>
  </si>
  <si>
    <t>L250C31</t>
  </si>
  <si>
    <t>L250C32</t>
  </si>
  <si>
    <t>L250C33</t>
  </si>
  <si>
    <t>L250C34</t>
  </si>
  <si>
    <t>L251C2</t>
  </si>
  <si>
    <t>L252C2</t>
  </si>
  <si>
    <t>L253C1</t>
  </si>
  <si>
    <t>L253C2</t>
  </si>
  <si>
    <t>L253C7</t>
  </si>
  <si>
    <t>L253C31</t>
  </si>
  <si>
    <t>L253C32</t>
  </si>
  <si>
    <t>L253C33</t>
  </si>
  <si>
    <t>L253C34</t>
  </si>
  <si>
    <t>L254C1</t>
  </si>
  <si>
    <t>L254C2</t>
  </si>
  <si>
    <t>L254C7</t>
  </si>
  <si>
    <t>L255C1</t>
  </si>
  <si>
    <t>L255C2</t>
  </si>
  <si>
    <t>L255C8</t>
  </si>
  <si>
    <t>L255C31</t>
  </si>
  <si>
    <t>L255C32</t>
  </si>
  <si>
    <t>L255C33</t>
  </si>
  <si>
    <t>L255C34</t>
  </si>
  <si>
    <t>L256C1</t>
  </si>
  <si>
    <t>L256C2</t>
  </si>
  <si>
    <t>L256C31</t>
  </si>
  <si>
    <t>L256C32</t>
  </si>
  <si>
    <t>L256C33</t>
  </si>
  <si>
    <t>L256C34</t>
  </si>
  <si>
    <t>L257C1</t>
  </si>
  <si>
    <t>L257C2</t>
  </si>
  <si>
    <t>L258C1</t>
  </si>
  <si>
    <t>L258C2</t>
  </si>
  <si>
    <t>L259C1</t>
  </si>
  <si>
    <t>L259C2</t>
  </si>
  <si>
    <t>L259C8</t>
  </si>
  <si>
    <t>L259C31</t>
  </si>
  <si>
    <t>L259C32</t>
  </si>
  <si>
    <t>L259C33</t>
  </si>
  <si>
    <t>L259C34</t>
  </si>
  <si>
    <t>L260C1</t>
  </si>
  <si>
    <t>L260C2</t>
  </si>
  <si>
    <t>L261C1</t>
  </si>
  <si>
    <t>L261C2</t>
  </si>
  <si>
    <t>L262C1</t>
  </si>
  <si>
    <t>L262C2</t>
  </si>
  <si>
    <t>L263C1</t>
  </si>
  <si>
    <t>L263C2</t>
  </si>
  <si>
    <t>L263C7</t>
  </si>
  <si>
    <t>L264C1</t>
  </si>
  <si>
    <t>L264C2</t>
  </si>
  <si>
    <t>L264C7</t>
  </si>
  <si>
    <t>L264C31</t>
  </si>
  <si>
    <t>L264C32</t>
  </si>
  <si>
    <t>L264C33</t>
  </si>
  <si>
    <t>L264C34</t>
  </si>
  <si>
    <t>L265C1</t>
  </si>
  <si>
    <t>L265C2</t>
  </si>
  <si>
    <t>L265C10</t>
  </si>
  <si>
    <t>L265C31</t>
  </si>
  <si>
    <t>L265C32</t>
  </si>
  <si>
    <t>L265C33</t>
  </si>
  <si>
    <t>L265C34</t>
  </si>
  <si>
    <t>L266C1</t>
  </si>
  <si>
    <t>L266C2</t>
  </si>
  <si>
    <t>L266C8</t>
  </si>
  <si>
    <t>L266C31</t>
  </si>
  <si>
    <t>L266C32</t>
  </si>
  <si>
    <t>L266C33</t>
  </si>
  <si>
    <t>L266C34</t>
  </si>
  <si>
    <t>L267C1</t>
  </si>
  <si>
    <t>L267C2</t>
  </si>
  <si>
    <t>L267C31</t>
  </si>
  <si>
    <t>L267C32</t>
  </si>
  <si>
    <t>L267C33</t>
  </si>
  <si>
    <t>L267C34</t>
  </si>
  <si>
    <t>L268C1</t>
  </si>
  <si>
    <t>L268C2</t>
  </si>
  <si>
    <t>L269C1</t>
  </si>
  <si>
    <t>L269C2</t>
  </si>
  <si>
    <t>L269C7</t>
  </si>
  <si>
    <t>L269C10</t>
  </si>
  <si>
    <t>L269C31</t>
  </si>
  <si>
    <t>L269C32</t>
  </si>
  <si>
    <t>L269C33</t>
  </si>
  <si>
    <t>L269C34</t>
  </si>
  <si>
    <t>L270C1</t>
  </si>
  <si>
    <t>L270C2</t>
  </si>
  <si>
    <t>L270C7</t>
  </si>
  <si>
    <t>L270C10</t>
  </si>
  <si>
    <t>L271C1</t>
  </si>
  <si>
    <t>L271C2</t>
  </si>
  <si>
    <t>L272C1</t>
  </si>
  <si>
    <t>L272C2</t>
  </si>
  <si>
    <t>L273C1</t>
  </si>
  <si>
    <t>L273C2</t>
  </si>
  <si>
    <t>L274C1</t>
  </si>
  <si>
    <t>L274C2</t>
  </si>
  <si>
    <t>L274C7</t>
  </si>
  <si>
    <t>L274C10</t>
  </si>
  <si>
    <t>L274C31</t>
  </si>
  <si>
    <t>L274C32</t>
  </si>
  <si>
    <t>L274C33</t>
  </si>
  <si>
    <t>L274C34</t>
  </si>
  <si>
    <t>L275C1</t>
  </si>
  <si>
    <t>L275C2</t>
  </si>
  <si>
    <t>L275C7</t>
  </si>
  <si>
    <t>L276C1</t>
  </si>
  <si>
    <t>L276C2</t>
  </si>
  <si>
    <t>L276C8</t>
  </si>
  <si>
    <t>L276C31</t>
  </si>
  <si>
    <t>L276C32</t>
  </si>
  <si>
    <t>L276C33</t>
  </si>
  <si>
    <t>L276C34</t>
  </si>
  <si>
    <t>L277C1</t>
  </si>
  <si>
    <t>L277C2</t>
  </si>
  <si>
    <t>L277C8</t>
  </si>
  <si>
    <t>L277C31</t>
  </si>
  <si>
    <t>L277C32</t>
  </si>
  <si>
    <t>L277C33</t>
  </si>
  <si>
    <t>L277C34</t>
  </si>
  <si>
    <t>L278C1</t>
  </si>
  <si>
    <t>L278C2</t>
  </si>
  <si>
    <t>L278C7</t>
  </si>
  <si>
    <t>L279C1</t>
  </si>
  <si>
    <t>L279C2</t>
  </si>
  <si>
    <t>L279C9</t>
  </si>
  <si>
    <t>L280C1</t>
  </si>
  <si>
    <t>L280C2</t>
  </si>
  <si>
    <t>L280C7</t>
  </si>
  <si>
    <t>L280C8</t>
  </si>
  <si>
    <t>L280C31</t>
  </si>
  <si>
    <t>L280C32</t>
  </si>
  <si>
    <t>L280C33</t>
  </si>
  <si>
    <t>L280C34</t>
  </si>
  <si>
    <t>L281C1</t>
  </si>
  <si>
    <t>L281C2</t>
  </si>
  <si>
    <t>L281C7</t>
  </si>
  <si>
    <t>L281C8</t>
  </si>
  <si>
    <t>L281C31</t>
  </si>
  <si>
    <t>L281C32</t>
  </si>
  <si>
    <t>L281C33</t>
  </si>
  <si>
    <t>L281C34</t>
  </si>
  <si>
    <t>L282C1</t>
  </si>
  <si>
    <t>L282C2</t>
  </si>
  <si>
    <t>L282C8</t>
  </si>
  <si>
    <t>L282C31</t>
  </si>
  <si>
    <t>L282C32</t>
  </si>
  <si>
    <t>L282C33</t>
  </si>
  <si>
    <t>L282C34</t>
  </si>
  <si>
    <t>L283C1</t>
  </si>
  <si>
    <t>L283C2</t>
  </si>
  <si>
    <t>L284C1</t>
  </si>
  <si>
    <t>L284C2</t>
  </si>
  <si>
    <t>L284C7</t>
  </si>
  <si>
    <t>L284C8</t>
  </si>
  <si>
    <t>L284C31</t>
  </si>
  <si>
    <t>L284C32</t>
  </si>
  <si>
    <t>L284C33</t>
  </si>
  <si>
    <t>L284C34</t>
  </si>
  <si>
    <t>L285C1</t>
  </si>
  <si>
    <t>L285C2</t>
  </si>
  <si>
    <t>L285C7</t>
  </si>
  <si>
    <t>L285C31</t>
  </si>
  <si>
    <t>L285C32</t>
  </si>
  <si>
    <t>L285C33</t>
  </si>
  <si>
    <t>L285C34</t>
  </si>
  <si>
    <t>L286C1</t>
  </si>
  <si>
    <t>L286C2</t>
  </si>
  <si>
    <t>L287C1</t>
  </si>
  <si>
    <t>L287C2</t>
  </si>
  <si>
    <t>L287C7</t>
  </si>
  <si>
    <t>L288C1</t>
  </si>
  <si>
    <t>L288C2</t>
  </si>
  <si>
    <t>L289C1</t>
  </si>
  <si>
    <t>L289C2</t>
  </si>
  <si>
    <t>L289C8</t>
  </si>
  <si>
    <t>L289C31</t>
  </si>
  <si>
    <t>L289C32</t>
  </si>
  <si>
    <t>L289C33</t>
  </si>
  <si>
    <t>L289C34</t>
  </si>
  <si>
    <t>L290C1</t>
  </si>
  <si>
    <t>L290C2</t>
  </si>
  <si>
    <t>L291C1</t>
  </si>
  <si>
    <t>L291C2</t>
  </si>
  <si>
    <t>L291C8</t>
  </si>
  <si>
    <t>L291C31</t>
  </si>
  <si>
    <t>L291C32</t>
  </si>
  <si>
    <t>L291C33</t>
  </si>
  <si>
    <t>L291C34</t>
  </si>
  <si>
    <t>L292C1</t>
  </si>
  <si>
    <t>L292C2</t>
  </si>
  <si>
    <t>L292C7</t>
  </si>
  <si>
    <t>L293C1</t>
  </si>
  <si>
    <t>L293C2</t>
  </si>
  <si>
    <t>L294C1</t>
  </si>
  <si>
    <t>L294C2</t>
  </si>
  <si>
    <t>L294C8</t>
  </si>
  <si>
    <t>L294C31</t>
  </si>
  <si>
    <t>L294C32</t>
  </si>
  <si>
    <t>L294C33</t>
  </si>
  <si>
    <t>L294C34</t>
  </si>
  <si>
    <t>L295C1</t>
  </si>
  <si>
    <t>L295C2</t>
  </si>
  <si>
    <t>L295C8</t>
  </si>
  <si>
    <t>L295C31</t>
  </si>
  <si>
    <t>L295C32</t>
  </si>
  <si>
    <t>L295C33</t>
  </si>
  <si>
    <t>L295C34</t>
  </si>
  <si>
    <t>L296C1</t>
  </si>
  <si>
    <t>L296C2</t>
  </si>
  <si>
    <t>L296C8</t>
  </si>
  <si>
    <t>L296C31</t>
  </si>
  <si>
    <t>L296C32</t>
  </si>
  <si>
    <t>L296C33</t>
  </si>
  <si>
    <t>L296C34</t>
  </si>
  <si>
    <t>L297C1</t>
  </si>
  <si>
    <t>L297C2</t>
  </si>
  <si>
    <t>L297C8</t>
  </si>
  <si>
    <t>L297C31</t>
  </si>
  <si>
    <t>L297C32</t>
  </si>
  <si>
    <t>L297C33</t>
  </si>
  <si>
    <t>L297C34</t>
  </si>
  <si>
    <t>L298C1</t>
  </si>
  <si>
    <t>L298C2</t>
  </si>
  <si>
    <t>L298C7</t>
  </si>
  <si>
    <t>L298C8</t>
  </si>
  <si>
    <t>L298C31</t>
  </si>
  <si>
    <t>L298C32</t>
  </si>
  <si>
    <t>L298C33</t>
  </si>
  <si>
    <t>L298C34</t>
  </si>
  <si>
    <t>L299C1</t>
  </si>
  <si>
    <t>L299C2</t>
  </si>
  <si>
    <t>L300C1</t>
  </si>
  <si>
    <t>L300C2</t>
  </si>
  <si>
    <t>L301C1</t>
  </si>
  <si>
    <t>L301C2</t>
  </si>
  <si>
    <t>L301C8</t>
  </si>
  <si>
    <t>L301C31</t>
  </si>
  <si>
    <t>L301C32</t>
  </si>
  <si>
    <t>L301C33</t>
  </si>
  <si>
    <t>L301C34</t>
  </si>
  <si>
    <t>L302C1</t>
  </si>
  <si>
    <t>L302C2</t>
  </si>
  <si>
    <t>L303C1</t>
  </si>
  <si>
    <t>L303C2</t>
  </si>
  <si>
    <t>L303C8</t>
  </si>
  <si>
    <t>L303C31</t>
  </si>
  <si>
    <t>L303C32</t>
  </si>
  <si>
    <t>L303C33</t>
  </si>
  <si>
    <t>L303C34</t>
  </si>
  <si>
    <t>L304C1</t>
  </si>
  <si>
    <t>L304C2</t>
  </si>
  <si>
    <t>L305C1</t>
  </si>
  <si>
    <t>L305C2</t>
  </si>
  <si>
    <t>L306C1</t>
  </si>
  <si>
    <t>L306C2</t>
  </si>
  <si>
    <t>L307C1</t>
  </si>
  <si>
    <t>L307C2</t>
  </si>
  <si>
    <t>L308C1</t>
  </si>
  <si>
    <t>L308C2</t>
  </si>
  <si>
    <t>L308C7</t>
  </si>
  <si>
    <t>L308C8</t>
  </si>
  <si>
    <t>L308C31</t>
  </si>
  <si>
    <t>L308C32</t>
  </si>
  <si>
    <t>L308C33</t>
  </si>
  <si>
    <t>L308C34</t>
  </si>
  <si>
    <t>L309C1</t>
  </si>
  <si>
    <t>L309C2</t>
  </si>
  <si>
    <t>L309C7</t>
  </si>
  <si>
    <t>L309C8</t>
  </si>
  <si>
    <t>L309C31</t>
  </si>
  <si>
    <t>L309C32</t>
  </si>
  <si>
    <t>L309C33</t>
  </si>
  <si>
    <t>L309C34</t>
  </si>
  <si>
    <t>L310C1</t>
  </si>
  <si>
    <t>L310C2</t>
  </si>
  <si>
    <t>L310C7</t>
  </si>
  <si>
    <t>L310C8</t>
  </si>
  <si>
    <t>L310C31</t>
  </si>
  <si>
    <t>L310C32</t>
  </si>
  <si>
    <t>L310C33</t>
  </si>
  <si>
    <t>L310C34</t>
  </si>
  <si>
    <t>L311C1</t>
  </si>
  <si>
    <t>L311C2</t>
  </si>
  <si>
    <t>L311C8</t>
  </si>
  <si>
    <t>L311C31</t>
  </si>
  <si>
    <t>L311C32</t>
  </si>
  <si>
    <t>L311C33</t>
  </si>
  <si>
    <t>L311C34</t>
  </si>
  <si>
    <t>L312C1</t>
  </si>
  <si>
    <t>L312C2</t>
  </si>
  <si>
    <t>L312C7</t>
  </si>
  <si>
    <t>L312C8</t>
  </si>
  <si>
    <t>L312C31</t>
  </si>
  <si>
    <t>L312C32</t>
  </si>
  <si>
    <t>L312C33</t>
  </si>
  <si>
    <t>L312C34</t>
  </si>
  <si>
    <t>L313C1</t>
  </si>
  <si>
    <t>L313C2</t>
  </si>
  <si>
    <t>L314C1</t>
  </si>
  <si>
    <t>L314C2</t>
  </si>
  <si>
    <t>L314C8</t>
  </si>
  <si>
    <t>L314C31</t>
  </si>
  <si>
    <t>L314C32</t>
  </si>
  <si>
    <t>L314C33</t>
  </si>
  <si>
    <t>L314C34</t>
  </si>
  <si>
    <t>L315C1</t>
  </si>
  <si>
    <t>L315C2</t>
  </si>
  <si>
    <t>L315C8</t>
  </si>
  <si>
    <t>L315C31</t>
  </si>
  <si>
    <t>L315C32</t>
  </si>
  <si>
    <t>L315C33</t>
  </si>
  <si>
    <t>L315C34</t>
  </si>
  <si>
    <t>L316C1</t>
  </si>
  <si>
    <t>L316C2</t>
  </si>
  <si>
    <t>L317C1</t>
  </si>
  <si>
    <t>L317C2</t>
  </si>
  <si>
    <t>L318C1</t>
  </si>
  <si>
    <t>L318C2</t>
  </si>
  <si>
    <t>L318C8</t>
  </si>
  <si>
    <t>L318C31</t>
  </si>
  <si>
    <t>L318C32</t>
  </si>
  <si>
    <t>L318C33</t>
  </si>
  <si>
    <t>L318C34</t>
  </si>
  <si>
    <t>L319C1</t>
  </si>
  <si>
    <t>L319C2</t>
  </si>
  <si>
    <t>L319C7</t>
  </si>
  <si>
    <t>L319C8</t>
  </si>
  <si>
    <t>L319C31</t>
  </si>
  <si>
    <t>L319C32</t>
  </si>
  <si>
    <t>L319C33</t>
  </si>
  <si>
    <t>L319C34</t>
  </si>
  <si>
    <t>L50C2</t>
  </si>
  <si>
    <t>L50C10</t>
  </si>
  <si>
    <t>L52C2</t>
  </si>
  <si>
    <t>L25C8</t>
  </si>
  <si>
    <t>L25C31</t>
  </si>
  <si>
    <t>L25C32</t>
  </si>
  <si>
    <t>L25C33</t>
  </si>
  <si>
    <t>L25C34</t>
  </si>
  <si>
    <t>L26C8</t>
  </si>
  <si>
    <t>L26C31</t>
  </si>
  <si>
    <t>L26C32</t>
  </si>
  <si>
    <t>L26C33</t>
  </si>
  <si>
    <t>L26C34</t>
  </si>
  <si>
    <t>L29C10</t>
  </si>
  <si>
    <t>L34C8</t>
  </si>
  <si>
    <t>L34C31</t>
  </si>
  <si>
    <t>L34C32</t>
  </si>
  <si>
    <t>L34C33</t>
  </si>
  <si>
    <t>L34C34</t>
  </si>
  <si>
    <t>L35C7</t>
  </si>
  <si>
    <t>L35C8</t>
  </si>
  <si>
    <t>L35C31</t>
  </si>
  <si>
    <t>L35C32</t>
  </si>
  <si>
    <t>L35C33</t>
  </si>
  <si>
    <t>L35C34</t>
  </si>
  <si>
    <t>L37C2</t>
  </si>
  <si>
    <t>L37C10</t>
  </si>
  <si>
    <t>L38C2</t>
  </si>
  <si>
    <t>L46C10</t>
  </si>
  <si>
    <t>L4C12</t>
  </si>
  <si>
    <t>L4C13</t>
  </si>
  <si>
    <t>L4C14</t>
  </si>
  <si>
    <t>L4C15</t>
  </si>
  <si>
    <t>L26C2</t>
  </si>
  <si>
    <t>L26C3</t>
  </si>
  <si>
    <t>L27C2</t>
  </si>
  <si>
    <t>L27C3</t>
  </si>
  <si>
    <t>L27C8</t>
  </si>
  <si>
    <t>L27C10</t>
  </si>
  <si>
    <t>L28C2</t>
  </si>
  <si>
    <t>L28C3</t>
  </si>
  <si>
    <t>L29C2</t>
  </si>
  <si>
    <t>L29C3</t>
  </si>
  <si>
    <t>L29C8</t>
  </si>
  <si>
    <t>L30C2</t>
  </si>
  <si>
    <t>L30C3</t>
  </si>
  <si>
    <t>L30C8</t>
  </si>
  <si>
    <t>L30C10</t>
  </si>
  <si>
    <t>L31C2</t>
  </si>
  <si>
    <t>L31C3</t>
  </si>
  <si>
    <t>L31C15</t>
  </si>
  <si>
    <t>L32C2</t>
  </si>
  <si>
    <t>L32C3</t>
  </si>
  <si>
    <t>L32C15</t>
  </si>
  <si>
    <t>L33C2</t>
  </si>
  <si>
    <t>L33C3</t>
  </si>
  <si>
    <t>L33C8</t>
  </si>
  <si>
    <t>L33C10</t>
  </si>
  <si>
    <t>L33C13</t>
  </si>
  <si>
    <t>L34C2</t>
  </si>
  <si>
    <t>L34C3</t>
  </si>
  <si>
    <t>L34C10</t>
  </si>
  <si>
    <t>L35C2</t>
  </si>
  <si>
    <t>L35C3</t>
  </si>
  <si>
    <t>L36C2</t>
  </si>
  <si>
    <t>L36C3</t>
  </si>
  <si>
    <t>L37C3</t>
  </si>
  <si>
    <t>L38C3</t>
  </si>
  <si>
    <t>L39C1</t>
  </si>
  <si>
    <t>L39C2</t>
  </si>
  <si>
    <t>L39C3</t>
  </si>
  <si>
    <t>L39C4</t>
  </si>
  <si>
    <t>L39C5</t>
  </si>
  <si>
    <t>L39C6</t>
  </si>
  <si>
    <t>L39C7</t>
  </si>
  <si>
    <t>L39C8</t>
  </si>
  <si>
    <t>L39C10</t>
  </si>
  <si>
    <t>L40C1</t>
  </si>
  <si>
    <t>L40C2</t>
  </si>
  <si>
    <t>L40C4</t>
  </si>
  <si>
    <t>L40C5</t>
  </si>
  <si>
    <t>L40C6</t>
  </si>
  <si>
    <t>L40C7</t>
  </si>
  <si>
    <t>L41C2</t>
  </si>
  <si>
    <t>L41C3</t>
  </si>
  <si>
    <t>L41C8</t>
  </si>
  <si>
    <t>L41C10</t>
  </si>
  <si>
    <t>L42C2</t>
  </si>
  <si>
    <t>L42C3</t>
  </si>
  <si>
    <t>L42C13</t>
  </si>
  <si>
    <t>L43C2</t>
  </si>
  <si>
    <t>L43C3</t>
  </si>
  <si>
    <t>L43C13</t>
  </si>
  <si>
    <t>L43C14</t>
  </si>
  <si>
    <t>L44C2</t>
  </si>
  <si>
    <t>L44C3</t>
  </si>
  <si>
    <t>L44C13</t>
  </si>
  <si>
    <t>L44C14</t>
  </si>
  <si>
    <t>L45C2</t>
  </si>
  <si>
    <t>L45C3</t>
  </si>
  <si>
    <t>L45C8</t>
  </si>
  <si>
    <t>L45C10</t>
  </si>
  <si>
    <t>L46C2</t>
  </si>
  <si>
    <t>L46C3</t>
  </si>
  <si>
    <t>L46C8</t>
  </si>
  <si>
    <t>L47C2</t>
  </si>
  <si>
    <t>L47C3</t>
  </si>
  <si>
    <t>L47C13</t>
  </si>
  <si>
    <t>L48C2</t>
  </si>
  <si>
    <t>L48C3</t>
  </si>
  <si>
    <t>L48C13</t>
  </si>
  <si>
    <t>L48C14</t>
  </si>
  <si>
    <t>L49C2</t>
  </si>
  <si>
    <t>L49C3</t>
  </si>
  <si>
    <t>L49C12</t>
  </si>
  <si>
    <t>L49C13</t>
  </si>
  <si>
    <t>L50C3</t>
  </si>
  <si>
    <t>L51C2</t>
  </si>
  <si>
    <t>L51C3</t>
  </si>
  <si>
    <t>L51C8</t>
  </si>
  <si>
    <t>L51C10</t>
  </si>
  <si>
    <t>L52C3</t>
  </si>
  <si>
    <t>L52C8</t>
  </si>
  <si>
    <t>L52C10</t>
  </si>
  <si>
    <t>L53C2</t>
  </si>
  <si>
    <t>L53C3</t>
  </si>
  <si>
    <t>L54C3</t>
  </si>
  <si>
    <t>L54C15</t>
  </si>
  <si>
    <t>L55C2</t>
  </si>
  <si>
    <t>L55C3</t>
  </si>
  <si>
    <t>L56C2</t>
  </si>
  <si>
    <t>L56C3</t>
  </si>
  <si>
    <t>L56C13</t>
  </si>
  <si>
    <t>L56C15</t>
  </si>
  <si>
    <t>L57C2</t>
  </si>
  <si>
    <t>L57C3</t>
  </si>
  <si>
    <t>L57C8</t>
  </si>
  <si>
    <t>L57C10</t>
  </si>
  <si>
    <t>L58C2</t>
  </si>
  <si>
    <t>L58C3</t>
  </si>
  <si>
    <t>L58C8</t>
  </si>
  <si>
    <t>L58C10</t>
  </si>
  <si>
    <t>L59C2</t>
  </si>
  <si>
    <t>L59C3</t>
  </si>
  <si>
    <t>L59C13</t>
  </si>
  <si>
    <t>L60C2</t>
  </si>
  <si>
    <t>L60C3</t>
  </si>
  <si>
    <t>L60C13</t>
  </si>
  <si>
    <t>L61C2</t>
  </si>
  <si>
    <t>L61C3</t>
  </si>
  <si>
    <t>L61C12</t>
  </si>
  <si>
    <t>L62C2</t>
  </si>
  <si>
    <t>L62C3</t>
  </si>
  <si>
    <t>L62C8</t>
  </si>
  <si>
    <t>L62C10</t>
  </si>
  <si>
    <t>L62C13</t>
  </si>
  <si>
    <t>L63C2</t>
  </si>
  <si>
    <t>L63C3</t>
  </si>
  <si>
    <t>L63C8</t>
  </si>
  <si>
    <t>L63C10</t>
  </si>
  <si>
    <t>L64C2</t>
  </si>
  <si>
    <t>L64C3</t>
  </si>
  <si>
    <t>L65C2</t>
  </si>
  <si>
    <t>L65C3</t>
  </si>
  <si>
    <t>L65C13</t>
  </si>
  <si>
    <t>L66C2</t>
  </si>
  <si>
    <t>L66C3</t>
  </si>
  <si>
    <t>L67C1</t>
  </si>
  <si>
    <t>L67C2</t>
  </si>
  <si>
    <t>L67C3</t>
  </si>
  <si>
    <t>L67C4</t>
  </si>
  <si>
    <t>L67C5</t>
  </si>
  <si>
    <t>L67C6</t>
  </si>
  <si>
    <t>L67C7</t>
  </si>
  <si>
    <t>L67C8</t>
  </si>
  <si>
    <t>L67C10</t>
  </si>
  <si>
    <t>L68C1</t>
  </si>
  <si>
    <t>L68C2</t>
  </si>
  <si>
    <t>L68C7</t>
  </si>
  <si>
    <t>L68C10</t>
  </si>
  <si>
    <t>L69C2</t>
  </si>
  <si>
    <t>L69C3</t>
  </si>
  <si>
    <t>L69C8</t>
  </si>
  <si>
    <t>L70C2</t>
  </si>
  <si>
    <t>L70C3</t>
  </si>
  <si>
    <t>L71C2</t>
  </si>
  <si>
    <t>L71C3</t>
  </si>
  <si>
    <t>L72C2</t>
  </si>
  <si>
    <t>L72C3</t>
  </si>
  <si>
    <t>L73C2</t>
  </si>
  <si>
    <t>L73C3</t>
  </si>
  <si>
    <t>L73C13</t>
  </si>
  <si>
    <t>L74C2</t>
  </si>
  <si>
    <t>L74C3</t>
  </si>
  <si>
    <t>L75C2</t>
  </si>
  <si>
    <t>L75C3</t>
  </si>
  <si>
    <t>L75C13</t>
  </si>
  <si>
    <t>L76C2</t>
  </si>
  <si>
    <t>L76C3</t>
  </si>
  <si>
    <t>L76C13</t>
  </si>
  <si>
    <t>L77C2</t>
  </si>
  <si>
    <t>L77C3</t>
  </si>
  <si>
    <t>L78C2</t>
  </si>
  <si>
    <t>L78C3</t>
  </si>
  <si>
    <t>L78C8</t>
  </si>
  <si>
    <t>L78C10</t>
  </si>
  <si>
    <t>L78C13</t>
  </si>
  <si>
    <t>L79C2</t>
  </si>
  <si>
    <t>L79C3</t>
  </si>
  <si>
    <t>L79C8</t>
  </si>
  <si>
    <t>L80C2</t>
  </si>
  <si>
    <t>L80C3</t>
  </si>
  <si>
    <t>L80C8</t>
  </si>
  <si>
    <t>L81C2</t>
  </si>
  <si>
    <t>L81C3</t>
  </si>
  <si>
    <t>L81C8</t>
  </si>
  <si>
    <t>L82C1</t>
  </si>
  <si>
    <t>L82C2</t>
  </si>
  <si>
    <t>L82C3</t>
  </si>
  <si>
    <t>L82C4</t>
  </si>
  <si>
    <t>L82C5</t>
  </si>
  <si>
    <t>L82C6</t>
  </si>
  <si>
    <t>L82C7</t>
  </si>
  <si>
    <t>L82C8</t>
  </si>
  <si>
    <t>L82C10</t>
  </si>
  <si>
    <t>L82C15</t>
  </si>
  <si>
    <t>L83C1</t>
  </si>
  <si>
    <t>L83C2</t>
  </si>
  <si>
    <t>L83C7</t>
  </si>
  <si>
    <t>L84C2</t>
  </si>
  <si>
    <t>L84C3</t>
  </si>
  <si>
    <t>L84C8</t>
  </si>
  <si>
    <t>L84C10</t>
  </si>
  <si>
    <t>L85C2</t>
  </si>
  <si>
    <t>L85C3</t>
  </si>
  <si>
    <t>L86C3</t>
  </si>
  <si>
    <t>L87C3</t>
  </si>
  <si>
    <t>L88C3</t>
  </si>
  <si>
    <t>L89C3</t>
  </si>
  <si>
    <t>L90C3</t>
  </si>
  <si>
    <t>L91C3</t>
  </si>
  <si>
    <t>L92C3</t>
  </si>
  <si>
    <t>L93C3</t>
  </si>
  <si>
    <t>L94C3</t>
  </si>
  <si>
    <t>L95C3</t>
  </si>
  <si>
    <t>L96C3</t>
  </si>
  <si>
    <t>L97C3</t>
  </si>
  <si>
    <t>L98C8</t>
  </si>
  <si>
    <t>L99C8</t>
  </si>
  <si>
    <t>L99C10</t>
  </si>
  <si>
    <t>L101C8</t>
  </si>
  <si>
    <t>L108C8</t>
  </si>
  <si>
    <t>L133C8</t>
  </si>
  <si>
    <t>L134C8</t>
  </si>
  <si>
    <t>L137C8</t>
  </si>
  <si>
    <t>L137C10</t>
  </si>
  <si>
    <t>L138C8</t>
  </si>
  <si>
    <t>L141C8</t>
  </si>
  <si>
    <t>L142C8</t>
  </si>
  <si>
    <t>L145C8</t>
  </si>
  <si>
    <t>L146C8</t>
  </si>
  <si>
    <t>L148C8</t>
  </si>
  <si>
    <t>L150C10</t>
  </si>
  <si>
    <t>L152C8</t>
  </si>
  <si>
    <t>L153C2</t>
  </si>
  <si>
    <t>L153C8</t>
  </si>
  <si>
    <t>L154C2</t>
  </si>
  <si>
    <t>L156C2</t>
  </si>
  <si>
    <t>L157C2</t>
  </si>
  <si>
    <t>L158C2</t>
  </si>
  <si>
    <t>L159C2</t>
  </si>
  <si>
    <t>L159C8</t>
  </si>
  <si>
    <t>L160C2</t>
  </si>
  <si>
    <t>L160C8</t>
  </si>
  <si>
    <t>L161C2</t>
  </si>
  <si>
    <t>L162C1</t>
  </si>
  <si>
    <t>L162C2</t>
  </si>
  <si>
    <t>L162C7</t>
  </si>
  <si>
    <t>L162C8</t>
  </si>
  <si>
    <t>L162C10</t>
  </si>
  <si>
    <t>L163C1</t>
  </si>
  <si>
    <t>L163C2</t>
  </si>
  <si>
    <t>L163C7</t>
  </si>
  <si>
    <t>L164C2</t>
  </si>
  <si>
    <t>L164C8</t>
  </si>
  <si>
    <t>L165C2</t>
  </si>
  <si>
    <t>L166C2</t>
  </si>
  <si>
    <t>L167C2</t>
  </si>
  <si>
    <t>L167C8</t>
  </si>
  <si>
    <t>L168C2</t>
  </si>
  <si>
    <t>L168C8</t>
  </si>
  <si>
    <t>L169C2</t>
  </si>
  <si>
    <t>L170C2</t>
  </si>
  <si>
    <t>L171C2</t>
  </si>
  <si>
    <t>L172C2</t>
  </si>
  <si>
    <t>L173C2</t>
  </si>
  <si>
    <t>L174C2</t>
  </si>
  <si>
    <t>L175C2</t>
  </si>
  <si>
    <t>L176C2</t>
  </si>
  <si>
    <t>L177C1</t>
  </si>
  <si>
    <t>L177C2</t>
  </si>
  <si>
    <t>L177C8</t>
  </si>
  <si>
    <t>L178C1</t>
  </si>
  <si>
    <t>L178C2</t>
  </si>
  <si>
    <t>L178C7</t>
  </si>
  <si>
    <t>L179C2</t>
  </si>
  <si>
    <t>L179C8</t>
  </si>
  <si>
    <t>L180C2</t>
  </si>
  <si>
    <t>L181C2</t>
  </si>
  <si>
    <t>L182C2</t>
  </si>
  <si>
    <t>L183C2</t>
  </si>
  <si>
    <t>L184C2</t>
  </si>
  <si>
    <t>L184C8</t>
  </si>
  <si>
    <t>L185C2</t>
  </si>
  <si>
    <t>L185C8</t>
  </si>
  <si>
    <t>L186C2</t>
  </si>
  <si>
    <t>L187C2</t>
  </si>
  <si>
    <t>L188C2</t>
  </si>
  <si>
    <t>L189C2</t>
  </si>
  <si>
    <t>L189C8</t>
  </si>
  <si>
    <t>L190C2</t>
  </si>
  <si>
    <t>L191C2</t>
  </si>
  <si>
    <t>L192C2</t>
  </si>
  <si>
    <t>L10C1</t>
  </si>
  <si>
    <t>L10C2</t>
  </si>
  <si>
    <t>L11C1</t>
  </si>
  <si>
    <t>L11C2</t>
  </si>
  <si>
    <t>L12C10</t>
  </si>
  <si>
    <t>L13C1</t>
  </si>
  <si>
    <t>L13C2</t>
  </si>
  <si>
    <t>L13C7</t>
  </si>
  <si>
    <t>L13C10</t>
  </si>
  <si>
    <t>L14C1</t>
  </si>
  <si>
    <t>L14C2</t>
  </si>
  <si>
    <t>L14C7</t>
  </si>
  <si>
    <t>L15C7</t>
  </si>
  <si>
    <t>L15C8</t>
  </si>
  <si>
    <t>L16C1</t>
  </si>
  <si>
    <t>L16C2</t>
  </si>
  <si>
    <t>L16C7</t>
  </si>
  <si>
    <t>L16C10</t>
  </si>
  <si>
    <t>L17C1</t>
  </si>
  <si>
    <t>L17C2</t>
  </si>
  <si>
    <t>L17C10</t>
  </si>
  <si>
    <t>L18C7</t>
  </si>
  <si>
    <t>L18C10</t>
  </si>
  <si>
    <t>L19C1</t>
  </si>
  <si>
    <t>L19C2</t>
  </si>
  <si>
    <t>L20C7</t>
  </si>
  <si>
    <t>L20C10</t>
  </si>
  <si>
    <t>L21C7</t>
  </si>
  <si>
    <t>L24C7</t>
  </si>
  <si>
    <t>L25C7</t>
  </si>
  <si>
    <t>L26C7</t>
  </si>
  <si>
    <t>L27C7</t>
  </si>
  <si>
    <t>L28C1</t>
  </si>
  <si>
    <t>L29C1</t>
  </si>
  <si>
    <t>L4C2</t>
  </si>
  <si>
    <t>L5C2</t>
  </si>
  <si>
    <t>max(min(2D01,2D02,2D04),2E01)</t>
  </si>
  <si>
    <t>AH.P.Fal</t>
  </si>
  <si>
    <t>2E05</t>
  </si>
  <si>
    <t>Le local de tri et de répartition du courrier (arrivée et départ) est-il fermé à clé en dehors des heures où le personnel y travaille ?</t>
  </si>
  <si>
    <t>Le circuit de distribution du courrier assure-t-il que seul le service destinataire peut y avoir accès (casiers fermés à clé, distribution directe et remise en main propre, etc.) ?</t>
  </si>
  <si>
    <t>Dans les services utilisateurs, les courriers non clos en attente (de distribution ou de départ) sont-ils tenus à l'abri de toute indiscrétion ?</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</si>
  <si>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</si>
  <si>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</si>
  <si>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</si>
  <si>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2E05-01</t>
  </si>
  <si>
    <t>2E05-02</t>
  </si>
  <si>
    <t>2E05-03</t>
  </si>
  <si>
    <t>2E05-04</t>
  </si>
  <si>
    <t>2E05-05</t>
  </si>
  <si>
    <t>2E05-06</t>
  </si>
  <si>
    <t>2E05-07</t>
  </si>
  <si>
    <t>Ce service de chiffrement s'applique-t-il aux pièces jointes ?</t>
  </si>
  <si>
    <t>6B03-09</t>
  </si>
  <si>
    <t>Emission de faux courriel</t>
  </si>
  <si>
    <t>Captation ou diffusion volontaire de courriel</t>
  </si>
  <si>
    <t>Diffusion accidentelle de courriel</t>
  </si>
  <si>
    <t>Indisponibilité d'archives, patrimoniales, documentaires ou informatiques</t>
  </si>
  <si>
    <t>4F01-12</t>
  </si>
  <si>
    <t>Divulgation d'archives, patrimoniales, documentaires ou informatiques</t>
  </si>
  <si>
    <t>indisponibilité de données publiées sur un site public ou interne</t>
  </si>
  <si>
    <t>5A05</t>
  </si>
  <si>
    <t>Surveillance des informations publiées sur un site web ou interne</t>
  </si>
  <si>
    <t>Tableau des actifs support</t>
  </si>
  <si>
    <t>Nom</t>
  </si>
  <si>
    <t>Types d'actifs support</t>
  </si>
  <si>
    <t>Mettre un 0 dans la colonne sélection pour ne pas sélectionner un actif support</t>
  </si>
  <si>
    <t>Eléménts immatériels 
de type "données"</t>
  </si>
  <si>
    <t>Fic</t>
  </si>
  <si>
    <t xml:space="preserve">Fichier ou base de données </t>
  </si>
  <si>
    <t>Coe</t>
  </si>
  <si>
    <t>Courriel en transit</t>
  </si>
  <si>
    <t>Eléments matériels supports de données (ou d'information)</t>
  </si>
  <si>
    <t>Med</t>
  </si>
  <si>
    <t>Media support de données</t>
  </si>
  <si>
    <t>Doc</t>
  </si>
  <si>
    <t>Cop</t>
  </si>
  <si>
    <t>Courrier en transit</t>
  </si>
  <si>
    <t>Eléments immatériels de type "services"</t>
  </si>
  <si>
    <t>Configuration systèmes et applications</t>
  </si>
  <si>
    <t xml:space="preserve">Eléments matériels supports de services </t>
  </si>
  <si>
    <t>Equipement de l'Infrastructure informatique</t>
  </si>
  <si>
    <t>Env</t>
  </si>
  <si>
    <t>Environnement de travail et équipement des utilisateurs</t>
  </si>
  <si>
    <t>Msl</t>
  </si>
  <si>
    <t>Media support de logiciel</t>
  </si>
  <si>
    <t>Eléments immatériels de type "processus"</t>
  </si>
  <si>
    <r>
      <rPr>
        <sz val="11"/>
        <rFont val="Times New Roman"/>
        <family val="1"/>
      </rPr>
      <t xml:space="preserve"> </t>
    </r>
    <r>
      <rPr>
        <sz val="11"/>
        <rFont val="Arial"/>
        <family val="2"/>
      </rPr>
      <t>Procédure support des processus</t>
    </r>
  </si>
  <si>
    <t>Tableau d'analyse  des types de dommages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</si>
  <si>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</si>
  <si>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Critère de sécurité impacté</t>
  </si>
  <si>
    <t>Type de conséquence</t>
  </si>
  <si>
    <t>Type de dommage</t>
  </si>
  <si>
    <t>Mettre un 0 dans la colonne sélection pour ne pas sélectionner un dommage</t>
  </si>
  <si>
    <t>Inac</t>
  </si>
  <si>
    <t>L'élément est introuvable : absence d'adresse, adresse fausse ou service assurant l'adressage indisponible</t>
  </si>
  <si>
    <t>Disp</t>
  </si>
  <si>
    <t>L'élément est absent là où on le cherche (et pour un prestataire, il n'est plus opérationnel)</t>
  </si>
  <si>
    <t>Endp</t>
  </si>
  <si>
    <t>Endommagement physique</t>
  </si>
  <si>
    <t>Endommagement physique (détecté) rendant l'élément matériel non fonctionnel</t>
  </si>
  <si>
    <t>Endl</t>
  </si>
  <si>
    <t>Endommagement logique(détecté) rendant l'élément non fonctionnel (programmes non fonctionnels, données incohérentes)</t>
  </si>
  <si>
    <t>Inop</t>
  </si>
  <si>
    <t>Inopérabilité</t>
  </si>
  <si>
    <t>L'élément reste, en lui même, fonctionnel mais ne peut être mis en opération pour des raisons exogènes (absence de personnel, de service indispensable au fonctionnement, etc.)</t>
  </si>
  <si>
    <t>Inex</t>
  </si>
  <si>
    <t>Défaut d'intégrité</t>
  </si>
  <si>
    <t>Altd</t>
  </si>
  <si>
    <t>Altération (non détectée) de donnée</t>
  </si>
  <si>
    <t>Altf</t>
  </si>
  <si>
    <t>Altération (non détectée) de fonction</t>
  </si>
  <si>
    <t>Tout ou partie des fonctionnalités ont été corrompues de manière accidentelle ou malveillante (fonctions logicielles, matérielles ou paramètres de fonctionnement)</t>
  </si>
  <si>
    <t>Inco</t>
  </si>
  <si>
    <t>Incohérence (non détectée) de données</t>
  </si>
  <si>
    <t>L'ensemble de données comporte des incohérences</t>
  </si>
  <si>
    <t>Un élément nouveau et illégitime a été émis</t>
  </si>
  <si>
    <t>Dive</t>
  </si>
  <si>
    <t>Efficience des processus</t>
  </si>
  <si>
    <t>Napp</t>
  </si>
  <si>
    <t>Non application de la procédure adaptée</t>
  </si>
  <si>
    <t>Les procédures adéquates n'ont pas été suivies par le personnel (par ignorance ou volontairement)</t>
  </si>
  <si>
    <t>Altération de données publiées sur un site public ou interne</t>
  </si>
  <si>
    <t>indisponibilité de données externalisées</t>
  </si>
  <si>
    <t>3A04-24</t>
  </si>
  <si>
    <t>L'ensemble des dispositions prises pour le contrôle des accès s'applique-t-il aussi pour l'accès aux données externalisées ?</t>
  </si>
  <si>
    <t>Falsification de données externalisées</t>
  </si>
  <si>
    <t>Divulgation de données externalisées</t>
  </si>
  <si>
    <t>Indisponibilité de service applicatif</t>
  </si>
  <si>
    <t>2D05</t>
  </si>
  <si>
    <t>A-t-on fait une étude avec les utilisateurs concernés afin de définir la durée maximale admissible entre deux sauvegardes ?</t>
  </si>
  <si>
    <t>6B07</t>
  </si>
  <si>
    <t>L'ensemble des procédures et plans de sauvegarde des configurations métiers fait-il l'objet d'un audit régulier ?</t>
  </si>
  <si>
    <t>6B07-01</t>
  </si>
  <si>
    <t>6B07-02</t>
  </si>
  <si>
    <t>6B07-03</t>
  </si>
  <si>
    <t>6B07-04</t>
  </si>
  <si>
    <t>6B07-05</t>
  </si>
  <si>
    <t>6B07-06</t>
  </si>
  <si>
    <t>6B07-07</t>
  </si>
  <si>
    <t>6B07-08</t>
  </si>
  <si>
    <t>6B07-09</t>
  </si>
  <si>
    <t>6B07-10</t>
  </si>
  <si>
    <t>6B07-11</t>
  </si>
  <si>
    <t>Absence de personnel ou de partenaire nécessaire à la mise ou au maintien en opération</t>
  </si>
  <si>
    <t>Maintien des moyens nécessaires à la mise en opération des applications critiques</t>
  </si>
  <si>
    <t>5D04</t>
  </si>
  <si>
    <t>Ces solutions de secours et leur mise en œuvre garantissent-elles la satisfaction de performances minimales validées avec les utilisateurs?</t>
  </si>
  <si>
    <t>Ces solutions de secours ont-elles été validées, par des essais en vraie grandeur, avec les utilisateurs?</t>
  </si>
  <si>
    <t>5D04-01</t>
  </si>
  <si>
    <t>5D04-02</t>
  </si>
  <si>
    <t>5D04-03</t>
  </si>
  <si>
    <t>5D04-04</t>
  </si>
  <si>
    <t>5D04-05</t>
  </si>
  <si>
    <t>5D04-06</t>
  </si>
  <si>
    <t>Le maintien de l'ensemble des moyens nécessaires à la mise en opérations des applications critiques fait-il l'objet d'un audit régulier ?</t>
  </si>
  <si>
    <t>Défaut dans la gestion des évolutions rendant les logiciels non fonctionnels</t>
  </si>
  <si>
    <t>Bug bloquant dû à une erreur de conception ou d'écriture de programme (interne)</t>
  </si>
  <si>
    <t>Maintient-on un contrôle des versions à chaque mise à jour et une trace de tous les changements et évolutions ?</t>
  </si>
  <si>
    <t>7B02-07</t>
  </si>
  <si>
    <t>Procède-t-on à un test de bon fonctionnement des applications critiques après toute évolution système ou de logiciel de couche intermédiaire (middleware) ?</t>
  </si>
  <si>
    <t>Falsification ou altération de fonctionnalités logicielles (altération détectée)</t>
  </si>
  <si>
    <t>4A14-07</t>
  </si>
  <si>
    <t>max(2E01,min(2D01,2D02))</t>
  </si>
  <si>
    <t>Absence de matériel adapté ou incompatibilité de systèmes de lecture du media</t>
  </si>
  <si>
    <t>Absence de personnel ou de partenaire critique</t>
  </si>
  <si>
    <t>Absence de services généraux (Energie, climatisation, etc.)</t>
  </si>
  <si>
    <t>Panne ou défaillance d'équipement</t>
  </si>
  <si>
    <t>max(1E01,1E03)</t>
  </si>
  <si>
    <t>Y a-t-il un système de redondance ou des solutions de secours pour les équipements de servitude critiques ?</t>
  </si>
  <si>
    <t>Teste-t-on régulièrement la capacité des systèmes de secours à assurer la charge prévue (les délestages éventuels ayant été effectués) ?</t>
  </si>
  <si>
    <t>Les systèmes de secours sont-ils équipés d'un système de contrôle signalant à une équipe d'intervention toute indisponibilité partielle ou inhibition d'équipement (mise hors service des équipements de secours, arrêt des systèmes de détection et de commutation, etc.) ?</t>
  </si>
  <si>
    <t>2C02-09</t>
  </si>
  <si>
    <t>2C02-10</t>
  </si>
  <si>
    <t>2C02-11</t>
  </si>
  <si>
    <t>Saturation malveillante d'équipements informatiques ou réseaux ou blocage système (virus, ransomware, etc.)</t>
  </si>
  <si>
    <t>Indisponibilité massive d'équipements des utilisateurs, due à un logiciel malveillant (virus, rançongiciel, etc.)</t>
  </si>
  <si>
    <t>Sauvegarde des configurations des postes de travail des utilisateurs</t>
  </si>
  <si>
    <t xml:space="preserve">A-t-on établi un plan de sauvegarde pour les postes de travail des utilisateurs, couvrant les configurations (programmes et paramètres de configuration) à sauvegarder et la fréquence des sauvegardes ? </t>
  </si>
  <si>
    <t>Défaut d'intégrité de service applicatif</t>
  </si>
  <si>
    <t>max(3A07,4B01)</t>
  </si>
  <si>
    <t>max(min(2D01,2D02),6A01)</t>
  </si>
  <si>
    <t>Utilise-t-on un outil ou une application permettant de journaliser et d'enregistrer toutes les modifications apportées aux programmes  ?</t>
  </si>
  <si>
    <t>Le stockage des fichiers et médias supports de  programmes est-il centralisé si possible en dehors de l'environnement de production ?</t>
  </si>
  <si>
    <t>Une copie de secours des programmes est-elle assurée en dehors et à grande distance du site principal de stockage ?</t>
  </si>
  <si>
    <t>Utilise-t-on des moyens (signature électronique) capables de garantir l'intégrité des programmes  ?</t>
  </si>
  <si>
    <t>Les listings des programmes sont-ils conservés dans un lieu sécurisé avec journalisation des accès ?</t>
  </si>
  <si>
    <t xml:space="preserve">Protection des programmes </t>
  </si>
  <si>
    <t>Divulgation de code de programme applicatif</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</si>
  <si>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ou à des programmes sensibles ?</t>
  </si>
  <si>
    <t>Indisponibilité de service externalisé</t>
  </si>
  <si>
    <t>3C01-05</t>
  </si>
  <si>
    <t>Cette architecture permet-elle le rechargement de tout élément logiciel ou de configuration à partir de sauvegardes validées ?</t>
  </si>
  <si>
    <t>4C01-10</t>
  </si>
  <si>
    <t>4C01-11</t>
  </si>
  <si>
    <t>4C01-12</t>
  </si>
  <si>
    <t>4C01-13</t>
  </si>
  <si>
    <t>4C01-14</t>
  </si>
  <si>
    <t>Maintien des comptes d'accès aux services externalisés</t>
  </si>
  <si>
    <t>A-t-on défini, avec les utilisateurs, les délais maximum admissibles pour le rétablissement de leurs droits, en cas de blocage, accidentel ou non, de leurs comptes d'accès aux services externalisés ?</t>
  </si>
  <si>
    <t>Cette procédure est-elle contractuelle et a-t-elle été validée avec chaque fournisseur de service externalisé ?</t>
  </si>
  <si>
    <r>
      <t xml:space="preserve">Existe-t-il un document (ou un ensemble de documents) ou une procédure opérationnelle spécifiant l'ensemble des paramètres de sécurité des systèmes  et des applications?
</t>
    </r>
    <r>
      <rPr>
        <i/>
        <sz val="8"/>
        <rFont val="Arial"/>
        <family val="2"/>
      </rPr>
      <t>Un tel document doit découler de la politique de sécurité et décrire l'ensemble des règles de filtrage décidées. Il devrait également contenir les références des versions de systèmes et des applications pour pouvoir vérifier l'état des mises à jour.</t>
    </r>
  </si>
  <si>
    <r>
      <t xml:space="preserve">Les versions de systèmes et applicatifs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</si>
  <si>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t>4B01-12</t>
  </si>
  <si>
    <t xml:space="preserve">Paramétrage des systèmes et applications et contrôle de la conformité </t>
  </si>
  <si>
    <t>Défaut d'intégrité de service externalisé</t>
  </si>
  <si>
    <t>Indisponibilité de service de publication (sur le web ou un site interne)</t>
  </si>
  <si>
    <t>Défaut d'intégrité de service de publication (sur le web ou un site interne)</t>
  </si>
  <si>
    <t>Efficience des processus de gestion de la conformité (aux exigences légales ou contractuelles)</t>
  </si>
  <si>
    <t>Mise en place des processus et procédures adaptés aux exigences légales ou contractuelles</t>
  </si>
  <si>
    <t>A-t-on analysé les conditions nécessaires à la mise en œuvre des processus et procédures de respect des exigences légales et contractuelles ?</t>
  </si>
  <si>
    <t>La permanence des moyens nécessaires à l'application des processus et procédures de respect des exigences légales et contractuelles fait-elle l'objet d'un audit régulier ?</t>
  </si>
  <si>
    <t>8A01-05</t>
  </si>
  <si>
    <t>8A01-06</t>
  </si>
  <si>
    <t>8A01-07</t>
  </si>
  <si>
    <t>8A01-08</t>
  </si>
  <si>
    <t>8A01-09</t>
  </si>
  <si>
    <t>8A01-10</t>
  </si>
  <si>
    <t>8A01-11</t>
  </si>
  <si>
    <t>8A02-02</t>
  </si>
  <si>
    <t>8A02-03</t>
  </si>
  <si>
    <t>8A02-04</t>
  </si>
  <si>
    <t>Supervision des processus et procédures adaptés aux exigences légales et contractuelles</t>
  </si>
  <si>
    <t>Est-il disponible en permanence durant les heures ouvrables pour répondre aux demandes des utilisateurs ?</t>
  </si>
  <si>
    <t>Existe-t-il un organisme ou un service de supervision des processus et procédures adaptés aux exigences légales et contractuelles ?</t>
  </si>
  <si>
    <t>Cet organisme a-t-il la charge de répondre aux utilisateurs en cas de doute sur une procédure ?</t>
  </si>
  <si>
    <t>L'existence de cet organisme est-elle mise en lumière durant la formation des utilisateurs?</t>
  </si>
  <si>
    <t>8A03-03</t>
  </si>
  <si>
    <t>8A03-04</t>
  </si>
  <si>
    <t>8B01-06</t>
  </si>
  <si>
    <t>8B01-07</t>
  </si>
  <si>
    <t>8B01-08</t>
  </si>
  <si>
    <t>8B01-09</t>
  </si>
  <si>
    <t>8B01-10</t>
  </si>
  <si>
    <t>8B01-11</t>
  </si>
  <si>
    <t>8B03-04</t>
  </si>
  <si>
    <t>Mise en place des processus et procédures adaptés aux règles de gouvernance et de prise de décision</t>
  </si>
  <si>
    <t>Existe-t-il un programme de formation et de sensibilisation aux processus de respect des règles de gouvernance et de prise de décision ?</t>
  </si>
  <si>
    <t xml:space="preserve">Lors de l'arrivée de nouveaux employés, des formations obligatoires encadrent-elles le respect des règles de gouvernance et de prise de décision  ? </t>
  </si>
  <si>
    <t>Le personnel doit-il s'engager formellement à respecter les processus de respect des règles de gouvernance et de prise de décision (signature)?</t>
  </si>
  <si>
    <t>A-t-on analysé les conditions nécessaires à la mise en œuvre des processus et procédures de respect des règles de gouvernance et de prise de décision  ?</t>
  </si>
  <si>
    <t>La permanence des moyens nécessaires à l'application des processus et procédures de respect des règles de gouvernance et de prise de décision  fait-elle l'objet d'un audit régulier ?</t>
  </si>
  <si>
    <t>Contrôle de l'application des procédures visant le respect des exigences légales et contractuelles</t>
  </si>
  <si>
    <t xml:space="preserve">Supervision des processus et procédures adaptés aux règles de gouvernance et de prise de décision </t>
  </si>
  <si>
    <t>Existe-t-il un organisme ou un service de supervision des processus et procédures adaptés aux règles de gouvernance et de prise de décision  ?</t>
  </si>
  <si>
    <t>Règles de gouvernance et de prise de décision</t>
  </si>
  <si>
    <t>B Règles de gouvernance et de prise de décision</t>
  </si>
  <si>
    <t>C Revue de la sécurité de l'information</t>
  </si>
  <si>
    <t>Type AEV</t>
  </si>
  <si>
    <t>AH.P.Kyp</t>
  </si>
  <si>
    <t xml:space="preserve">Efficience (des processus de gestion,  vis-à-vis de la conformité aux législations ou aux règlements ou viv-à-vis des  régles de gouvernance et de prise de décision). </t>
  </si>
  <si>
    <t>Sélection dommage</t>
  </si>
  <si>
    <t>Sélection actif support</t>
  </si>
  <si>
    <t>Endommagement logique</t>
  </si>
  <si>
    <t>Perte de fichiers ou de bases de données applicatives</t>
  </si>
  <si>
    <t>Divulgation ou détournement de fichiers ou de base de données applicatives</t>
  </si>
  <si>
    <t>Perte ou indisponibilité de fichiers bureautiques</t>
  </si>
  <si>
    <t>Protection contre les malwares et actions malveillantes (hameçonnage)</t>
  </si>
  <si>
    <t>Fonction liée au contrôle des activités sensibles</t>
  </si>
  <si>
    <t>6B02-08</t>
  </si>
  <si>
    <t>Contrôle de la transmission des données</t>
  </si>
  <si>
    <t>5E04</t>
  </si>
  <si>
    <t>5E04-01</t>
  </si>
  <si>
    <t>5E04-02</t>
  </si>
  <si>
    <t>5E04-03</t>
  </si>
  <si>
    <t>5E04-04</t>
  </si>
  <si>
    <t>5E04-05</t>
  </si>
  <si>
    <t>5E03-07</t>
  </si>
  <si>
    <t>En cas de transmission vers un système passif, tel que du stockage distant, le service émetteur procède-t-il, pour les données sensibles, à des tests de relecture ?</t>
  </si>
  <si>
    <t>Le système de contrôle du service émetteur est-il protégé contre des interventions malveillantes ?</t>
  </si>
  <si>
    <t>Procède-t-on régulièrement à des audits du système de contrôle des transmissions de données ?</t>
  </si>
  <si>
    <t>6A03</t>
  </si>
  <si>
    <t>Plan de continuité de la messagerie électronique</t>
  </si>
  <si>
    <t>Sécurité physique des médias</t>
  </si>
  <si>
    <t>Contrôle d'accès aux systèmes et services externalisés</t>
  </si>
  <si>
    <t>Y a-t-il un mécanisme d'authentification pour les accès aux systèmes hôtes ou aux services externalisés ?</t>
  </si>
  <si>
    <r>
      <t xml:space="preserve">Le processus d'authentification des accès aux systèmes hôtes de services externalisés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</si>
  <si>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CASE</t>
  </si>
  <si>
    <t>max(3A09,5F02)</t>
  </si>
  <si>
    <t>Divulgation de données</t>
  </si>
  <si>
    <t>max(3A09,5G02)</t>
  </si>
  <si>
    <t>Contrôles des changements et évolutions systèmes ou applicatifs</t>
  </si>
  <si>
    <t>Le processus d'évolution et de modification des programmes mis en production fait-il l'objet d'une procédure clairement définie ?</t>
  </si>
  <si>
    <t>4A14 : Protection des programmes</t>
  </si>
  <si>
    <t>7B02 : Contrôles des changements et évolutions systèmes ou applicatifs</t>
  </si>
  <si>
    <t>La liste des types de fichiers de données et de programmes dont la lecture doit être assurée est-elle tenue à jour ?</t>
  </si>
  <si>
    <t>La liste des fichiers de programme nécessitant une licence spécifique pour être ouverts est-elle tenue à jour ?</t>
  </si>
  <si>
    <t>S'assure-t-on que les licences éventuellement nécessaires à l'exploitation de fichiers de programme sont disponibles ou facilement rendues disponibles ?</t>
  </si>
  <si>
    <t>5C01-06</t>
  </si>
  <si>
    <t>5C01-07</t>
  </si>
  <si>
    <t>Gestion des moyens d'accès aux fichiers de données ou de programme</t>
  </si>
  <si>
    <t>GMAF</t>
  </si>
  <si>
    <t xml:space="preserve">4B01 : Paramétrage des systèmes et applications et contrôle de la conformité </t>
  </si>
  <si>
    <t>Cette analyse a-t-elle permis de formaliser les services minimaux à assurer et les performances minimales acceptables par les utilisateurs (propriétaires d'information) ?</t>
  </si>
  <si>
    <t>max(1E03,5D02)</t>
  </si>
  <si>
    <t>Contrôle de l'intégrité des fonctionnalités logicielles</t>
  </si>
  <si>
    <t>5A06</t>
  </si>
  <si>
    <t>Surveillance en temps réel de l'accessibilité et de la disponibilité de services sensibles</t>
  </si>
  <si>
    <t>A-t-on répertorié les services dont l'accessibilité et la disponibilité sont critiques ?</t>
  </si>
  <si>
    <t xml:space="preserve">A-t-on mis en place, pour les services critiques, des outils de surveillance permanente des temps de réponse et des performances de ces services ? </t>
  </si>
  <si>
    <t>Des seuils d'alerte relatifs aux performances ont-ils été définis avec les utilisateurs et mis en place ?</t>
  </si>
  <si>
    <t>Eléments mixtes de type "services"</t>
  </si>
  <si>
    <t>Iml</t>
  </si>
  <si>
    <t>Infrastructure matérielle et logicielle support de services externalisés</t>
  </si>
  <si>
    <t>Absence de partenaire ou de prestataire nécessaire à l'accès aux services externalisés</t>
  </si>
  <si>
    <t>AB.S.Ser</t>
  </si>
  <si>
    <t>Absence de service : défaillance ou indisponibilité des services fournis par un prestataire externe</t>
  </si>
  <si>
    <t>Interruption ou indisponibilité des services de partenaires nécessaires à la messagerie électronique</t>
  </si>
  <si>
    <t>Falsification ou altération de fonctionnalités logicielles ou de paramètres de fonctionnement</t>
  </si>
  <si>
    <t>A - Contrôle de l'intégrité des données et fonctions</t>
  </si>
  <si>
    <t>5C03</t>
  </si>
  <si>
    <t>5C03-01</t>
  </si>
  <si>
    <t>5C03-02</t>
  </si>
  <si>
    <t>5C03-03</t>
  </si>
  <si>
    <t>5C03-04</t>
  </si>
  <si>
    <t>5C03-05</t>
  </si>
  <si>
    <t>5C03-06</t>
  </si>
  <si>
    <t>5A06 : Contrôle de l'intégrité des fonctionnalités logicielles</t>
  </si>
  <si>
    <t>max(3A07,4B01,5A06)</t>
  </si>
  <si>
    <t>Falsification de documents</t>
  </si>
  <si>
    <t>SCPO</t>
  </si>
  <si>
    <t>Sécurité du courrier postal</t>
  </si>
  <si>
    <t>Altération de courrier postal ou électronique en cours d'envoi ou de réception</t>
  </si>
  <si>
    <t>Divulgation de courrier postal ou électronique en cours d'envoi ou de réception</t>
  </si>
  <si>
    <t>Perte de courrier postal ou électronique (en cours d'envoi ou de réception)</t>
  </si>
  <si>
    <t>max(min(3A04,3A07),5A05)</t>
  </si>
  <si>
    <t>SIPU</t>
  </si>
  <si>
    <t>PCCV</t>
  </si>
  <si>
    <t>Protection contre la captation visuelle des écranrs</t>
  </si>
  <si>
    <t xml:space="preserve">Projets liés aux processus de management </t>
  </si>
  <si>
    <t>Conformité aux exigences légales ou contractuelles</t>
  </si>
  <si>
    <t>Conformité aux règles de gouvernance et de prise de décision</t>
  </si>
  <si>
    <t>CRGD</t>
  </si>
  <si>
    <t>Fonctions liées à la continuité de service et de l'activité</t>
  </si>
  <si>
    <t>Fonctions liées à l'infratructure</t>
  </si>
  <si>
    <t>Fonctions de continuité de l'accès aux données et informations</t>
  </si>
  <si>
    <t>6B07 : Sauvegarde des configurations des postes de travail des utilisateurs</t>
  </si>
  <si>
    <t>5C01 : Gestion des moyens d'accès aux fichiers de données ou de programme</t>
  </si>
  <si>
    <t>5D04 : Maintien des moyens nécessaires à la mise en opération des applications critiques</t>
  </si>
  <si>
    <t>Fonctions liées aux contrôles d'accès</t>
  </si>
  <si>
    <t>Fonctions liées à l'exploitation et au contrôle des activités</t>
  </si>
  <si>
    <t>Fonctions liées au contrôle des configurations</t>
  </si>
  <si>
    <t>Contrôle des configurations systèmes et applicatives</t>
  </si>
  <si>
    <t>Fonctions liées au contrôle des activités sensibles</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</si>
  <si>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</si>
  <si>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</si>
  <si>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</si>
  <si>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</si>
  <si>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2E05 : Sécurité du courrier postal</t>
  </si>
  <si>
    <t>Fonctions de protection de l'intégrité des données et fonctions</t>
  </si>
  <si>
    <t>Contrôle de l'intégrité des services externalisés</t>
  </si>
  <si>
    <t>Fonctions de sécurité applicative</t>
  </si>
  <si>
    <t>5E04 : Contrôle de la transmission des données</t>
  </si>
  <si>
    <t>Fonctions de sécurité des documents écrits ou imprimés</t>
  </si>
  <si>
    <t>Fonctions de sécurité des médias supports</t>
  </si>
  <si>
    <t>Fonctions liées à la conformité des processus de management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</si>
  <si>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</si>
  <si>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</si>
  <si>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</si>
  <si>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8B01 : Mise en place des processus et procédures adaptés aux règles de gouvernance et de prise de décision</t>
  </si>
  <si>
    <t>8B02 : Contrôle de l'application des procédures vusant le respect des règles de gouvernance et de prise de décision</t>
  </si>
  <si>
    <t xml:space="preserve">8B03 : Supervision des processus et procédures adaptés aux règles de gouvernance et de prise de décision </t>
  </si>
  <si>
    <t>Projets de protection de l'intégrité des données et fonctions</t>
  </si>
  <si>
    <t>3A09 : Contrôle d'accès aux systèmes et services externalisés</t>
  </si>
  <si>
    <t>DAP</t>
  </si>
  <si>
    <t>DBU</t>
  </si>
  <si>
    <t>Données applicatives</t>
  </si>
  <si>
    <t>Données bureautiques</t>
  </si>
  <si>
    <t>Courrier électronique ou postal</t>
  </si>
  <si>
    <t xml:space="preserve">Archives </t>
  </si>
  <si>
    <t xml:space="preserve">Données et informations publiées </t>
  </si>
  <si>
    <t>Données externalisées</t>
  </si>
  <si>
    <t>IEI</t>
  </si>
  <si>
    <t>ARC</t>
  </si>
  <si>
    <t>DPU</t>
  </si>
  <si>
    <t>DEX</t>
  </si>
  <si>
    <t xml:space="preserve">Actifs de type Données </t>
  </si>
  <si>
    <t>Actifs de type Services</t>
  </si>
  <si>
    <t>PGC</t>
  </si>
  <si>
    <t>PGD</t>
  </si>
  <si>
    <t>SAP</t>
  </si>
  <si>
    <t>SEX</t>
  </si>
  <si>
    <t>SPU</t>
  </si>
  <si>
    <t>CEP</t>
  </si>
  <si>
    <t>Cette spécification est-elle régulièrement contrôlée ?</t>
  </si>
  <si>
    <t>Cette vérification couvre-t-elle l'observation à grande distante (au moyen d'un téléobjectif ) ?</t>
  </si>
  <si>
    <t>2D05-01</t>
  </si>
  <si>
    <t>2D05-02</t>
  </si>
  <si>
    <t>2D05-03</t>
  </si>
  <si>
    <t>2D05-04</t>
  </si>
  <si>
    <t>Les utilisateurs ont-ils été sensibilisés aux dangers d'utiliser leurs appareils mobiles dans les espaces publics, incluant les transports en commun ?</t>
  </si>
  <si>
    <t>2D05-05</t>
  </si>
  <si>
    <t>Le support informatique propose-t-il une telle solution ?</t>
  </si>
  <si>
    <t>2D05-06</t>
  </si>
  <si>
    <t>DESCRIPTION</t>
  </si>
  <si>
    <t>COMPLÉMENT DE DESCRIPTION</t>
  </si>
  <si>
    <t>par une personne non autorisée</t>
  </si>
  <si>
    <t>due à une erreur de procédure, lors d'une opération de maintenance</t>
  </si>
  <si>
    <t>due à une erreur de procédure d'exploitation</t>
  </si>
  <si>
    <t>effectuée volontairement par un tiers non autorisé</t>
  </si>
  <si>
    <t>par erreur de procédure d'exploitation, lors de traitements</t>
  </si>
  <si>
    <t>par action volontaire commise par une personne dotée de droits privilégiés</t>
  </si>
  <si>
    <t>par rejeu de transaction, commis par une personne non autorisée</t>
  </si>
  <si>
    <t>lors de la saisie d'une donnée applicative</t>
  </si>
  <si>
    <t>par un tiers non autorisé</t>
  </si>
  <si>
    <t>par une personne dotée de droits privilégiés</t>
  </si>
  <si>
    <t xml:space="preserve">captation visuelle d'écran applicatif </t>
  </si>
  <si>
    <t>dans les locaux de l'exploitation, par une personne non autorisée</t>
  </si>
  <si>
    <t>lors de la mise au rebut d'un media</t>
  </si>
  <si>
    <t>sur le poste de travail, par une personne non autorisée</t>
  </si>
  <si>
    <t>sur un serveur de données partagées, par une personne non autorisée</t>
  </si>
  <si>
    <t>sur serveur de données partagées, par une personne non autorisée</t>
  </si>
  <si>
    <t>par action  volontaire menée par une personne dotée de droits privilégiés</t>
  </si>
  <si>
    <t>dans la zone de bureaux</t>
  </si>
  <si>
    <t>fichiers de données bureautiques partagées, par un tiers non autorisé</t>
  </si>
  <si>
    <t>fichiers stockés sur le poste de travail, par un tiers non autorisé</t>
  </si>
  <si>
    <t>par un proche d’un utilisateur autorisé, via son appareil mobile personnel déclaré et autorisé</t>
  </si>
  <si>
    <t>dans les bureaux, par une personne non autorisée</t>
  </si>
  <si>
    <t>lors d'une impression sur imprimante partagée</t>
  </si>
  <si>
    <t>dans un bureau par une personne non autorisée</t>
  </si>
  <si>
    <t>récupération de brouillon de document ou de document mis au rebut</t>
  </si>
  <si>
    <t>due à une erreur de procédure, une panne transitoire d'équipement ou une erreur de transmission irrécupérable</t>
  </si>
  <si>
    <t>en cours d'envoi ou de réception</t>
  </si>
  <si>
    <t>par action malveillante (non détectée) menée par un membre du personnel doté de droits privilégiés</t>
  </si>
  <si>
    <t>par action malveillante (non détectée) menée lors d'une opération de maintenance</t>
  </si>
  <si>
    <t>par action malveillante (non détectée) menée par une personne usurpant des droits privilégiés</t>
  </si>
  <si>
    <t>par accès physique au poste de travail, dans les bureaux, par une personne non autorisée</t>
  </si>
  <si>
    <t>altération fonctionnelle d'équipement utilisateur, lors d'une opération de maintenance</t>
  </si>
  <si>
    <t>altération fonctionnelle d'équipement utilisateur, par accès physique au poste de travail mobile, en dehors de l'entreprise</t>
  </si>
  <si>
    <t>par un membre du personnel doté de droits privilégiés</t>
  </si>
  <si>
    <t>par une personne usurpant des droits privilégiés</t>
  </si>
  <si>
    <t>Effacement  malveillant de données</t>
  </si>
  <si>
    <t>Effacement  accidentel de données</t>
  </si>
  <si>
    <t>Destruction logique totale (fichiers et leurs sauvegardes) par un membre du personnel doté de droits privilégiés</t>
  </si>
  <si>
    <t>Falsification massive ou incohérences de données les rendant inutilisables</t>
  </si>
  <si>
    <t>Effacement de données applicatives en transit</t>
  </si>
  <si>
    <t>Falsification ou altération de données</t>
  </si>
  <si>
    <t>Altération accidentelle (non détectée) de la cohérence de données</t>
  </si>
  <si>
    <t>Falsification ou altération de données applicatives en transit</t>
  </si>
  <si>
    <t>Echange physique (avec un média au contenu modifié)</t>
  </si>
  <si>
    <t xml:space="preserve">Téléchargement, duplication ou diffusion volontaire de données </t>
  </si>
  <si>
    <t>Captation de données affichées sur écran</t>
  </si>
  <si>
    <t>Vol physique ou duplication de média support de données</t>
  </si>
  <si>
    <t>Effacement malveillant de données bureautiques, incluant celles relatives aux agendas et contacts</t>
  </si>
  <si>
    <t>Effacement de donnée bureautique en transit</t>
  </si>
  <si>
    <t>Indisponibilité de références, d’adresses ou de processus d’accès au media</t>
  </si>
  <si>
    <t>Perte ou oubli de media support de données bureautiques</t>
  </si>
  <si>
    <t>Vol physique de media support de données bureautiques</t>
  </si>
  <si>
    <t>Falsification ou altération malveillante de données, incluant celles relatives aux agendas et contacts</t>
  </si>
  <si>
    <t>Altération accidentelle de données, incluant celles relatives aux agendas et contacts</t>
  </si>
  <si>
    <t>Falsification ou altération de données bureautiques en transit</t>
  </si>
  <si>
    <t>Téléchargement, duplication ou diffusion volontaire de fichiers de données , incluant les fichiers relatifs aux agendas et contacts</t>
  </si>
  <si>
    <t>Diffusion accidentelle d'un fichier de données</t>
  </si>
  <si>
    <t>Captation de données ponctuelles par logiciel Capteur de frappe ou "Keylogger"</t>
  </si>
  <si>
    <t>Captation de données ponctuelles par dispositif physique Capteur de frappe ou "Keylogger"</t>
  </si>
  <si>
    <t>Vol physique ou duplication</t>
  </si>
  <si>
    <t xml:space="preserve">Vol physique de document </t>
  </si>
  <si>
    <t>Falsification ou altération de courriel</t>
  </si>
  <si>
    <t xml:space="preserve">Vol physique ou consultation pendant la distribution de courrier </t>
  </si>
  <si>
    <t>Effacement ou disparition de moyens d'accès (clés de chiffrement, jetons, éléments nécessaires à l'exploitation des archives, etc.)</t>
  </si>
  <si>
    <t>Vol physique de media</t>
  </si>
  <si>
    <t>Absence de matériel adapté ou incompatibilité de matériels</t>
  </si>
  <si>
    <t>Incident dû à l'environnement (Dégât des eaux, vieillissement, pollution,  etc.) ou à du vandalisme</t>
  </si>
  <si>
    <t xml:space="preserve">Accès et diffusion volontaire de fichiers de données </t>
  </si>
  <si>
    <t xml:space="preserve">Téléchargement, duplication ou diffusion volontaire de fichiers de données </t>
  </si>
  <si>
    <t>Effacement d'élément clé de la configuration système (logiciel, paramétrage, etc.)</t>
  </si>
  <si>
    <t>Attaque en blocage de comptes ou saturation des serveurs</t>
  </si>
  <si>
    <t>Perte ou altération de message transactionnel rendant le service non fonctionnel</t>
  </si>
  <si>
    <t>Effacement généralisé de configurations (programmes, codes, paramétrage, etc.) des équipements des utilisateurs</t>
  </si>
  <si>
    <t>Altération matérielle d'équipement ou de liaisons (y compris modification de paramétrage par accès physique, inhibition ou suppression d’un dispositif)</t>
  </si>
  <si>
    <t>Altération fonctionnelle d'équipement utilisateur (y compris modification de paramétrage par accès physique, inhibition ou suppression d’un dispositif)</t>
  </si>
  <si>
    <t>Vol ou divulgation malveillante de code source</t>
  </si>
  <si>
    <t>Saturation malveillante des serveurs de publication</t>
  </si>
  <si>
    <t>Altération malveillante de processus d'interaction avec le public assuré par la plateforme de publication</t>
  </si>
  <si>
    <t>AH.L.Cav</t>
  </si>
  <si>
    <t>Effacement délibéré de supports logiques ou physiques</t>
  </si>
  <si>
    <t>Manipulation ou falsification matérielle d'équipement ou de media</t>
  </si>
  <si>
    <t>Tout ou partie de l'ensemble de données a été dupliqué, téléchargé, diffusé  ou volé</t>
  </si>
  <si>
    <t>Det</t>
  </si>
  <si>
    <t>Média support d'archive</t>
  </si>
  <si>
    <t>Msa</t>
  </si>
  <si>
    <t>Une formation spécifique sur les risques d'hameçonnage  et d'abus de confiance est-elle dispensée à tous les collaborateurs de l'organisme ?</t>
  </si>
  <si>
    <t>1C06-01</t>
  </si>
  <si>
    <t>1C06-02</t>
  </si>
  <si>
    <t>1C06-03</t>
  </si>
  <si>
    <t>1C06-04</t>
  </si>
  <si>
    <t>1C06-05</t>
  </si>
  <si>
    <t>Protection contre l'hameçonnage (phishing) et abus de confiance</t>
  </si>
  <si>
    <t>Scénarios de manager-BC</t>
  </si>
  <si>
    <t>1 circonstance</t>
  </si>
  <si>
    <t>2 circonstances</t>
  </si>
  <si>
    <t>3 circonstances</t>
  </si>
  <si>
    <t>4 circonstances</t>
  </si>
  <si>
    <t>5 circonstances</t>
  </si>
  <si>
    <t>6 circonstances</t>
  </si>
  <si>
    <t>Palu</t>
  </si>
  <si>
    <t>Typologie de scénarios par mesures de sécurité</t>
  </si>
  <si>
    <t>Aucune mesure citée</t>
  </si>
  <si>
    <t xml:space="preserve">code </t>
  </si>
  <si>
    <t>Palliatif uniquement</t>
  </si>
  <si>
    <t>Aucu</t>
  </si>
  <si>
    <t>Palliatif et Préventif</t>
  </si>
  <si>
    <t>Dipa</t>
  </si>
  <si>
    <t>Prpa</t>
  </si>
  <si>
    <t>Disu</t>
  </si>
  <si>
    <t>Preu</t>
  </si>
  <si>
    <t>Prco</t>
  </si>
  <si>
    <t>Dico</t>
  </si>
  <si>
    <t>Dipr</t>
  </si>
  <si>
    <t>Copa</t>
  </si>
  <si>
    <t>Dissuasif uniquement</t>
  </si>
  <si>
    <t>Préventtif uniquement</t>
  </si>
  <si>
    <t>Confinement uniquement</t>
  </si>
  <si>
    <t>Conu</t>
  </si>
  <si>
    <t>Dissuasif et Préventif</t>
  </si>
  <si>
    <t>Dissuasif et Confinement</t>
  </si>
  <si>
    <t>Dissuasif et palliatif</t>
  </si>
  <si>
    <t>Préventif et confinement</t>
  </si>
  <si>
    <t>Palliatif et Confinement</t>
  </si>
  <si>
    <t>Tout sauf Dissusion</t>
  </si>
  <si>
    <t>Tout sauf Prévention</t>
  </si>
  <si>
    <t>Tout sauf Confinement</t>
  </si>
  <si>
    <t>Toutes les types</t>
  </si>
  <si>
    <t>Tsdi</t>
  </si>
  <si>
    <t>Tspr</t>
  </si>
  <si>
    <t>Tsco</t>
  </si>
  <si>
    <t>Tspa</t>
  </si>
  <si>
    <t>Tous</t>
  </si>
  <si>
    <t>L87C8</t>
  </si>
  <si>
    <t>L89C8</t>
  </si>
  <si>
    <t>L90C7</t>
  </si>
  <si>
    <t>L90C8</t>
  </si>
  <si>
    <t>L91C8</t>
  </si>
  <si>
    <t>L92C8</t>
  </si>
  <si>
    <t>L93C8</t>
  </si>
  <si>
    <t>L93C31</t>
  </si>
  <si>
    <t>L93C32</t>
  </si>
  <si>
    <t>L93C33</t>
  </si>
  <si>
    <t>L93C34</t>
  </si>
  <si>
    <t>L94C8</t>
  </si>
  <si>
    <t>L95C31</t>
  </si>
  <si>
    <t>L95C32</t>
  </si>
  <si>
    <t>L95C33</t>
  </si>
  <si>
    <t>L95C34</t>
  </si>
  <si>
    <t>L97C8</t>
  </si>
  <si>
    <t>L97C31</t>
  </si>
  <si>
    <t>L97C32</t>
  </si>
  <si>
    <t>L97C33</t>
  </si>
  <si>
    <t>L97C34</t>
  </si>
  <si>
    <t>L98C31</t>
  </si>
  <si>
    <t>L98C32</t>
  </si>
  <si>
    <t>L98C33</t>
  </si>
  <si>
    <t>L98C34</t>
  </si>
  <si>
    <t>L99C31</t>
  </si>
  <si>
    <t>L99C32</t>
  </si>
  <si>
    <t>L99C33</t>
  </si>
  <si>
    <t>L99C34</t>
  </si>
  <si>
    <t>L100C8</t>
  </si>
  <si>
    <t>L101C31</t>
  </si>
  <si>
    <t>L101C32</t>
  </si>
  <si>
    <t>L101C33</t>
  </si>
  <si>
    <t>L101C34</t>
  </si>
  <si>
    <t>L102C9</t>
  </si>
  <si>
    <t>L103C11</t>
  </si>
  <si>
    <t>L105C8</t>
  </si>
  <si>
    <t>L105C9</t>
  </si>
  <si>
    <t>L108C31</t>
  </si>
  <si>
    <t>L108C32</t>
  </si>
  <si>
    <t>L108C33</t>
  </si>
  <si>
    <t>L108C34</t>
  </si>
  <si>
    <t>L109C7</t>
  </si>
  <si>
    <t>L109C31</t>
  </si>
  <si>
    <t>L109C32</t>
  </si>
  <si>
    <t>L109C33</t>
  </si>
  <si>
    <t>L109C34</t>
  </si>
  <si>
    <t>L111C31</t>
  </si>
  <si>
    <t>L111C32</t>
  </si>
  <si>
    <t>L111C33</t>
  </si>
  <si>
    <t>L111C34</t>
  </si>
  <si>
    <t>L113C8</t>
  </si>
  <si>
    <t>L113C31</t>
  </si>
  <si>
    <t>L113C32</t>
  </si>
  <si>
    <t>L113C33</t>
  </si>
  <si>
    <t>L113C34</t>
  </si>
  <si>
    <t>L114C8</t>
  </si>
  <si>
    <t>L116C8</t>
  </si>
  <si>
    <t>L116C31</t>
  </si>
  <si>
    <t>L116C32</t>
  </si>
  <si>
    <t>L116C33</t>
  </si>
  <si>
    <t>L116C34</t>
  </si>
  <si>
    <t>L122C8</t>
  </si>
  <si>
    <t>L124C7</t>
  </si>
  <si>
    <t>L124C8</t>
  </si>
  <si>
    <t>L124C31</t>
  </si>
  <si>
    <t>L124C32</t>
  </si>
  <si>
    <t>L124C33</t>
  </si>
  <si>
    <t>L124C34</t>
  </si>
  <si>
    <t>L137C7</t>
  </si>
  <si>
    <t>L137C31</t>
  </si>
  <si>
    <t>L137C32</t>
  </si>
  <si>
    <t>L137C33</t>
  </si>
  <si>
    <t>L137C34</t>
  </si>
  <si>
    <t>L138C7</t>
  </si>
  <si>
    <t>L138C31</t>
  </si>
  <si>
    <t>L138C32</t>
  </si>
  <si>
    <t>L138C33</t>
  </si>
  <si>
    <t>L138C34</t>
  </si>
  <si>
    <t>L139C7</t>
  </si>
  <si>
    <t>L140C7</t>
  </si>
  <si>
    <t>L140C31</t>
  </si>
  <si>
    <t>L140C32</t>
  </si>
  <si>
    <t>L140C33</t>
  </si>
  <si>
    <t>L140C34</t>
  </si>
  <si>
    <t>L141C31</t>
  </si>
  <si>
    <t>L141C32</t>
  </si>
  <si>
    <t>L141C33</t>
  </si>
  <si>
    <t>L141C34</t>
  </si>
  <si>
    <t>L145C7</t>
  </si>
  <si>
    <t>L145C31</t>
  </si>
  <si>
    <t>L145C32</t>
  </si>
  <si>
    <t>L145C33</t>
  </si>
  <si>
    <t>L145C34</t>
  </si>
  <si>
    <t>L146C7</t>
  </si>
  <si>
    <t>L150C7</t>
  </si>
  <si>
    <t>L153C1</t>
  </si>
  <si>
    <t>L153C7</t>
  </si>
  <si>
    <t>L154C1</t>
  </si>
  <si>
    <t>L154C7</t>
  </si>
  <si>
    <t>L154C31</t>
  </si>
  <si>
    <t>L154C32</t>
  </si>
  <si>
    <t>L154C33</t>
  </si>
  <si>
    <t>L154C34</t>
  </si>
  <si>
    <t>L155C1</t>
  </si>
  <si>
    <t>L155C7</t>
  </si>
  <si>
    <t>L155C31</t>
  </si>
  <si>
    <t>L155C32</t>
  </si>
  <si>
    <t>L155C33</t>
  </si>
  <si>
    <t>L155C34</t>
  </si>
  <si>
    <t>L156C1</t>
  </si>
  <si>
    <t>L157C1</t>
  </si>
  <si>
    <t>L157C7</t>
  </si>
  <si>
    <t>L157C31</t>
  </si>
  <si>
    <t>L157C32</t>
  </si>
  <si>
    <t>L157C33</t>
  </si>
  <si>
    <t>L157C34</t>
  </si>
  <si>
    <t>L158C1</t>
  </si>
  <si>
    <t>L158C7</t>
  </si>
  <si>
    <t>L159C1</t>
  </si>
  <si>
    <t>L159C7</t>
  </si>
  <si>
    <t>L159C31</t>
  </si>
  <si>
    <t>L159C32</t>
  </si>
  <si>
    <t>L159C33</t>
  </si>
  <si>
    <t>L159C34</t>
  </si>
  <si>
    <t>L160C1</t>
  </si>
  <si>
    <t>L160C31</t>
  </si>
  <si>
    <t>L160C32</t>
  </si>
  <si>
    <t>L160C33</t>
  </si>
  <si>
    <t>L160C34</t>
  </si>
  <si>
    <t>L161C1</t>
  </si>
  <si>
    <t>L161C7</t>
  </si>
  <si>
    <t>L161C8</t>
  </si>
  <si>
    <t>L161C31</t>
  </si>
  <si>
    <t>L161C32</t>
  </si>
  <si>
    <t>L161C33</t>
  </si>
  <si>
    <t>L161C34</t>
  </si>
  <si>
    <t>L162C31</t>
  </si>
  <si>
    <t>L162C32</t>
  </si>
  <si>
    <t>L162C33</t>
  </si>
  <si>
    <t>L162C34</t>
  </si>
  <si>
    <t>L163C8</t>
  </si>
  <si>
    <t>L163C31</t>
  </si>
  <si>
    <t>L163C32</t>
  </si>
  <si>
    <t>L163C33</t>
  </si>
  <si>
    <t>L163C34</t>
  </si>
  <si>
    <t>L164C1</t>
  </si>
  <si>
    <t>L164C7</t>
  </si>
  <si>
    <t>L164C31</t>
  </si>
  <si>
    <t>L164C32</t>
  </si>
  <si>
    <t>L164C33</t>
  </si>
  <si>
    <t>L164C34</t>
  </si>
  <si>
    <t>L165C1</t>
  </si>
  <si>
    <t>L165C7</t>
  </si>
  <si>
    <t>L165C8</t>
  </si>
  <si>
    <t>L165C31</t>
  </si>
  <si>
    <t>L165C32</t>
  </si>
  <si>
    <t>L165C33</t>
  </si>
  <si>
    <t>L165C34</t>
  </si>
  <si>
    <t>L166C1</t>
  </si>
  <si>
    <t>L166C7</t>
  </si>
  <si>
    <t>L166C8</t>
  </si>
  <si>
    <t>L166C31</t>
  </si>
  <si>
    <t>L166C32</t>
  </si>
  <si>
    <t>L166C33</t>
  </si>
  <si>
    <t>L166C34</t>
  </si>
  <si>
    <t>L167C1</t>
  </si>
  <si>
    <t>L167C7</t>
  </si>
  <si>
    <t>L168C1</t>
  </si>
  <si>
    <t>L169C1</t>
  </si>
  <si>
    <t>L169C7</t>
  </si>
  <si>
    <t>L169C8</t>
  </si>
  <si>
    <t>L169C31</t>
  </si>
  <si>
    <t>L169C32</t>
  </si>
  <si>
    <t>L169C33</t>
  </si>
  <si>
    <t>L169C34</t>
  </si>
  <si>
    <t>L170C1</t>
  </si>
  <si>
    <t>L170C7</t>
  </si>
  <si>
    <t>L170C31</t>
  </si>
  <si>
    <t>L170C32</t>
  </si>
  <si>
    <t>L170C33</t>
  </si>
  <si>
    <t>L170C34</t>
  </si>
  <si>
    <t>L171C1</t>
  </si>
  <si>
    <t>L171C10</t>
  </si>
  <si>
    <t>L172C1</t>
  </si>
  <si>
    <t>L172C7</t>
  </si>
  <si>
    <t>L172C8</t>
  </si>
  <si>
    <t>L172C10</t>
  </si>
  <si>
    <t>L172C31</t>
  </si>
  <si>
    <t>L172C32</t>
  </si>
  <si>
    <t>L172C33</t>
  </si>
  <si>
    <t>L172C34</t>
  </si>
  <si>
    <t>L173C1</t>
  </si>
  <si>
    <t>L173C7</t>
  </si>
  <si>
    <t>L173C10</t>
  </si>
  <si>
    <t>L173C31</t>
  </si>
  <si>
    <t>L173C32</t>
  </si>
  <si>
    <t>L173C33</t>
  </si>
  <si>
    <t>L173C34</t>
  </si>
  <si>
    <t>L174C1</t>
  </si>
  <si>
    <t>L174C7</t>
  </si>
  <si>
    <t>L174C8</t>
  </si>
  <si>
    <t>L174C31</t>
  </si>
  <si>
    <t>L174C32</t>
  </si>
  <si>
    <t>L174C33</t>
  </si>
  <si>
    <t>L174C34</t>
  </si>
  <si>
    <t>L175C1</t>
  </si>
  <si>
    <t>L175C7</t>
  </si>
  <si>
    <t>L175C8</t>
  </si>
  <si>
    <t>L175C31</t>
  </si>
  <si>
    <t>L175C32</t>
  </si>
  <si>
    <t>L175C33</t>
  </si>
  <si>
    <t>L175C34</t>
  </si>
  <si>
    <t>L176C1</t>
  </si>
  <si>
    <t>L176C8</t>
  </si>
  <si>
    <t>L176C31</t>
  </si>
  <si>
    <t>L176C32</t>
  </si>
  <si>
    <t>L176C33</t>
  </si>
  <si>
    <t>L176C34</t>
  </si>
  <si>
    <t>L178C8</t>
  </si>
  <si>
    <t>L178C31</t>
  </si>
  <si>
    <t>L178C32</t>
  </si>
  <si>
    <t>L178C33</t>
  </si>
  <si>
    <t>L178C34</t>
  </si>
  <si>
    <t>L179C1</t>
  </si>
  <si>
    <t>L179C7</t>
  </si>
  <si>
    <t>L180C1</t>
  </si>
  <si>
    <t>L180C7</t>
  </si>
  <si>
    <t>L180C8</t>
  </si>
  <si>
    <t>L180C31</t>
  </si>
  <si>
    <t>L180C32</t>
  </si>
  <si>
    <t>L180C33</t>
  </si>
  <si>
    <t>L180C34</t>
  </si>
  <si>
    <t>L181C1</t>
  </si>
  <si>
    <t>L181C7</t>
  </si>
  <si>
    <t>L181C8</t>
  </si>
  <si>
    <t>L181C10</t>
  </si>
  <si>
    <t>L181C31</t>
  </si>
  <si>
    <t>L181C32</t>
  </si>
  <si>
    <t>L181C33</t>
  </si>
  <si>
    <t>L181C34</t>
  </si>
  <si>
    <t>L182C1</t>
  </si>
  <si>
    <t>L182C7</t>
  </si>
  <si>
    <t>L182C10</t>
  </si>
  <si>
    <t>L183C1</t>
  </si>
  <si>
    <t>L183C7</t>
  </si>
  <si>
    <t>L183C8</t>
  </si>
  <si>
    <t>L183C10</t>
  </si>
  <si>
    <t>L183C31</t>
  </si>
  <si>
    <t>L183C32</t>
  </si>
  <si>
    <t>L183C33</t>
  </si>
  <si>
    <t>L183C34</t>
  </si>
  <si>
    <t>L184C1</t>
  </si>
  <si>
    <t>L184C7</t>
  </si>
  <si>
    <t>L184C31</t>
  </si>
  <si>
    <t>L184C32</t>
  </si>
  <si>
    <t>L184C33</t>
  </si>
  <si>
    <t>L184C34</t>
  </si>
  <si>
    <t>L185C1</t>
  </si>
  <si>
    <t>L185C7</t>
  </si>
  <si>
    <t>L185C31</t>
  </si>
  <si>
    <t>L185C32</t>
  </si>
  <si>
    <t>L185C33</t>
  </si>
  <si>
    <t>L185C34</t>
  </si>
  <si>
    <t>L186C1</t>
  </si>
  <si>
    <t>L186C7</t>
  </si>
  <si>
    <t>L186C8</t>
  </si>
  <si>
    <t>L186C31</t>
  </si>
  <si>
    <t>L186C32</t>
  </si>
  <si>
    <t>L186C33</t>
  </si>
  <si>
    <t>L186C34</t>
  </si>
  <si>
    <t>L187C1</t>
  </si>
  <si>
    <t>L187C7</t>
  </si>
  <si>
    <t>L188C1</t>
  </si>
  <si>
    <t>L188C7</t>
  </si>
  <si>
    <t>L189C1</t>
  </si>
  <si>
    <t>L189C31</t>
  </si>
  <si>
    <t>L189C32</t>
  </si>
  <si>
    <t>L189C33</t>
  </si>
  <si>
    <t>L189C34</t>
  </si>
  <si>
    <t>L190C1</t>
  </si>
  <si>
    <t>L191C1</t>
  </si>
  <si>
    <t>L191C7</t>
  </si>
  <si>
    <t>L191C8</t>
  </si>
  <si>
    <t>L191C31</t>
  </si>
  <si>
    <t>L191C32</t>
  </si>
  <si>
    <t>L191C33</t>
  </si>
  <si>
    <t>L191C34</t>
  </si>
  <si>
    <t>L192C1</t>
  </si>
  <si>
    <t>L192C7</t>
  </si>
  <si>
    <t>L192C31</t>
  </si>
  <si>
    <t>L192C32</t>
  </si>
  <si>
    <t>L192C33</t>
  </si>
  <si>
    <t>L192C34</t>
  </si>
  <si>
    <t>L193C1</t>
  </si>
  <si>
    <t>L193C2</t>
  </si>
  <si>
    <t>L193C7</t>
  </si>
  <si>
    <t>L193C8</t>
  </si>
  <si>
    <t>L193C31</t>
  </si>
  <si>
    <t>L193C32</t>
  </si>
  <si>
    <t>L193C33</t>
  </si>
  <si>
    <t>L193C34</t>
  </si>
  <si>
    <t>L194C1</t>
  </si>
  <si>
    <t>L194C2</t>
  </si>
  <si>
    <t>L194C7</t>
  </si>
  <si>
    <t>L194C8</t>
  </si>
  <si>
    <t>L194C31</t>
  </si>
  <si>
    <t>L194C32</t>
  </si>
  <si>
    <t>L194C33</t>
  </si>
  <si>
    <t>L194C34</t>
  </si>
  <si>
    <t>L195C1</t>
  </si>
  <si>
    <t>L195C2</t>
  </si>
  <si>
    <t>L195C7</t>
  </si>
  <si>
    <t>L195C8</t>
  </si>
  <si>
    <t>L195C31</t>
  </si>
  <si>
    <t>L195C32</t>
  </si>
  <si>
    <t>L195C33</t>
  </si>
  <si>
    <t>L195C34</t>
  </si>
  <si>
    <t>L196C1</t>
  </si>
  <si>
    <t>L196C2</t>
  </si>
  <si>
    <t>L196C7</t>
  </si>
  <si>
    <t>L196C8</t>
  </si>
  <si>
    <t>L196C31</t>
  </si>
  <si>
    <t>L196C32</t>
  </si>
  <si>
    <t>L196C33</t>
  </si>
  <si>
    <t>L196C34</t>
  </si>
  <si>
    <t>L197C1</t>
  </si>
  <si>
    <t>L197C2</t>
  </si>
  <si>
    <t>L197C7</t>
  </si>
  <si>
    <t>L197C31</t>
  </si>
  <si>
    <t>L197C32</t>
  </si>
  <si>
    <t>L197C33</t>
  </si>
  <si>
    <t>L197C34</t>
  </si>
  <si>
    <t>L198C1</t>
  </si>
  <si>
    <t>L198C2</t>
  </si>
  <si>
    <t>L198C7</t>
  </si>
  <si>
    <t>L198C8</t>
  </si>
  <si>
    <t>L198C31</t>
  </si>
  <si>
    <t>L198C32</t>
  </si>
  <si>
    <t>L198C33</t>
  </si>
  <si>
    <t>L198C34</t>
  </si>
  <si>
    <t>L199C1</t>
  </si>
  <si>
    <t>L199C2</t>
  </si>
  <si>
    <t>L199C7</t>
  </si>
  <si>
    <t>L199C31</t>
  </si>
  <si>
    <t>L199C32</t>
  </si>
  <si>
    <t>L199C33</t>
  </si>
  <si>
    <t>L199C34</t>
  </si>
  <si>
    <t>L200C1</t>
  </si>
  <si>
    <t>L200C2</t>
  </si>
  <si>
    <t>L200C7</t>
  </si>
  <si>
    <t>L200C8</t>
  </si>
  <si>
    <t>L200C31</t>
  </si>
  <si>
    <t>L200C32</t>
  </si>
  <si>
    <t>L200C33</t>
  </si>
  <si>
    <t>L200C34</t>
  </si>
  <si>
    <t>L201C1</t>
  </si>
  <si>
    <t>L201C2</t>
  </si>
  <si>
    <t>L202C1</t>
  </si>
  <si>
    <t>L202C2</t>
  </si>
  <si>
    <t>L202C7</t>
  </si>
  <si>
    <t>L203C1</t>
  </si>
  <si>
    <t>L203C2</t>
  </si>
  <si>
    <t>L203C7</t>
  </si>
  <si>
    <t>L204C1</t>
  </si>
  <si>
    <t>L204C2</t>
  </si>
  <si>
    <t>L204C7</t>
  </si>
  <si>
    <t>L205C1</t>
  </si>
  <si>
    <t>L205C2</t>
  </si>
  <si>
    <t>L205C7</t>
  </si>
  <si>
    <t>L206C1</t>
  </si>
  <si>
    <t>L206C2</t>
  </si>
  <si>
    <t>L206C7</t>
  </si>
  <si>
    <t>L207C1</t>
  </si>
  <si>
    <t>L207C2</t>
  </si>
  <si>
    <t>L207C7</t>
  </si>
  <si>
    <t>L207C8</t>
  </si>
  <si>
    <t>L208C1</t>
  </si>
  <si>
    <t>L208C2</t>
  </si>
  <si>
    <t>L208C7</t>
  </si>
  <si>
    <t>L50C1</t>
  </si>
  <si>
    <t>L50C7</t>
  </si>
  <si>
    <t>L50C8</t>
  </si>
  <si>
    <t>L50C31</t>
  </si>
  <si>
    <t>L50C32</t>
  </si>
  <si>
    <t>L50C33</t>
  </si>
  <si>
    <t>L50C34</t>
  </si>
  <si>
    <t>L51C1</t>
  </si>
  <si>
    <t>L51C7</t>
  </si>
  <si>
    <t>L51C31</t>
  </si>
  <si>
    <t>L51C32</t>
  </si>
  <si>
    <t>L51C33</t>
  </si>
  <si>
    <t>L51C34</t>
  </si>
  <si>
    <t>L52C1</t>
  </si>
  <si>
    <t>L53C1</t>
  </si>
  <si>
    <t>L53C8</t>
  </si>
  <si>
    <t>L53C31</t>
  </si>
  <si>
    <t>L53C32</t>
  </si>
  <si>
    <t>L53C33</t>
  </si>
  <si>
    <t>L53C34</t>
  </si>
  <si>
    <t>L54C1</t>
  </si>
  <si>
    <t>L55C1</t>
  </si>
  <si>
    <t>L56C1</t>
  </si>
  <si>
    <t>L56C8</t>
  </si>
  <si>
    <t>L56C31</t>
  </si>
  <si>
    <t>L56C32</t>
  </si>
  <si>
    <t>L56C33</t>
  </si>
  <si>
    <t>L56C34</t>
  </si>
  <si>
    <t>L57C1</t>
  </si>
  <si>
    <t>L58C1</t>
  </si>
  <si>
    <t>L58C31</t>
  </si>
  <si>
    <t>L58C32</t>
  </si>
  <si>
    <t>L58C33</t>
  </si>
  <si>
    <t>L58C34</t>
  </si>
  <si>
    <t>L59C1</t>
  </si>
  <si>
    <t>L59C7</t>
  </si>
  <si>
    <t>L59C8</t>
  </si>
  <si>
    <t>L59C31</t>
  </si>
  <si>
    <t>L59C32</t>
  </si>
  <si>
    <t>L59C33</t>
  </si>
  <si>
    <t>L59C34</t>
  </si>
  <si>
    <t>L60C1</t>
  </si>
  <si>
    <t>L60C7</t>
  </si>
  <si>
    <t>L60C10</t>
  </si>
  <si>
    <t>L60C31</t>
  </si>
  <si>
    <t>L60C32</t>
  </si>
  <si>
    <t>L60C33</t>
  </si>
  <si>
    <t>L60C34</t>
  </si>
  <si>
    <t>L61C1</t>
  </si>
  <si>
    <t>L62C1</t>
  </si>
  <si>
    <t>L63C1</t>
  </si>
  <si>
    <t>L63C31</t>
  </si>
  <si>
    <t>L63C32</t>
  </si>
  <si>
    <t>L63C33</t>
  </si>
  <si>
    <t>L63C34</t>
  </si>
  <si>
    <t>L64C1</t>
  </si>
  <si>
    <t>L65C1</t>
  </si>
  <si>
    <t>L65C7</t>
  </si>
  <si>
    <t>L65C8</t>
  </si>
  <si>
    <t>L65C31</t>
  </si>
  <si>
    <t>L65C32</t>
  </si>
  <si>
    <t>L65C33</t>
  </si>
  <si>
    <t>L65C34</t>
  </si>
  <si>
    <t>L66C1</t>
  </si>
  <si>
    <t>L67C31</t>
  </si>
  <si>
    <t>L67C32</t>
  </si>
  <si>
    <t>L67C33</t>
  </si>
  <si>
    <t>L67C34</t>
  </si>
  <si>
    <t>L68C8</t>
  </si>
  <si>
    <t>L68C31</t>
  </si>
  <si>
    <t>L68C32</t>
  </si>
  <si>
    <t>L68C33</t>
  </si>
  <si>
    <t>L68C34</t>
  </si>
  <si>
    <t>L69C1</t>
  </si>
  <si>
    <t>L69C7</t>
  </si>
  <si>
    <t>L69C9</t>
  </si>
  <si>
    <t>L69C31</t>
  </si>
  <si>
    <t>L69C32</t>
  </si>
  <si>
    <t>L69C33</t>
  </si>
  <si>
    <t>L69C34</t>
  </si>
  <si>
    <t>L70C1</t>
  </si>
  <si>
    <t>L70C7</t>
  </si>
  <si>
    <t>L70C9</t>
  </si>
  <si>
    <t>L71C1</t>
  </si>
  <si>
    <t>L71C7</t>
  </si>
  <si>
    <t>L71C8</t>
  </si>
  <si>
    <t>L71C31</t>
  </si>
  <si>
    <t>L71C32</t>
  </si>
  <si>
    <t>L71C33</t>
  </si>
  <si>
    <t>L71C34</t>
  </si>
  <si>
    <t>L72C1</t>
  </si>
  <si>
    <t>L72C8</t>
  </si>
  <si>
    <t>L72C31</t>
  </si>
  <si>
    <t>L72C32</t>
  </si>
  <si>
    <t>L72C33</t>
  </si>
  <si>
    <t>L72C34</t>
  </si>
  <si>
    <t>L73C1</t>
  </si>
  <si>
    <t>L73C7</t>
  </si>
  <si>
    <t>L73C8</t>
  </si>
  <si>
    <t>L73C31</t>
  </si>
  <si>
    <t>L73C32</t>
  </si>
  <si>
    <t>L73C33</t>
  </si>
  <si>
    <t>L73C34</t>
  </si>
  <si>
    <t>L74C1</t>
  </si>
  <si>
    <t>L74C7</t>
  </si>
  <si>
    <t>L74C10</t>
  </si>
  <si>
    <t>L74C31</t>
  </si>
  <si>
    <t>L74C32</t>
  </si>
  <si>
    <t>L74C33</t>
  </si>
  <si>
    <t>L74C34</t>
  </si>
  <si>
    <t>L75C1</t>
  </si>
  <si>
    <t>L75C7</t>
  </si>
  <si>
    <t>L76C1</t>
  </si>
  <si>
    <t>L76C8</t>
  </si>
  <si>
    <t>L76C10</t>
  </si>
  <si>
    <t>L76C31</t>
  </si>
  <si>
    <t>L76C32</t>
  </si>
  <si>
    <t>L76C33</t>
  </si>
  <si>
    <t>L76C34</t>
  </si>
  <si>
    <t>L77C1</t>
  </si>
  <si>
    <t>L78C1</t>
  </si>
  <si>
    <t>L78C9</t>
  </si>
  <si>
    <t>L78C31</t>
  </si>
  <si>
    <t>L78C32</t>
  </si>
  <si>
    <t>L78C33</t>
  </si>
  <si>
    <t>L78C34</t>
  </si>
  <si>
    <t>L79C1</t>
  </si>
  <si>
    <t>L79C9</t>
  </si>
  <si>
    <t>L79C31</t>
  </si>
  <si>
    <t>L79C32</t>
  </si>
  <si>
    <t>L79C33</t>
  </si>
  <si>
    <t>L79C34</t>
  </si>
  <si>
    <t>L80C1</t>
  </si>
  <si>
    <t>L80C31</t>
  </si>
  <si>
    <t>L80C32</t>
  </si>
  <si>
    <t>L80C33</t>
  </si>
  <si>
    <t>L80C34</t>
  </si>
  <si>
    <t>L81C1</t>
  </si>
  <si>
    <t>L81C7</t>
  </si>
  <si>
    <t>L84C1</t>
  </si>
  <si>
    <t>L84C7</t>
  </si>
  <si>
    <t>L84C31</t>
  </si>
  <si>
    <t>L84C32</t>
  </si>
  <si>
    <t>L84C33</t>
  </si>
  <si>
    <t>L84C34</t>
  </si>
  <si>
    <t>L85C1</t>
  </si>
  <si>
    <t>L85C7</t>
  </si>
  <si>
    <t>L85C8</t>
  </si>
  <si>
    <t>L85C31</t>
  </si>
  <si>
    <t>L85C32</t>
  </si>
  <si>
    <t>L85C33</t>
  </si>
  <si>
    <t>L85C34</t>
  </si>
  <si>
    <t>L86C8</t>
  </si>
  <si>
    <t>L86C31</t>
  </si>
  <si>
    <t>L86C32</t>
  </si>
  <si>
    <t>L86C33</t>
  </si>
  <si>
    <t>L86C34</t>
  </si>
  <si>
    <t>L87C31</t>
  </si>
  <si>
    <t>L87C32</t>
  </si>
  <si>
    <t>L87C33</t>
  </si>
  <si>
    <t>L87C34</t>
  </si>
  <si>
    <t>L96C8</t>
  </si>
  <si>
    <t>L96C31</t>
  </si>
  <si>
    <t>L96C32</t>
  </si>
  <si>
    <t>L96C33</t>
  </si>
  <si>
    <t>L96C34</t>
  </si>
  <si>
    <t>L99C7</t>
  </si>
  <si>
    <t>L104C8</t>
  </si>
  <si>
    <t>L135C10</t>
  </si>
  <si>
    <t>L136C8</t>
  </si>
  <si>
    <t>L139C8</t>
  </si>
  <si>
    <t>L139C31</t>
  </si>
  <si>
    <t>L139C32</t>
  </si>
  <si>
    <t>L139C33</t>
  </si>
  <si>
    <t>L139C34</t>
  </si>
  <si>
    <t>L143C7</t>
  </si>
  <si>
    <t>L143C8</t>
  </si>
  <si>
    <t>L143C31</t>
  </si>
  <si>
    <t>L143C32</t>
  </si>
  <si>
    <t>L143C33</t>
  </si>
  <si>
    <t>L143C34</t>
  </si>
  <si>
    <t>L144C8</t>
  </si>
  <si>
    <t>L144C31</t>
  </si>
  <si>
    <t>L144C32</t>
  </si>
  <si>
    <t>L144C33</t>
  </si>
  <si>
    <t>L144C34</t>
  </si>
  <si>
    <t>L147C8</t>
  </si>
  <si>
    <t>L147C31</t>
  </si>
  <si>
    <t>L147C32</t>
  </si>
  <si>
    <t>L147C33</t>
  </si>
  <si>
    <t>L147C34</t>
  </si>
  <si>
    <t>L150C31</t>
  </si>
  <si>
    <t>L150C32</t>
  </si>
  <si>
    <t>L150C33</t>
  </si>
  <si>
    <t>L150C34</t>
  </si>
  <si>
    <t>L151C8</t>
  </si>
  <si>
    <t>L153C31</t>
  </si>
  <si>
    <t>L153C32</t>
  </si>
  <si>
    <t>L153C33</t>
  </si>
  <si>
    <t>L153C34</t>
  </si>
  <si>
    <t>L154C8</t>
  </si>
  <si>
    <t>L154C10</t>
  </si>
  <si>
    <t>L155C8</t>
  </si>
  <si>
    <t>L155C10</t>
  </si>
  <si>
    <t>L156C8</t>
  </si>
  <si>
    <t>L156C10</t>
  </si>
  <si>
    <t>L156C31</t>
  </si>
  <si>
    <t>L156C32</t>
  </si>
  <si>
    <t>L156C33</t>
  </si>
  <si>
    <t>L156C34</t>
  </si>
  <si>
    <t>L160C7</t>
  </si>
  <si>
    <t>L161C10</t>
  </si>
  <si>
    <t>L163C10</t>
  </si>
  <si>
    <t>L167C31</t>
  </si>
  <si>
    <t>L167C32</t>
  </si>
  <si>
    <t>L167C33</t>
  </si>
  <si>
    <t>L167C34</t>
  </si>
  <si>
    <t>L168C7</t>
  </si>
  <si>
    <t>L168C31</t>
  </si>
  <si>
    <t>L168C32</t>
  </si>
  <si>
    <t>L168C33</t>
  </si>
  <si>
    <t>L168C34</t>
  </si>
  <si>
    <t>L173C8</t>
  </si>
  <si>
    <t>L177C31</t>
  </si>
  <si>
    <t>L177C32</t>
  </si>
  <si>
    <t>L177C33</t>
  </si>
  <si>
    <t>L177C34</t>
  </si>
  <si>
    <t>L179C31</t>
  </si>
  <si>
    <t>L179C32</t>
  </si>
  <si>
    <t>L179C33</t>
  </si>
  <si>
    <t>L179C34</t>
  </si>
  <si>
    <t>L182C9</t>
  </si>
  <si>
    <t>L184C9</t>
  </si>
  <si>
    <t>L187C8</t>
  </si>
  <si>
    <t>L187C31</t>
  </si>
  <si>
    <t>L187C32</t>
  </si>
  <si>
    <t>L187C33</t>
  </si>
  <si>
    <t>L187C34</t>
  </si>
  <si>
    <t>L189C7</t>
  </si>
  <si>
    <t>L190C7</t>
  </si>
  <si>
    <t>L190C8</t>
  </si>
  <si>
    <t>L190C31</t>
  </si>
  <si>
    <t>L190C32</t>
  </si>
  <si>
    <t>L190C33</t>
  </si>
  <si>
    <t>L190C34</t>
  </si>
  <si>
    <t>L194C11</t>
  </si>
  <si>
    <t>L197C8</t>
  </si>
  <si>
    <t>L201C8</t>
  </si>
  <si>
    <t>L201C31</t>
  </si>
  <si>
    <t>L201C32</t>
  </si>
  <si>
    <t>L201C33</t>
  </si>
  <si>
    <t>L201C34</t>
  </si>
  <si>
    <t>L205C8</t>
  </si>
  <si>
    <t>L205C31</t>
  </si>
  <si>
    <t>L205C32</t>
  </si>
  <si>
    <t>L205C33</t>
  </si>
  <si>
    <t>L205C34</t>
  </si>
  <si>
    <t>L206C8</t>
  </si>
  <si>
    <t>L206C31</t>
  </si>
  <si>
    <t>L206C32</t>
  </si>
  <si>
    <t>L206C33</t>
  </si>
  <si>
    <t>L206C34</t>
  </si>
  <si>
    <t>L208C8</t>
  </si>
  <si>
    <t>L208C31</t>
  </si>
  <si>
    <t>L208C32</t>
  </si>
  <si>
    <t>L208C33</t>
  </si>
  <si>
    <t>L208C34</t>
  </si>
  <si>
    <t>L209C1</t>
  </si>
  <si>
    <t>L209C2</t>
  </si>
  <si>
    <t>L209C7</t>
  </si>
  <si>
    <t>L209C8</t>
  </si>
  <si>
    <t>L209C31</t>
  </si>
  <si>
    <t>L209C32</t>
  </si>
  <si>
    <t>L209C33</t>
  </si>
  <si>
    <t>L209C34</t>
  </si>
  <si>
    <t>L210C1</t>
  </si>
  <si>
    <t>L210C2</t>
  </si>
  <si>
    <t>L210C7</t>
  </si>
  <si>
    <t>L210C8</t>
  </si>
  <si>
    <t>L210C31</t>
  </si>
  <si>
    <t>L210C32</t>
  </si>
  <si>
    <t>L210C33</t>
  </si>
  <si>
    <t>L210C34</t>
  </si>
  <si>
    <t>L211C1</t>
  </si>
  <si>
    <t>L211C2</t>
  </si>
  <si>
    <t>L211C7</t>
  </si>
  <si>
    <t>L211C31</t>
  </si>
  <si>
    <t>L211C32</t>
  </si>
  <si>
    <t>L211C33</t>
  </si>
  <si>
    <t>L211C34</t>
  </si>
  <si>
    <t>L212C1</t>
  </si>
  <si>
    <t>L212C2</t>
  </si>
  <si>
    <t>L212C7</t>
  </si>
  <si>
    <t>L213C1</t>
  </si>
  <si>
    <t>L213C2</t>
  </si>
  <si>
    <t>L213C7</t>
  </si>
  <si>
    <t>L213C8</t>
  </si>
  <si>
    <t>L213C31</t>
  </si>
  <si>
    <t>L213C32</t>
  </si>
  <si>
    <t>L213C33</t>
  </si>
  <si>
    <t>L213C34</t>
  </si>
  <si>
    <t>L214C1</t>
  </si>
  <si>
    <t>L214C2</t>
  </si>
  <si>
    <t>L214C7</t>
  </si>
  <si>
    <t>L214C8</t>
  </si>
  <si>
    <t>L214C31</t>
  </si>
  <si>
    <t>L214C32</t>
  </si>
  <si>
    <t>L214C33</t>
  </si>
  <si>
    <t>L214C34</t>
  </si>
  <si>
    <t>L215C1</t>
  </si>
  <si>
    <t>L215C2</t>
  </si>
  <si>
    <t>L215C7</t>
  </si>
  <si>
    <t>L215C8</t>
  </si>
  <si>
    <t>L215C31</t>
  </si>
  <si>
    <t>L215C32</t>
  </si>
  <si>
    <t>L215C33</t>
  </si>
  <si>
    <t>L215C34</t>
  </si>
  <si>
    <t>L216C1</t>
  </si>
  <si>
    <t>L216C2</t>
  </si>
  <si>
    <t>L216C7</t>
  </si>
  <si>
    <t>L216C8</t>
  </si>
  <si>
    <t>L216C31</t>
  </si>
  <si>
    <t>L216C32</t>
  </si>
  <si>
    <t>L216C33</t>
  </si>
  <si>
    <t>L216C34</t>
  </si>
  <si>
    <t>L217C1</t>
  </si>
  <si>
    <t>L217C2</t>
  </si>
  <si>
    <t>L217C7</t>
  </si>
  <si>
    <t>L217C8</t>
  </si>
  <si>
    <t>L217C31</t>
  </si>
  <si>
    <t>L217C32</t>
  </si>
  <si>
    <t>L217C33</t>
  </si>
  <si>
    <t>L217C34</t>
  </si>
  <si>
    <t>L218C1</t>
  </si>
  <si>
    <t>L218C2</t>
  </si>
  <si>
    <t>L218C7</t>
  </si>
  <si>
    <t>L218C8</t>
  </si>
  <si>
    <t>L218C31</t>
  </si>
  <si>
    <t>L218C32</t>
  </si>
  <si>
    <t>L218C33</t>
  </si>
  <si>
    <t>L218C34</t>
  </si>
  <si>
    <t>L219C1</t>
  </si>
  <si>
    <t>L219C2</t>
  </si>
  <si>
    <t>L219C7</t>
  </si>
  <si>
    <t>L219C31</t>
  </si>
  <si>
    <t>L219C32</t>
  </si>
  <si>
    <t>L219C33</t>
  </si>
  <si>
    <t>L219C34</t>
  </si>
  <si>
    <t>L220C1</t>
  </si>
  <si>
    <t>L220C2</t>
  </si>
  <si>
    <t>L221C1</t>
  </si>
  <si>
    <t>L221C2</t>
  </si>
  <si>
    <t>L222C1</t>
  </si>
  <si>
    <t>L222C2</t>
  </si>
  <si>
    <t>L223C1</t>
  </si>
  <si>
    <t>L223C2</t>
  </si>
  <si>
    <t>L223C7</t>
  </si>
  <si>
    <t>L224C1</t>
  </si>
  <si>
    <t>L224C2</t>
  </si>
  <si>
    <t>L224C7</t>
  </si>
  <si>
    <t>L225C1</t>
  </si>
  <si>
    <t>L225C2</t>
  </si>
  <si>
    <t>L225C7</t>
  </si>
  <si>
    <t>L225C8</t>
  </si>
  <si>
    <t>L225C31</t>
  </si>
  <si>
    <t>L225C32</t>
  </si>
  <si>
    <t>L225C33</t>
  </si>
  <si>
    <t>L225C34</t>
  </si>
  <si>
    <t>L226C1</t>
  </si>
  <si>
    <t>L226C2</t>
  </si>
  <si>
    <t>L226C7</t>
  </si>
  <si>
    <t>L226C8</t>
  </si>
  <si>
    <t>L226C31</t>
  </si>
  <si>
    <t>L226C32</t>
  </si>
  <si>
    <t>L226C33</t>
  </si>
  <si>
    <t>L226C34</t>
  </si>
  <si>
    <t>L227C1</t>
  </si>
  <si>
    <t>L227C2</t>
  </si>
  <si>
    <t>L227C7</t>
  </si>
  <si>
    <t>L227C31</t>
  </si>
  <si>
    <t>L227C32</t>
  </si>
  <si>
    <t>L227C33</t>
  </si>
  <si>
    <t>L227C34</t>
  </si>
  <si>
    <t>L228C1</t>
  </si>
  <si>
    <t>L228C2</t>
  </si>
  <si>
    <t>L228C7</t>
  </si>
  <si>
    <t>L228C31</t>
  </si>
  <si>
    <t>L228C32</t>
  </si>
  <si>
    <t>L228C33</t>
  </si>
  <si>
    <t>L228C34</t>
  </si>
  <si>
    <t>L229C1</t>
  </si>
  <si>
    <t>L229C2</t>
  </si>
  <si>
    <t>L229C7</t>
  </si>
  <si>
    <t>L229C8</t>
  </si>
  <si>
    <t>L229C31</t>
  </si>
  <si>
    <t>L229C32</t>
  </si>
  <si>
    <t>L229C33</t>
  </si>
  <si>
    <t>L229C34</t>
  </si>
  <si>
    <t>L230C1</t>
  </si>
  <si>
    <t>L230C2</t>
  </si>
  <si>
    <t>L230C7</t>
  </si>
  <si>
    <t>L231C1</t>
  </si>
  <si>
    <t>L231C2</t>
  </si>
  <si>
    <t>L232C1</t>
  </si>
  <si>
    <t>L232C2</t>
  </si>
  <si>
    <t>L232C7</t>
  </si>
  <si>
    <t>L233C1</t>
  </si>
  <si>
    <t>L233C2</t>
  </si>
  <si>
    <t>L233C8</t>
  </si>
  <si>
    <t>L233C31</t>
  </si>
  <si>
    <t>L233C32</t>
  </si>
  <si>
    <t>L233C33</t>
  </si>
  <si>
    <t>L233C34</t>
  </si>
  <si>
    <t>L234C1</t>
  </si>
  <si>
    <t>L234C2</t>
  </si>
  <si>
    <t>L235C1</t>
  </si>
  <si>
    <t>L235C2</t>
  </si>
  <si>
    <t>L235C8</t>
  </si>
  <si>
    <t>L235C31</t>
  </si>
  <si>
    <t>L235C32</t>
  </si>
  <si>
    <t>L235C33</t>
  </si>
  <si>
    <t>L235C34</t>
  </si>
  <si>
    <t>L236C1</t>
  </si>
  <si>
    <t>L236C2</t>
  </si>
  <si>
    <t>L237C1</t>
  </si>
  <si>
    <t>L237C2</t>
  </si>
  <si>
    <t>L237C7</t>
  </si>
  <si>
    <t>L237C8</t>
  </si>
  <si>
    <t>L237C31</t>
  </si>
  <si>
    <t>L237C32</t>
  </si>
  <si>
    <t>L237C33</t>
  </si>
  <si>
    <t>L237C34</t>
  </si>
  <si>
    <t>L238C1</t>
  </si>
  <si>
    <t>L238C2</t>
  </si>
  <si>
    <t>L238C10</t>
  </si>
  <si>
    <t>L239C1</t>
  </si>
  <si>
    <t>L239C2</t>
  </si>
  <si>
    <t>L239C7</t>
  </si>
  <si>
    <t>L239C8</t>
  </si>
  <si>
    <t>L239C10</t>
  </si>
  <si>
    <t>L239C31</t>
  </si>
  <si>
    <t>L239C32</t>
  </si>
  <si>
    <t>L239C33</t>
  </si>
  <si>
    <t>L239C34</t>
  </si>
  <si>
    <t>L240C1</t>
  </si>
  <si>
    <t>L240C2</t>
  </si>
  <si>
    <t>L240C8</t>
  </si>
  <si>
    <t>L240C10</t>
  </si>
  <si>
    <t>L240C31</t>
  </si>
  <si>
    <t>L240C32</t>
  </si>
  <si>
    <t>L240C33</t>
  </si>
  <si>
    <t>L240C34</t>
  </si>
  <si>
    <t>L241C1</t>
  </si>
  <si>
    <t>L241C2</t>
  </si>
  <si>
    <t>L241C8</t>
  </si>
  <si>
    <t>L241C10</t>
  </si>
  <si>
    <t>L241C31</t>
  </si>
  <si>
    <t>L241C32</t>
  </si>
  <si>
    <t>L241C33</t>
  </si>
  <si>
    <t>L241C34</t>
  </si>
  <si>
    <t>L242C1</t>
  </si>
  <si>
    <t>L242C2</t>
  </si>
  <si>
    <t>L242C8</t>
  </si>
  <si>
    <t>L242C10</t>
  </si>
  <si>
    <t>L242C31</t>
  </si>
  <si>
    <t>L242C32</t>
  </si>
  <si>
    <t>L242C33</t>
  </si>
  <si>
    <t>L242C34</t>
  </si>
  <si>
    <t>L243C1</t>
  </si>
  <si>
    <t>L243C2</t>
  </si>
  <si>
    <t>L243C10</t>
  </si>
  <si>
    <t>L244C1</t>
  </si>
  <si>
    <t>L244C2</t>
  </si>
  <si>
    <t>L244C8</t>
  </si>
  <si>
    <t>L244C10</t>
  </si>
  <si>
    <t>L244C31</t>
  </si>
  <si>
    <t>L244C32</t>
  </si>
  <si>
    <t>L244C33</t>
  </si>
  <si>
    <t>L244C34</t>
  </si>
  <si>
    <t>L245C1</t>
  </si>
  <si>
    <t>L245C2</t>
  </si>
  <si>
    <t>L245C7</t>
  </si>
  <si>
    <t>L245C10</t>
  </si>
  <si>
    <t>L245C31</t>
  </si>
  <si>
    <t>L245C32</t>
  </si>
  <si>
    <t>L245C33</t>
  </si>
  <si>
    <t>L245C34</t>
  </si>
  <si>
    <t>L246C1</t>
  </si>
  <si>
    <t>L246C2</t>
  </si>
  <si>
    <t>L246C7</t>
  </si>
  <si>
    <t>L246C10</t>
  </si>
  <si>
    <t>L246C31</t>
  </si>
  <si>
    <t>L246C32</t>
  </si>
  <si>
    <t>L246C33</t>
  </si>
  <si>
    <t>L246C34</t>
  </si>
  <si>
    <t>L247C1</t>
  </si>
  <si>
    <t>L247C2</t>
  </si>
  <si>
    <t>L247C7</t>
  </si>
  <si>
    <t>L247C10</t>
  </si>
  <si>
    <t>L247C31</t>
  </si>
  <si>
    <t>L247C32</t>
  </si>
  <si>
    <t>L247C33</t>
  </si>
  <si>
    <t>L247C34</t>
  </si>
  <si>
    <t>L248C1</t>
  </si>
  <si>
    <t>L248C2</t>
  </si>
  <si>
    <t>L248C7</t>
  </si>
  <si>
    <t>L248C8</t>
  </si>
  <si>
    <t>L248C10</t>
  </si>
  <si>
    <t>L248C31</t>
  </si>
  <si>
    <t>L248C32</t>
  </si>
  <si>
    <t>L248C33</t>
  </si>
  <si>
    <t>L248C34</t>
  </si>
  <si>
    <t>L249C1</t>
  </si>
  <si>
    <t>L249C2</t>
  </si>
  <si>
    <t>L249C7</t>
  </si>
  <si>
    <t>L250C1</t>
  </si>
  <si>
    <t>L251C1</t>
  </si>
  <si>
    <t>L252C1</t>
  </si>
  <si>
    <t>L253C10</t>
  </si>
  <si>
    <t>L254C10</t>
  </si>
  <si>
    <t>L255C7</t>
  </si>
  <si>
    <t>L256C7</t>
  </si>
  <si>
    <t>L258C8</t>
  </si>
  <si>
    <t>L258C31</t>
  </si>
  <si>
    <t>L258C32</t>
  </si>
  <si>
    <t>L258C33</t>
  </si>
  <si>
    <t>L258C34</t>
  </si>
  <si>
    <t>L263C8</t>
  </si>
  <si>
    <t>L263C31</t>
  </si>
  <si>
    <t>L263C32</t>
  </si>
  <si>
    <t>L263C33</t>
  </si>
  <si>
    <t>L263C34</t>
  </si>
  <si>
    <t>L265C8</t>
  </si>
  <si>
    <t>L266C10</t>
  </si>
  <si>
    <t>L267C7</t>
  </si>
  <si>
    <t>L267C10</t>
  </si>
  <si>
    <t>L268C7</t>
  </si>
  <si>
    <t>L269C8</t>
  </si>
  <si>
    <t>L271C10</t>
  </si>
  <si>
    <t>L272C7</t>
  </si>
  <si>
    <t>L272C10</t>
  </si>
  <si>
    <t>L272C31</t>
  </si>
  <si>
    <t>L272C32</t>
  </si>
  <si>
    <t>L272C33</t>
  </si>
  <si>
    <t>L272C34</t>
  </si>
  <si>
    <t>L273C7</t>
  </si>
  <si>
    <t>L275C10</t>
  </si>
  <si>
    <t>L276C7</t>
  </si>
  <si>
    <t>L276C10</t>
  </si>
  <si>
    <t>L277C7</t>
  </si>
  <si>
    <t>L279C8</t>
  </si>
  <si>
    <t>L279C31</t>
  </si>
  <si>
    <t>L279C32</t>
  </si>
  <si>
    <t>L279C33</t>
  </si>
  <si>
    <t>L279C34</t>
  </si>
  <si>
    <t>L282C9</t>
  </si>
  <si>
    <t>L283C7</t>
  </si>
  <si>
    <t>L285C8</t>
  </si>
  <si>
    <t>L286C7</t>
  </si>
  <si>
    <t>L286C8</t>
  </si>
  <si>
    <t>L286C31</t>
  </si>
  <si>
    <t>L286C32</t>
  </si>
  <si>
    <t>L286C33</t>
  </si>
  <si>
    <t>L286C34</t>
  </si>
  <si>
    <t>L288C7</t>
  </si>
  <si>
    <t>L288C31</t>
  </si>
  <si>
    <t>L288C32</t>
  </si>
  <si>
    <t>L288C33</t>
  </si>
  <si>
    <t>L288C34</t>
  </si>
  <si>
    <t>L289C7</t>
  </si>
  <si>
    <t>L300C8</t>
  </si>
  <si>
    <t>L300C31</t>
  </si>
  <si>
    <t>L300C32</t>
  </si>
  <si>
    <t>L300C33</t>
  </si>
  <si>
    <t>L300C34</t>
  </si>
  <si>
    <t>L302C7</t>
  </si>
  <si>
    <t>L302C8</t>
  </si>
  <si>
    <t>L302C31</t>
  </si>
  <si>
    <t>L302C32</t>
  </si>
  <si>
    <t>L302C33</t>
  </si>
  <si>
    <t>L302C34</t>
  </si>
  <si>
    <t>L303C7</t>
  </si>
  <si>
    <t>L304C8</t>
  </si>
  <si>
    <t>L304C31</t>
  </si>
  <si>
    <t>L304C32</t>
  </si>
  <si>
    <t>L304C33</t>
  </si>
  <si>
    <t>L304C34</t>
  </si>
  <si>
    <t>L305C8</t>
  </si>
  <si>
    <t>L305C31</t>
  </si>
  <si>
    <t>L305C32</t>
  </si>
  <si>
    <t>L305C33</t>
  </si>
  <si>
    <t>L305C34</t>
  </si>
  <si>
    <t>L306C8</t>
  </si>
  <si>
    <t>L306C31</t>
  </si>
  <si>
    <t>L306C32</t>
  </si>
  <si>
    <t>L306C33</t>
  </si>
  <si>
    <t>L306C34</t>
  </si>
  <si>
    <t>L311C7</t>
  </si>
  <si>
    <t>L313C7</t>
  </si>
  <si>
    <t>L313C8</t>
  </si>
  <si>
    <t>L313C31</t>
  </si>
  <si>
    <t>L313C32</t>
  </si>
  <si>
    <t>L313C33</t>
  </si>
  <si>
    <t>L313C34</t>
  </si>
  <si>
    <t>L316C7</t>
  </si>
  <si>
    <t>L317C7</t>
  </si>
  <si>
    <t>L320C1</t>
  </si>
  <si>
    <t>L320C2</t>
  </si>
  <si>
    <t>L320C7</t>
  </si>
  <si>
    <t>L320C8</t>
  </si>
  <si>
    <t>L320C31</t>
  </si>
  <si>
    <t>L320C32</t>
  </si>
  <si>
    <t>L320C33</t>
  </si>
  <si>
    <t>L320C34</t>
  </si>
  <si>
    <t>L321C1</t>
  </si>
  <si>
    <t>L321C2</t>
  </si>
  <si>
    <t>L321C7</t>
  </si>
  <si>
    <t>L321C8</t>
  </si>
  <si>
    <t>L321C31</t>
  </si>
  <si>
    <t>L321C32</t>
  </si>
  <si>
    <t>L321C33</t>
  </si>
  <si>
    <t>L321C34</t>
  </si>
  <si>
    <t>L322C1</t>
  </si>
  <si>
    <t>L322C2</t>
  </si>
  <si>
    <t>L322C7</t>
  </si>
  <si>
    <t>L322C8</t>
  </si>
  <si>
    <t>L322C31</t>
  </si>
  <si>
    <t>L322C32</t>
  </si>
  <si>
    <t>L322C33</t>
  </si>
  <si>
    <t>L322C34</t>
  </si>
  <si>
    <t>L55C7</t>
  </si>
  <si>
    <t>L55C8</t>
  </si>
  <si>
    <t>L55C31</t>
  </si>
  <si>
    <t>L55C32</t>
  </si>
  <si>
    <t>L55C33</t>
  </si>
  <si>
    <t>L55C34</t>
  </si>
  <si>
    <t>L57C7</t>
  </si>
  <si>
    <t>L57C31</t>
  </si>
  <si>
    <t>L57C32</t>
  </si>
  <si>
    <t>L57C33</t>
  </si>
  <si>
    <t>L57C34</t>
  </si>
  <si>
    <t>L58C7</t>
  </si>
  <si>
    <t>L58C9</t>
  </si>
  <si>
    <t>L60C9</t>
  </si>
  <si>
    <t>L61C7</t>
  </si>
  <si>
    <t>L61C31</t>
  </si>
  <si>
    <t>L61C32</t>
  </si>
  <si>
    <t>L61C33</t>
  </si>
  <si>
    <t>L61C34</t>
  </si>
  <si>
    <t>L62C7</t>
  </si>
  <si>
    <t>L62C31</t>
  </si>
  <si>
    <t>L62C32</t>
  </si>
  <si>
    <t>L62C33</t>
  </si>
  <si>
    <t>L62C34</t>
  </si>
  <si>
    <t>L63C7</t>
  </si>
  <si>
    <t>L64C7</t>
  </si>
  <si>
    <t>L64C8</t>
  </si>
  <si>
    <t>L64C31</t>
  </si>
  <si>
    <t>L64C32</t>
  </si>
  <si>
    <t>L64C33</t>
  </si>
  <si>
    <t>L64C34</t>
  </si>
  <si>
    <t>L66C7</t>
  </si>
  <si>
    <t>L66C8</t>
  </si>
  <si>
    <t>L66C31</t>
  </si>
  <si>
    <t>L66C32</t>
  </si>
  <si>
    <t>L66C33</t>
  </si>
  <si>
    <t>L66C34</t>
  </si>
  <si>
    <t>L70C31</t>
  </si>
  <si>
    <t>L70C32</t>
  </si>
  <si>
    <t>L70C33</t>
  </si>
  <si>
    <t>L70C34</t>
  </si>
  <si>
    <t>L75C8</t>
  </si>
  <si>
    <t>L75C31</t>
  </si>
  <si>
    <t>L75C32</t>
  </si>
  <si>
    <t>L75C33</t>
  </si>
  <si>
    <t>L75C34</t>
  </si>
  <si>
    <t>L76C7</t>
  </si>
  <si>
    <t>L79C7</t>
  </si>
  <si>
    <t>L80C7</t>
  </si>
  <si>
    <t>L81C10</t>
  </si>
  <si>
    <t>L81C31</t>
  </si>
  <si>
    <t>L81C32</t>
  </si>
  <si>
    <t>L81C33</t>
  </si>
  <si>
    <t>L81C34</t>
  </si>
  <si>
    <t>L82C31</t>
  </si>
  <si>
    <t>L82C32</t>
  </si>
  <si>
    <t>L82C33</t>
  </si>
  <si>
    <t>L82C34</t>
  </si>
  <si>
    <t>L83C8</t>
  </si>
  <si>
    <t>L83C10</t>
  </si>
  <si>
    <t>L83C31</t>
  </si>
  <si>
    <t>L83C32</t>
  </si>
  <si>
    <t>L83C33</t>
  </si>
  <si>
    <t>L83C34</t>
  </si>
  <si>
    <t>L86C7</t>
  </si>
  <si>
    <t>L89C7</t>
  </si>
  <si>
    <t>L91C9</t>
  </si>
  <si>
    <t>L95C8</t>
  </si>
  <si>
    <t>L98C9</t>
  </si>
  <si>
    <t>L107C9</t>
  </si>
  <si>
    <t>L114C9</t>
  </si>
  <si>
    <t>L115C8</t>
  </si>
  <si>
    <t>L115C31</t>
  </si>
  <si>
    <t>L115C32</t>
  </si>
  <si>
    <t>L115C33</t>
  </si>
  <si>
    <t>L115C34</t>
  </si>
  <si>
    <t>L120C9</t>
  </si>
  <si>
    <t>L133C31</t>
  </si>
  <si>
    <t>L133C32</t>
  </si>
  <si>
    <t>L133C33</t>
  </si>
  <si>
    <t>L133C34</t>
  </si>
  <si>
    <t>L134C31</t>
  </si>
  <si>
    <t>L134C32</t>
  </si>
  <si>
    <t>L134C33</t>
  </si>
  <si>
    <t>L134C34</t>
  </si>
  <si>
    <t>L135C8</t>
  </si>
  <si>
    <t>L136C9</t>
  </si>
  <si>
    <t>L140C8</t>
  </si>
  <si>
    <t>L143C9</t>
  </si>
  <si>
    <t>L146C31</t>
  </si>
  <si>
    <t>L146C32</t>
  </si>
  <si>
    <t>L146C33</t>
  </si>
  <si>
    <t>L146C34</t>
  </si>
  <si>
    <t>L149C8</t>
  </si>
  <si>
    <t>L156C7</t>
  </si>
  <si>
    <t>L158C31</t>
  </si>
  <si>
    <t>L158C32</t>
  </si>
  <si>
    <t>L158C33</t>
  </si>
  <si>
    <t>L158C34</t>
  </si>
  <si>
    <t>L36C7</t>
  </si>
  <si>
    <t>L36C8</t>
  </si>
  <si>
    <t>L36C31</t>
  </si>
  <si>
    <t>L36C32</t>
  </si>
  <si>
    <t>L36C33</t>
  </si>
  <si>
    <t>L36C34</t>
  </si>
  <si>
    <t>L37C7</t>
  </si>
  <si>
    <t>L41C1</t>
  </si>
  <si>
    <t>L41C7</t>
  </si>
  <si>
    <t>L41C31</t>
  </si>
  <si>
    <t>L41C32</t>
  </si>
  <si>
    <t>L41C33</t>
  </si>
  <si>
    <t>L41C34</t>
  </si>
  <si>
    <t>L42C1</t>
  </si>
  <si>
    <t>L42C7</t>
  </si>
  <si>
    <t>L42C31</t>
  </si>
  <si>
    <t>L42C32</t>
  </si>
  <si>
    <t>L42C33</t>
  </si>
  <si>
    <t>L42C34</t>
  </si>
  <si>
    <t>L43C1</t>
  </si>
  <si>
    <t>L44C1</t>
  </si>
  <si>
    <t>L44C7</t>
  </si>
  <si>
    <t>L44C8</t>
  </si>
  <si>
    <t>L44C31</t>
  </si>
  <si>
    <t>L44C32</t>
  </si>
  <si>
    <t>L44C33</t>
  </si>
  <si>
    <t>L44C34</t>
  </si>
  <si>
    <t>L45C1</t>
  </si>
  <si>
    <t>L45C7</t>
  </si>
  <si>
    <t>L45C31</t>
  </si>
  <si>
    <t>L45C32</t>
  </si>
  <si>
    <t>L45C33</t>
  </si>
  <si>
    <t>L45C34</t>
  </si>
  <si>
    <t>L46C1</t>
  </si>
  <si>
    <t>L46C7</t>
  </si>
  <si>
    <t>L46C31</t>
  </si>
  <si>
    <t>L46C32</t>
  </si>
  <si>
    <t>L46C33</t>
  </si>
  <si>
    <t>L46C34</t>
  </si>
  <si>
    <t>L47C1</t>
  </si>
  <si>
    <t>L48C1</t>
  </si>
  <si>
    <t>L48C8</t>
  </si>
  <si>
    <t>L48C31</t>
  </si>
  <si>
    <t>L48C32</t>
  </si>
  <si>
    <t>L48C33</t>
  </si>
  <si>
    <t>L48C34</t>
  </si>
  <si>
    <t>L49C1</t>
  </si>
  <si>
    <t>L49C7</t>
  </si>
  <si>
    <t>L49C8</t>
  </si>
  <si>
    <t>L49C31</t>
  </si>
  <si>
    <t>L49C32</t>
  </si>
  <si>
    <t>L49C33</t>
  </si>
  <si>
    <t>L49C34</t>
  </si>
  <si>
    <t>L52C7</t>
  </si>
  <si>
    <t>L52C31</t>
  </si>
  <si>
    <t>L52C32</t>
  </si>
  <si>
    <t>L52C33</t>
  </si>
  <si>
    <t>L52C34</t>
  </si>
  <si>
    <t>L53C7</t>
  </si>
  <si>
    <t>L54C7</t>
  </si>
  <si>
    <t>L56C7</t>
  </si>
  <si>
    <t>L70C8</t>
  </si>
  <si>
    <t>L71C10</t>
  </si>
  <si>
    <t>L74C8</t>
  </si>
  <si>
    <t>L77C7</t>
  </si>
  <si>
    <t>L77C8</t>
  </si>
  <si>
    <t>L77C31</t>
  </si>
  <si>
    <t>L77C32</t>
  </si>
  <si>
    <t>L77C33</t>
  </si>
  <si>
    <t>L77C34</t>
  </si>
  <si>
    <t>L85C10</t>
  </si>
  <si>
    <t>L28C8</t>
  </si>
  <si>
    <t>L28C31</t>
  </si>
  <si>
    <t>L28C32</t>
  </si>
  <si>
    <t>L28C33</t>
  </si>
  <si>
    <t>L28C34</t>
  </si>
  <si>
    <t>L29C7</t>
  </si>
  <si>
    <t>L29C31</t>
  </si>
  <si>
    <t>L29C32</t>
  </si>
  <si>
    <t>L29C33</t>
  </si>
  <si>
    <t>L29C34</t>
  </si>
  <si>
    <t>L31C10</t>
  </si>
  <si>
    <t>L32C10</t>
  </si>
  <si>
    <t>L33C1</t>
  </si>
  <si>
    <t>L33C7</t>
  </si>
  <si>
    <t>L33C31</t>
  </si>
  <si>
    <t>L33C32</t>
  </si>
  <si>
    <t>L33C33</t>
  </si>
  <si>
    <t>L33C34</t>
  </si>
  <si>
    <t>L34C1</t>
  </si>
  <si>
    <t>L34C7</t>
  </si>
  <si>
    <t>L35C1</t>
  </si>
  <si>
    <t>L36C1</t>
  </si>
  <si>
    <t>L37C1</t>
  </si>
  <si>
    <t>L38C1</t>
  </si>
  <si>
    <t>L39C31</t>
  </si>
  <si>
    <t>L39C32</t>
  </si>
  <si>
    <t>L39C33</t>
  </si>
  <si>
    <t>L39C34</t>
  </si>
  <si>
    <t>L40C10</t>
  </si>
  <si>
    <t>L40C31</t>
  </si>
  <si>
    <t>L40C32</t>
  </si>
  <si>
    <t>L40C33</t>
  </si>
  <si>
    <t>L40C34</t>
  </si>
  <si>
    <t>L42C8</t>
  </si>
  <si>
    <t>L43C7</t>
  </si>
  <si>
    <t>L43C8</t>
  </si>
  <si>
    <t>L43C31</t>
  </si>
  <si>
    <t>L43C32</t>
  </si>
  <si>
    <t>L43C33</t>
  </si>
  <si>
    <t>L43C34</t>
  </si>
  <si>
    <t>L46C9</t>
  </si>
  <si>
    <t>L47C7</t>
  </si>
  <si>
    <t>L47C8</t>
  </si>
  <si>
    <t>L47C9</t>
  </si>
  <si>
    <t>L47C31</t>
  </si>
  <si>
    <t>L47C32</t>
  </si>
  <si>
    <t>L47C33</t>
  </si>
  <si>
    <t>L47C34</t>
  </si>
  <si>
    <t>L48C10</t>
  </si>
  <si>
    <t>L59C10</t>
  </si>
  <si>
    <t>L61C10</t>
  </si>
  <si>
    <t>L72C9</t>
  </si>
  <si>
    <t>L73C9</t>
  </si>
  <si>
    <t>L78C7</t>
  </si>
  <si>
    <t>L9C1</t>
  </si>
  <si>
    <t>L9C2</t>
  </si>
  <si>
    <t>L9C7</t>
  </si>
  <si>
    <t>L9C31</t>
  </si>
  <si>
    <t>L9C32</t>
  </si>
  <si>
    <t>L9C33</t>
  </si>
  <si>
    <t>L9C34</t>
  </si>
  <si>
    <t>L10C7</t>
  </si>
  <si>
    <t>L10C10</t>
  </si>
  <si>
    <t>L11C7</t>
  </si>
  <si>
    <t>L11C8</t>
  </si>
  <si>
    <t>L11C31</t>
  </si>
  <si>
    <t>L11C32</t>
  </si>
  <si>
    <t>L11C33</t>
  </si>
  <si>
    <t>L11C34</t>
  </si>
  <si>
    <t>L12C1</t>
  </si>
  <si>
    <t>L12C2</t>
  </si>
  <si>
    <t>L12C8</t>
  </si>
  <si>
    <t>L12C31</t>
  </si>
  <si>
    <t>L12C32</t>
  </si>
  <si>
    <t>L12C33</t>
  </si>
  <si>
    <t>L12C34</t>
  </si>
  <si>
    <t>L13C8</t>
  </si>
  <si>
    <t>L13C31</t>
  </si>
  <si>
    <t>L13C32</t>
  </si>
  <si>
    <t>L13C33</t>
  </si>
  <si>
    <t>L13C34</t>
  </si>
  <si>
    <t>L14C8</t>
  </si>
  <si>
    <t>L14C31</t>
  </si>
  <si>
    <t>L14C32</t>
  </si>
  <si>
    <t>L14C33</t>
  </si>
  <si>
    <t>L14C34</t>
  </si>
  <si>
    <t>L15C1</t>
  </si>
  <si>
    <t>L15C2</t>
  </si>
  <si>
    <t>L15C10</t>
  </si>
  <si>
    <t>L15C31</t>
  </si>
  <si>
    <t>L15C32</t>
  </si>
  <si>
    <t>L15C33</t>
  </si>
  <si>
    <t>L15C34</t>
  </si>
  <si>
    <t>L16C31</t>
  </si>
  <si>
    <t>L16C32</t>
  </si>
  <si>
    <t>L16C33</t>
  </si>
  <si>
    <t>L16C34</t>
  </si>
  <si>
    <t>L17C7</t>
  </si>
  <si>
    <t>L17C8</t>
  </si>
  <si>
    <t>L17C31</t>
  </si>
  <si>
    <t>L17C32</t>
  </si>
  <si>
    <t>L17C33</t>
  </si>
  <si>
    <t>L17C34</t>
  </si>
  <si>
    <t>L18C1</t>
  </si>
  <si>
    <t>L18C2</t>
  </si>
  <si>
    <t>L18C8</t>
  </si>
  <si>
    <t>L18C31</t>
  </si>
  <si>
    <t>L18C32</t>
  </si>
  <si>
    <t>L18C33</t>
  </si>
  <si>
    <t>L18C34</t>
  </si>
  <si>
    <t>L19C7</t>
  </si>
  <si>
    <t>L19C8</t>
  </si>
  <si>
    <t>L19C31</t>
  </si>
  <si>
    <t>L19C32</t>
  </si>
  <si>
    <t>L19C33</t>
  </si>
  <si>
    <t>L19C34</t>
  </si>
  <si>
    <t>L20C1</t>
  </si>
  <si>
    <t>L20C2</t>
  </si>
  <si>
    <t>L21C1</t>
  </si>
  <si>
    <t>L21C2</t>
  </si>
  <si>
    <t>L21C10</t>
  </si>
  <si>
    <t>L21C31</t>
  </si>
  <si>
    <t>L21C32</t>
  </si>
  <si>
    <t>L21C33</t>
  </si>
  <si>
    <t>L21C34</t>
  </si>
  <si>
    <t>L22C1</t>
  </si>
  <si>
    <t>L22C2</t>
  </si>
  <si>
    <t>L22C7</t>
  </si>
  <si>
    <t>L23C1</t>
  </si>
  <si>
    <t>L23C2</t>
  </si>
  <si>
    <t>L23C7</t>
  </si>
  <si>
    <t>L24C1</t>
  </si>
  <si>
    <t>L24C2</t>
  </si>
  <si>
    <t>L24C8</t>
  </si>
  <si>
    <t>L24C10</t>
  </si>
  <si>
    <t>L24C31</t>
  </si>
  <si>
    <t>L24C32</t>
  </si>
  <si>
    <t>L24C33</t>
  </si>
  <si>
    <t>L24C34</t>
  </si>
  <si>
    <t>L25C1</t>
  </si>
  <si>
    <t>L25C2</t>
  </si>
  <si>
    <t>L25C10</t>
  </si>
  <si>
    <t>L26C1</t>
  </si>
  <si>
    <t>L26C10</t>
  </si>
  <si>
    <t>L27C1</t>
  </si>
  <si>
    <t>L27C31</t>
  </si>
  <si>
    <t>L27C32</t>
  </si>
  <si>
    <t>L27C33</t>
  </si>
  <si>
    <t>L27C34</t>
  </si>
  <si>
    <t>L28C10</t>
  </si>
  <si>
    <t>L30C1</t>
  </si>
  <si>
    <t>L30C7</t>
  </si>
  <si>
    <t>L30C31</t>
  </si>
  <si>
    <t>L30C32</t>
  </si>
  <si>
    <t>L30C33</t>
  </si>
  <si>
    <t>L30C34</t>
  </si>
  <si>
    <t>L31C1</t>
  </si>
  <si>
    <t>L32C1</t>
  </si>
  <si>
    <t>L32C7</t>
  </si>
  <si>
    <t>L35C10</t>
  </si>
  <si>
    <t>L36C10</t>
  </si>
  <si>
    <t>L37C8</t>
  </si>
  <si>
    <t>L37C31</t>
  </si>
  <si>
    <t>L37C32</t>
  </si>
  <si>
    <t>L37C33</t>
  </si>
  <si>
    <t>L37C34</t>
  </si>
  <si>
    <t>L40C8</t>
  </si>
  <si>
    <t>L48C7</t>
  </si>
  <si>
    <t>L53C10</t>
  </si>
  <si>
    <t>L54C10</t>
  </si>
  <si>
    <t>L56C10</t>
  </si>
  <si>
    <t>L61C8</t>
  </si>
  <si>
    <t>L26C16</t>
  </si>
  <si>
    <t>L63C13</t>
  </si>
  <si>
    <t>L63C16</t>
  </si>
  <si>
    <t>L64C10</t>
  </si>
  <si>
    <t>L66C13</t>
  </si>
  <si>
    <t>L68C3</t>
  </si>
  <si>
    <t>L68C12</t>
  </si>
  <si>
    <t>L68C13</t>
  </si>
  <si>
    <t>L69C16</t>
  </si>
  <si>
    <t>L70C4</t>
  </si>
  <si>
    <t>L70C5</t>
  </si>
  <si>
    <t>L70C6</t>
  </si>
  <si>
    <t>L70C10</t>
  </si>
  <si>
    <t>L73C16</t>
  </si>
  <si>
    <t>L77C13</t>
  </si>
  <si>
    <t>L79C12</t>
  </si>
  <si>
    <t>L80C13</t>
  </si>
  <si>
    <t>L80C16</t>
  </si>
  <si>
    <t>L84C15</t>
  </si>
  <si>
    <t>L85C4</t>
  </si>
  <si>
    <t>L85C5</t>
  </si>
  <si>
    <t>L85C6</t>
  </si>
  <si>
    <t>L86C10</t>
  </si>
  <si>
    <t>L88C13</t>
  </si>
  <si>
    <t>L89C15</t>
  </si>
  <si>
    <t>L90C15</t>
  </si>
  <si>
    <t>L91C13</t>
  </si>
  <si>
    <t>L92C13</t>
  </si>
  <si>
    <t>L95C13</t>
  </si>
  <si>
    <t>L96C13</t>
  </si>
  <si>
    <t>L96C15</t>
  </si>
  <si>
    <t>Réception de courrier falsifié</t>
  </si>
  <si>
    <t>Tout sauf Palliatif</t>
  </si>
  <si>
    <t>Conformité aux exigences de gouvernance (8 CEX)</t>
  </si>
  <si>
    <t>par action volontaire commise par une personne non autorisée (après captation sur le réseau)</t>
  </si>
  <si>
    <t>par action volontaire menée par une personne non autorisée (après captation sur le réseau)</t>
  </si>
  <si>
    <t>5A05-01</t>
  </si>
  <si>
    <t>Contrôle des informations publiées sur un site web ou interne</t>
  </si>
  <si>
    <t>A-t-on analysé les informations publiées devant faire l'objet d'une surveillance permanente active ?</t>
  </si>
  <si>
    <t>A-t-on mis en place, en conséquence, une surveillance active par un automate comparant la version publiée à une version de référence ?</t>
  </si>
  <si>
    <t>Si oui, l'accès en modification à la version de référence est-il soumis à un contrôle d'accès "fort" ?</t>
  </si>
  <si>
    <t>La modification de la version de référence est-elle soumise au visa du propriétaire de l'information ?</t>
  </si>
  <si>
    <t>Ce contrôle permanent est-il fortement protégé contre toute altération illicite ?</t>
  </si>
  <si>
    <t>5A05-02</t>
  </si>
  <si>
    <t>5A05-03</t>
  </si>
  <si>
    <t>5A05-04</t>
  </si>
  <si>
    <t>5A05-05</t>
  </si>
  <si>
    <t>5A05-06</t>
  </si>
  <si>
    <t>A-t-on analysé les fonctionnalités logicielles devant faire l'objet d'une surveillance permanente active ?</t>
  </si>
  <si>
    <t>Si oui, l'accès en modification aux versions de référence est-il soumis à un contrôle d'accès "fort" ?</t>
  </si>
  <si>
    <t>La modification de toute version de référence est-elle soumise au visa du propriétaire de l'application ?</t>
  </si>
  <si>
    <t>5A06-01</t>
  </si>
  <si>
    <t>5A06-02</t>
  </si>
  <si>
    <t>5A06-03</t>
  </si>
  <si>
    <t>5A06-04</t>
  </si>
  <si>
    <t>5A06-05</t>
  </si>
  <si>
    <t>5A06-06</t>
  </si>
  <si>
    <t>A-t-on établi une politique de sécurité relative aux moyens de secours à employer en cas d'arrêt et d'indisponibilité de la messagerie d'entreprise ?</t>
  </si>
  <si>
    <t>A-t-on défini, en conséquence les moyens de secours  à employer et peuvent-ils être déployés dans un délai compatible avec les besoins des utilisateurs ?</t>
  </si>
  <si>
    <t>A-t-on vérifié, par des tests en vraie grandeur le caractère opérationnel de la solution de secours</t>
  </si>
  <si>
    <t>6A03-01</t>
  </si>
  <si>
    <t>6A03-02</t>
  </si>
  <si>
    <t>6A03-03</t>
  </si>
  <si>
    <t>6A03-04</t>
  </si>
  <si>
    <t>6A03-05</t>
  </si>
  <si>
    <t>Inapplication de procédures adaptées</t>
  </si>
  <si>
    <t>Existe-t-il une procédure indiquant le traitement à effectuer pour les médias devant être réaffectés ou mis au rebut en fonction de la sensibilité des données qu'ils contiennent ?</t>
  </si>
  <si>
    <t>Panne ou dysfonctionnement d'équipement</t>
  </si>
  <si>
    <t xml:space="preserve">Altérations ou pertes (non détectées) de messages transactionnels </t>
  </si>
  <si>
    <t xml:space="preserve">GMAF </t>
  </si>
  <si>
    <t xml:space="preserve">CASE </t>
  </si>
  <si>
    <t xml:space="preserve">SIPU </t>
  </si>
  <si>
    <t xml:space="preserve">SCPO </t>
  </si>
  <si>
    <t xml:space="preserve">PCCV </t>
  </si>
  <si>
    <t>Service</t>
  </si>
  <si>
    <t>Rappel sélections issues des Plans d'action</t>
  </si>
  <si>
    <t>CODI</t>
  </si>
  <si>
    <t>Contrôles des données sur incidents</t>
  </si>
  <si>
    <t>SDMR</t>
  </si>
  <si>
    <t>Sécurité des données des médias mis au rebut</t>
  </si>
  <si>
    <t>COMA</t>
  </si>
  <si>
    <t>Contrôle des opérations de maintenance</t>
  </si>
  <si>
    <t>DAPD01-a</t>
  </si>
  <si>
    <t>DAPD01-b</t>
  </si>
  <si>
    <t>DAPD02</t>
  </si>
  <si>
    <t>DAPD03</t>
  </si>
  <si>
    <t>DAPD04</t>
  </si>
  <si>
    <t>DAPD05-a</t>
  </si>
  <si>
    <t>DAPD05-b</t>
  </si>
  <si>
    <t>DAPD06-a</t>
  </si>
  <si>
    <t>DAPD06-b</t>
  </si>
  <si>
    <t>DAPD06-c</t>
  </si>
  <si>
    <t>DAPD07</t>
  </si>
  <si>
    <t>DAPD08</t>
  </si>
  <si>
    <t>DAPD09</t>
  </si>
  <si>
    <t>pendant une opération de maintenance</t>
  </si>
  <si>
    <t>Perte accidentelle ou oubli de document ou de media</t>
  </si>
  <si>
    <t>DAPD10-a</t>
  </si>
  <si>
    <t>DAPD10-b</t>
  </si>
  <si>
    <t>Perte par vol physique de document ou de media</t>
  </si>
  <si>
    <t>vol commis par une personne non autorisée à pénétrer dans les locaux de l'exploitation</t>
  </si>
  <si>
    <t>DAPD11</t>
  </si>
  <si>
    <t>DAPD12</t>
  </si>
  <si>
    <t>DAPD13</t>
  </si>
  <si>
    <t>DAPD14</t>
  </si>
  <si>
    <t>DAPD</t>
  </si>
  <si>
    <t>DAPI</t>
  </si>
  <si>
    <t>DAPI01-a</t>
  </si>
  <si>
    <t>DAPI01-b</t>
  </si>
  <si>
    <t>DAPI02-a</t>
  </si>
  <si>
    <t>DAPI02-b</t>
  </si>
  <si>
    <t>due à une erreur de procédure, lors d'une opération de maintenance (programmée ou maintenance à chaud)</t>
  </si>
  <si>
    <t>DAPI03-a</t>
  </si>
  <si>
    <t>DAPI03-b</t>
  </si>
  <si>
    <t>DAPI03-c</t>
  </si>
  <si>
    <t>DAPI04</t>
  </si>
  <si>
    <t>DAPI05-a</t>
  </si>
  <si>
    <t>DAPI05-b</t>
  </si>
  <si>
    <t>DAPC01-a</t>
  </si>
  <si>
    <t>DAPC01-b</t>
  </si>
  <si>
    <t>DAPC01-c</t>
  </si>
  <si>
    <t>DAPC02</t>
  </si>
  <si>
    <t>DAPC03</t>
  </si>
  <si>
    <t>DAPC04-a</t>
  </si>
  <si>
    <t>DAPC04-b</t>
  </si>
  <si>
    <t>DAPC05</t>
  </si>
  <si>
    <t>DAPC</t>
  </si>
  <si>
    <t>DBUD</t>
  </si>
  <si>
    <t>DBUD01-a</t>
  </si>
  <si>
    <t>DBUD01-b</t>
  </si>
  <si>
    <t>DBUD01-c</t>
  </si>
  <si>
    <t>Effacement accidentel de fichiers de données, incluant les fichiers relatifs aux agendas et contacts (sur un serveur de données partagées ou sur le poste de travail)</t>
  </si>
  <si>
    <t>min(4A03,6B04)</t>
  </si>
  <si>
    <t>Effacement de fichiers de données par un virus ou un logiciel malveillant (sur un serveur de données partagées ou sur le poste de travail)</t>
  </si>
  <si>
    <t>DBUD02</t>
  </si>
  <si>
    <t>DBUD03</t>
  </si>
  <si>
    <t>DBUD04</t>
  </si>
  <si>
    <t>DBUD05</t>
  </si>
  <si>
    <t xml:space="preserve">Falsification massive ou incohérences de données les rendant inutilisables, suite à une erreur utilisateur, sur un serveur de données partagées ou sur le poste de travail, </t>
  </si>
  <si>
    <t>DBUD06</t>
  </si>
  <si>
    <t>DBUD07</t>
  </si>
  <si>
    <t>DBUD08</t>
  </si>
  <si>
    <t>DBUD09</t>
  </si>
  <si>
    <t>DBUD10-a</t>
  </si>
  <si>
    <t>DBUD10-b</t>
  </si>
  <si>
    <t>par une personne non autorisée à pénétrer dans les espaces de bureau</t>
  </si>
  <si>
    <t>par une personne autorisée à pénétrer dans les espaces de bureau (dont le personnel doté de droits privilégiés)</t>
  </si>
  <si>
    <t>DBUD11</t>
  </si>
  <si>
    <t>DBUD12</t>
  </si>
  <si>
    <t>DBUD13</t>
  </si>
  <si>
    <t>DBUD14</t>
  </si>
  <si>
    <t>sur serveur de données, par un utilisateur autorisé (dont le personnel doté de droits privilégiés)</t>
  </si>
  <si>
    <t>DBUI01-a</t>
  </si>
  <si>
    <t>DBUI01-b</t>
  </si>
  <si>
    <t>DBUI01-c</t>
  </si>
  <si>
    <t>DBUI03-a</t>
  </si>
  <si>
    <t>DBUI03-b</t>
  </si>
  <si>
    <t>DBUI02</t>
  </si>
  <si>
    <t>DBUI04</t>
  </si>
  <si>
    <t>DBUI</t>
  </si>
  <si>
    <t>fichiers de données bureautiques partagées, par un utilisateur autorisé (dont le personnel doté de droits privilégiés)</t>
  </si>
  <si>
    <t>DBUC01-a</t>
  </si>
  <si>
    <t>DBUC01-b</t>
  </si>
  <si>
    <t>DBUC01-c</t>
  </si>
  <si>
    <t>DBUC01-d</t>
  </si>
  <si>
    <t>DBUC01-e</t>
  </si>
  <si>
    <t>DBUC</t>
  </si>
  <si>
    <t>DBUC02</t>
  </si>
  <si>
    <t>DBUC03</t>
  </si>
  <si>
    <t>DBUC04</t>
  </si>
  <si>
    <t>DBUC05</t>
  </si>
  <si>
    <t>DBUC06</t>
  </si>
  <si>
    <t>DBUC07</t>
  </si>
  <si>
    <t>DBUC08</t>
  </si>
  <si>
    <t>DBUC09</t>
  </si>
  <si>
    <t>dans les bureaux, par une personne autorisée (dont le personnel doté de droits privilégiés)</t>
  </si>
  <si>
    <t>DBUC10-a</t>
  </si>
  <si>
    <t>DBUC10-b</t>
  </si>
  <si>
    <t>DBUC10-c</t>
  </si>
  <si>
    <t>dans un bureau par une personne autorisée à y pénétrer (dont personnel doté de droits d'accès physiques privilégiés)</t>
  </si>
  <si>
    <t>dans un bureau par une personne non autorisée à y pénétrer</t>
  </si>
  <si>
    <t>IEID01-a</t>
  </si>
  <si>
    <t>IEID01-b</t>
  </si>
  <si>
    <t>IEID01-c</t>
  </si>
  <si>
    <t>IEID</t>
  </si>
  <si>
    <t>IEID02</t>
  </si>
  <si>
    <t>IEID03</t>
  </si>
  <si>
    <t>IEII</t>
  </si>
  <si>
    <t>IEII01</t>
  </si>
  <si>
    <t>IEIC01-a</t>
  </si>
  <si>
    <t>IEIC01-b</t>
  </si>
  <si>
    <t>IEIC01-c</t>
  </si>
  <si>
    <t>IEIC01-d</t>
  </si>
  <si>
    <t>IEIC02</t>
  </si>
  <si>
    <t>IEIC</t>
  </si>
  <si>
    <t>par une personne non autorisée à pénétrer dans les locaux du courrier</t>
  </si>
  <si>
    <t>par une personne autorisée à pénétrer dans les locaux du courrier (dont le personnel doté de droits privilégiés)</t>
  </si>
  <si>
    <t>CEPD</t>
  </si>
  <si>
    <t>CEPD01</t>
  </si>
  <si>
    <t>CEPD02</t>
  </si>
  <si>
    <t>CEPD03-a</t>
  </si>
  <si>
    <t>CEPD03-b</t>
  </si>
  <si>
    <t>CEPD04</t>
  </si>
  <si>
    <t>CEPI</t>
  </si>
  <si>
    <t>CEPI01</t>
  </si>
  <si>
    <t>CEPI02</t>
  </si>
  <si>
    <t>CEPI03</t>
  </si>
  <si>
    <t>CEPC01</t>
  </si>
  <si>
    <t>CEPC02</t>
  </si>
  <si>
    <t>CEPC03</t>
  </si>
  <si>
    <t>CEPC</t>
  </si>
  <si>
    <t>ARCD01</t>
  </si>
  <si>
    <t>ARCD02</t>
  </si>
  <si>
    <t>ARCD03</t>
  </si>
  <si>
    <t>ARCD04</t>
  </si>
  <si>
    <t>ARCD05</t>
  </si>
  <si>
    <t>ARCD06</t>
  </si>
  <si>
    <t>ARCD07</t>
  </si>
  <si>
    <t>ARCD08</t>
  </si>
  <si>
    <t>Effacement  de fichier d'archive (effacement  malveillant, par un utilisateur ou par une personne dotée de droits privilégiés )</t>
  </si>
  <si>
    <t>ARCD</t>
  </si>
  <si>
    <t>par une personne autorisée (dont personnel doté de droits privilégiés)</t>
  </si>
  <si>
    <t>ARCC01-a</t>
  </si>
  <si>
    <t>ARCC01-b</t>
  </si>
  <si>
    <t>ARCC02</t>
  </si>
  <si>
    <t>ARCC</t>
  </si>
  <si>
    <t>DPUD</t>
  </si>
  <si>
    <t>DPUD01</t>
  </si>
  <si>
    <t>Effacement  accidentel de fichier de données</t>
  </si>
  <si>
    <t>DPUI01-a</t>
  </si>
  <si>
    <t>DPUI01-b</t>
  </si>
  <si>
    <t>DPUI</t>
  </si>
  <si>
    <t>DEXD</t>
  </si>
  <si>
    <t>DEXD01</t>
  </si>
  <si>
    <t>DEXD02-a</t>
  </si>
  <si>
    <t>DEXD02-b</t>
  </si>
  <si>
    <t>DEXD03</t>
  </si>
  <si>
    <t>Effacement ou perte de donnée en transfert vers ou depuis le site externalisé du à une erreur de procédure, une panne transitoire d'équipement ou une erreur de transmission irrécupérable</t>
  </si>
  <si>
    <t>Falsification ou altération accidentelle de données en transit, par erreur de protocole ou de codage</t>
  </si>
  <si>
    <t>Falsification ou altération volontaire de données en transit (par action volontaire menée par une personne non autorisée)</t>
  </si>
  <si>
    <t>DEXI</t>
  </si>
  <si>
    <t>DEXI01</t>
  </si>
  <si>
    <t>DEXI02</t>
  </si>
  <si>
    <t>DEXI03</t>
  </si>
  <si>
    <t>DEXC01</t>
  </si>
  <si>
    <t>DEXC02</t>
  </si>
  <si>
    <t>DEXC03</t>
  </si>
  <si>
    <t>DEXC</t>
  </si>
  <si>
    <t>SAPD01-a</t>
  </si>
  <si>
    <t>SAPD01-b</t>
  </si>
  <si>
    <t>SAPD02</t>
  </si>
  <si>
    <t>SAPD03</t>
  </si>
  <si>
    <t>SAPD04</t>
  </si>
  <si>
    <t>SAPD05</t>
  </si>
  <si>
    <t>SAPD06</t>
  </si>
  <si>
    <t>SAPD07</t>
  </si>
  <si>
    <t>SAPD08</t>
  </si>
  <si>
    <t>SAPD09</t>
  </si>
  <si>
    <t>SAPD10</t>
  </si>
  <si>
    <t>par une personne autorisée à y pénétrer (dont le personnel doté de droits privilégiés)</t>
  </si>
  <si>
    <t>SAPD11-a</t>
  </si>
  <si>
    <t>SAPD11-b</t>
  </si>
  <si>
    <t>SAPD12</t>
  </si>
  <si>
    <t>SAPD13</t>
  </si>
  <si>
    <t>SAPD14</t>
  </si>
  <si>
    <t>SAPD15</t>
  </si>
  <si>
    <t>par une personne autorisée (dont le personnel doté de droits privilégiés)</t>
  </si>
  <si>
    <t>SAPD16-a</t>
  </si>
  <si>
    <t>SAPD16-b</t>
  </si>
  <si>
    <t>SAPD17</t>
  </si>
  <si>
    <t>SAPD18</t>
  </si>
  <si>
    <t>SAPD19</t>
  </si>
  <si>
    <t>SAPD20</t>
  </si>
  <si>
    <t>SAPD21</t>
  </si>
  <si>
    <t>SAPD22</t>
  </si>
  <si>
    <t>SAPD23</t>
  </si>
  <si>
    <t>SAPD24</t>
  </si>
  <si>
    <t>SAPD25</t>
  </si>
  <si>
    <t>SAPD26</t>
  </si>
  <si>
    <t>SAPD</t>
  </si>
  <si>
    <t>SAPI01-a</t>
  </si>
  <si>
    <t>SAPI01-b</t>
  </si>
  <si>
    <t>SAPI01-c</t>
  </si>
  <si>
    <t>par une personne autorisée  (dont le personnel doté de droits privilégiés)</t>
  </si>
  <si>
    <t>SAPI03-a</t>
  </si>
  <si>
    <t>SAPI03-b</t>
  </si>
  <si>
    <t>SAPI02</t>
  </si>
  <si>
    <t>SAPI04-a</t>
  </si>
  <si>
    <t>SAPI04-b</t>
  </si>
  <si>
    <t>par accès physique au poste de travail, dans les bureaux, par une personne autorisée (dont le personnel doté de droits privilégiés)</t>
  </si>
  <si>
    <t>SAPI05-a</t>
  </si>
  <si>
    <t>SAPI05-b</t>
  </si>
  <si>
    <t>SAPI05-c</t>
  </si>
  <si>
    <t>SAPI05-d</t>
  </si>
  <si>
    <t>SAPI</t>
  </si>
  <si>
    <t>SAPC01-a</t>
  </si>
  <si>
    <t>SAPC01-b</t>
  </si>
  <si>
    <t>SAPC01-c</t>
  </si>
  <si>
    <t>SAPC</t>
  </si>
  <si>
    <t>SAPC02-a</t>
  </si>
  <si>
    <t>SAPC02-b</t>
  </si>
  <si>
    <t>SAPC02-c</t>
  </si>
  <si>
    <t>SEXD01</t>
  </si>
  <si>
    <t>SEXD02</t>
  </si>
  <si>
    <t>SEXD</t>
  </si>
  <si>
    <t>SEXI</t>
  </si>
  <si>
    <t>SEXI01</t>
  </si>
  <si>
    <t>SPUD</t>
  </si>
  <si>
    <t>SPUD01</t>
  </si>
  <si>
    <t>SPUI</t>
  </si>
  <si>
    <t>SPUI01-a</t>
  </si>
  <si>
    <t>SPUI01-b</t>
  </si>
  <si>
    <t>SPUI01-c</t>
  </si>
  <si>
    <t>PGCE</t>
  </si>
  <si>
    <t>PGCE01</t>
  </si>
  <si>
    <t>PGCE02</t>
  </si>
  <si>
    <t>PGCE03</t>
  </si>
  <si>
    <t>PGDE</t>
  </si>
  <si>
    <t>PGDE01</t>
  </si>
  <si>
    <t>PGDE02</t>
  </si>
  <si>
    <t>PGDE03</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</si>
  <si>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</si>
  <si>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</si>
  <si>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</si>
  <si>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Altération massive ou incohérence accidentelle de données les rendant inutilisables</t>
  </si>
  <si>
    <t>Diffusion involontaire de données lors de la réaffectation ou de la mise au rebut de média</t>
  </si>
  <si>
    <t>Vol physique ou copie de document</t>
  </si>
  <si>
    <t>Consultation de document sensible par une personne non autorisée à pénétrer dans les espaces de bureau</t>
  </si>
  <si>
    <t>Destruction ou vol de courrier postal dans les locaux du courrier</t>
  </si>
  <si>
    <t>Effacement  volontaire de fichier de données</t>
  </si>
  <si>
    <t>Vol physique de document ou de media dans les locaux de l'exploitation</t>
  </si>
  <si>
    <t>Vol physique dans les locaux de l'exploitation</t>
  </si>
  <si>
    <t>Echange physique (avec un média au contenu modifié), dans les locaux de l'exploitation</t>
  </si>
  <si>
    <t>Vol ou échange malveillant de média support de code source, dans les locaux de l'exploitation</t>
  </si>
  <si>
    <t>Absence de services généraux : défaillance ou indisponibilité de services généraux ou de servitudes, énergie, climatisation, etc.</t>
  </si>
  <si>
    <t>Absence de matériel compatible ou incompatibilité de systèmes</t>
  </si>
  <si>
    <t xml:space="preserve">Captation visuelle de données </t>
  </si>
  <si>
    <t>Dégâts divers dus à l'environnement (vieillissement, pollution, dégâts des eaux, surcharge électrique, etc.) ou à du vandalisme</t>
  </si>
  <si>
    <t>Conflit non ou mal résolu entre procédures</t>
  </si>
  <si>
    <t>=ES6B07</t>
  </si>
  <si>
    <t>SUEE</t>
  </si>
  <si>
    <t>Surveillance  des événements externes</t>
  </si>
  <si>
    <t>Disponibilité des données et services externalisées</t>
  </si>
  <si>
    <t>SUBU</t>
  </si>
  <si>
    <t>Surveillance des zones de bureaux sensbles</t>
  </si>
  <si>
    <t>SULO</t>
  </si>
  <si>
    <t>COPR</t>
  </si>
  <si>
    <t>Contrôle des programmes</t>
  </si>
  <si>
    <t>SUAI</t>
  </si>
  <si>
    <t>Surveillance de l'activité interne</t>
  </si>
  <si>
    <t>Surveillance des activités internes</t>
  </si>
  <si>
    <t>Surveillance des événements externes</t>
  </si>
  <si>
    <t xml:space="preserve">SUBU </t>
  </si>
  <si>
    <t xml:space="preserve">SULO </t>
  </si>
  <si>
    <t xml:space="preserve">COPR </t>
  </si>
  <si>
    <t xml:space="preserve">SUAI </t>
  </si>
  <si>
    <t xml:space="preserve">SUEE </t>
  </si>
  <si>
    <t xml:space="preserve">COMA </t>
  </si>
  <si>
    <t xml:space="preserve">SDMR </t>
  </si>
  <si>
    <t xml:space="preserve">CODI </t>
  </si>
  <si>
    <t>min(3A08,4A11)</t>
  </si>
  <si>
    <t>Table issue des éléments ci-dessus (Tservfonct)</t>
  </si>
  <si>
    <t>max(5A02,5B02)</t>
  </si>
  <si>
    <t>min(4A09,7B09)</t>
  </si>
  <si>
    <t>max(2B01,5A02,5B02)</t>
  </si>
  <si>
    <t>Destruction logique totale (fichiers et leurs sauvegardes) par un membre du personnel ayant des droits privilégiés</t>
  </si>
  <si>
    <t>4E01-08</t>
  </si>
  <si>
    <t>Vérifie-t-on régulièrement que les moyens nécessaires à l'exploitation des médias sont disponibles sans délai préjudiciable à l'organisation ?</t>
  </si>
  <si>
    <t xml:space="preserve">Conservation et protection des documents et médias amovibles personnels importants </t>
  </si>
  <si>
    <t>max(5B02,4F02)</t>
  </si>
  <si>
    <r>
      <t xml:space="preserve">L'adressage physique des médias et des moyens nécessaires pour y accéder est-il assuré, mis à jour et sauvegardé ?
</t>
    </r>
    <r>
      <rPr>
        <i/>
        <sz val="8"/>
        <rFont val="Arial"/>
        <family val="2"/>
      </rPr>
      <t>Ceci valant pour les médias supports de logiciels</t>
    </r>
  </si>
  <si>
    <t>max(min(2B01,2B02),4B01)</t>
  </si>
  <si>
    <t>Présentation de Méhari  - Standard (2022)
Démarche d'analyse et de traitement des risques</t>
  </si>
  <si>
    <t>MEHARI est une méthode de management des risques conçue et développée par le CLUSIF</t>
  </si>
  <si>
    <t>Club de la Sécurité de l'Information Français
http://www.clusif.fr</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</si>
  <si>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</si>
  <si>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</si>
  <si>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</si>
  <si>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</si>
  <si>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</si>
  <si>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</si>
  <si>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</si>
  <si>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</si>
  <si>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</si>
  <si>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</si>
  <si>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</si>
  <si>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</si>
  <si>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</si>
  <si>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</si>
  <si>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</si>
  <si>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</si>
  <si>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</si>
  <si>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</si>
  <si>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</si>
  <si>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</si>
  <si>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</si>
  <si>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</si>
  <si>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</si>
  <si>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</si>
  <si>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</si>
  <si>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</si>
  <si>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</si>
  <si>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</si>
  <si>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</si>
  <si>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</si>
  <si>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</si>
  <si>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</si>
  <si>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</si>
  <si>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</si>
  <si>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</si>
  <si>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</si>
  <si>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</si>
  <si>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</si>
  <si>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</si>
  <si>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</si>
  <si>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</si>
  <si>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</si>
  <si>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</si>
  <si>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</si>
  <si>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</si>
  <si>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</si>
  <si>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</si>
  <si>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</si>
  <si>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</si>
  <si>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</si>
  <si>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</si>
  <si>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</si>
  <si>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</si>
  <si>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</si>
  <si>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</si>
  <si>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</si>
  <si>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</si>
  <si>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</si>
  <si>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</si>
  <si>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</si>
  <si>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</si>
  <si>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</si>
  <si>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</si>
  <si>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</si>
  <si>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</si>
  <si>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</si>
  <si>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</si>
  <si>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</si>
  <si>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</si>
  <si>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</si>
  <si>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</si>
  <si>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</si>
  <si>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</si>
  <si>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</si>
  <si>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</si>
  <si>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</si>
  <si>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</si>
  <si>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</si>
  <si>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</si>
  <si>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</si>
  <si>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</si>
  <si>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</si>
  <si>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</si>
  <si>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</si>
  <si>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</si>
  <si>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</si>
  <si>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</si>
  <si>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</si>
  <si>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</si>
  <si>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</si>
  <si>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</si>
  <si>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</si>
  <si>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</si>
  <si>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</si>
  <si>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</si>
  <si>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</si>
  <si>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</si>
  <si>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</si>
  <si>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Questionnaire d'audit : Conformité aux exigences de gouvernance</t>
  </si>
  <si>
    <t>4C04-15</t>
  </si>
  <si>
    <t>Le processus ou les directives concernant le chiffrement des fichiers s'étend-il aux messages électroniques et à leurs pièces jointes ainsi qu'aux fichiers de contacts et aux agendas ?</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</si>
  <si>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</si>
  <si>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struturé de données ou pour des données isolées ou messages)</t>
  </si>
  <si>
    <t>Crfx</t>
  </si>
  <si>
    <t>Action humaine (délibérée ou non) menée par voie logique ou fonctionnelle</t>
  </si>
  <si>
    <t>Action humaine menée par voie physique</t>
  </si>
  <si>
    <t>Procédures adéquates non appliquées</t>
  </si>
  <si>
    <t>6A03 : Plan de continuité de la messagerie électronique</t>
  </si>
  <si>
    <t>Sécurité des médias réaffectés ou mis au rebut</t>
  </si>
  <si>
    <t>Nom de Fonction/Projet</t>
  </si>
  <si>
    <t>Données contenues dans des fichiers ou bases de données utilisés par les appplications</t>
  </si>
  <si>
    <t>Données contenues dans des fichiers personnels ou partagés, incluant les fichiers d'agenda ou de contacts</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</si>
  <si>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</si>
  <si>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 xml:space="preserve"> Courrier électronique, postal ou télécopies</t>
  </si>
  <si>
    <t>patrimoniales, documentaires ou informatiques</t>
  </si>
  <si>
    <t>sur des sites publics ou internes</t>
  </si>
  <si>
    <t>sur le cloud</t>
  </si>
  <si>
    <t>applications métiers, services bureautiques ou systèmes communs</t>
  </si>
  <si>
    <t>Services externalisés</t>
  </si>
  <si>
    <t>ou hébergés sur le cloud</t>
  </si>
  <si>
    <t xml:space="preserve">Services de publication d'informations </t>
  </si>
  <si>
    <t>sur un site web interne ou public</t>
  </si>
  <si>
    <r>
      <t>aux exigences légales ou contractuelles</t>
    </r>
    <r>
      <rPr>
        <sz val="10"/>
        <rFont val="Arial"/>
        <family val="2"/>
      </rPr>
      <t xml:space="preserve"> ou de l'entité</t>
    </r>
  </si>
  <si>
    <t>dans la gouvernance de l’entité (pouvant conduire à un dysfonctionnement redouté) y compris la gouvernance de la sécurité</t>
  </si>
  <si>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</si>
  <si>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</si>
  <si>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</si>
  <si>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</si>
  <si>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</si>
  <si>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une personne autorisée à y pénétrer (dont le personnel ayant des droits privilégiés)</t>
  </si>
  <si>
    <t>dans les locaux de l'exploitation, par ure personne non autorisée</t>
  </si>
  <si>
    <t>par un utilisateur autorisé (dont le personnel ayant des droits privilégiés)</t>
  </si>
  <si>
    <t>Captation et divulgation de données en transit</t>
  </si>
  <si>
    <t xml:space="preserve">sur le réseau et divulgation </t>
  </si>
  <si>
    <t>dans les locaux de l'exploitation, par une personne autorisée (dont le personnel ayant des droits privilégiés)</t>
  </si>
  <si>
    <t>Diffusion par l'utilisateur de fichiers de données ,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</si>
  <si>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</si>
  <si>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Diffusion par l'utilisateur de données sensibles , par abus de confiance (hameçonnage ou "phishing")</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</si>
  <si>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</si>
  <si>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</si>
  <si>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</si>
  <si>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</si>
  <si>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</si>
  <si>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</si>
  <si>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</si>
  <si>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</si>
  <si>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</si>
  <si>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</si>
  <si>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 xml:space="preserve">SARC </t>
  </si>
  <si>
    <r>
      <t xml:space="preserve">Services inclus dans les fonctions 
</t>
    </r>
    <r>
      <rPr>
        <b/>
        <sz val="10"/>
        <color rgb="FFFF0000"/>
        <rFont val="Arial"/>
        <family val="2"/>
      </rPr>
      <t>(Sesrvices de Méhari Standard 2022)</t>
    </r>
  </si>
  <si>
    <r>
      <t xml:space="preserve">Projet </t>
    </r>
    <r>
      <rPr>
        <b/>
        <sz val="10"/>
        <color rgb="FFFF0000"/>
        <rFont val="Arial"/>
        <family val="2"/>
      </rPr>
      <t xml:space="preserve">(défini dans Méhari-Standard) </t>
    </r>
    <r>
      <rPr>
        <b/>
        <sz val="12"/>
        <color rgb="FFFF0000"/>
        <rFont val="Arial"/>
        <family val="2"/>
      </rPr>
      <t xml:space="preserve">
</t>
    </r>
    <r>
      <rPr>
        <b/>
        <sz val="12"/>
        <rFont val="Arial"/>
        <family val="2"/>
      </rPr>
      <t>ou Fonction</t>
    </r>
    <r>
      <rPr>
        <b/>
        <sz val="12"/>
        <color rgb="FFFF0000"/>
        <rFont val="Arial"/>
        <family val="2"/>
      </rPr>
      <t xml:space="preserve"> </t>
    </r>
    <r>
      <rPr>
        <b/>
        <sz val="10"/>
        <color rgb="FFFF0000"/>
        <rFont val="Arial"/>
        <family val="2"/>
      </rPr>
      <t>(dans Manager-BC)</t>
    </r>
  </si>
  <si>
    <t>7B10</t>
  </si>
  <si>
    <t>Protection de la confidentialité des codes sources</t>
  </si>
  <si>
    <t>Ces procédures imposent-elles que le personnel autorisé à accéder au code source et à la documentation ait été spécialement habilité et ait signé une clause de confidentialité spécifique ?</t>
  </si>
  <si>
    <t>Ces procédures imposent-elles que tout accès au code source et à la documentation soit enregistré et conservé sur une longue période ?</t>
  </si>
  <si>
    <t>Ces procédures imposent-elles que toute édition ou impression de code source comporte le nom de l'intervenant et la date de l'intervention ?</t>
  </si>
  <si>
    <t>7B10-01</t>
  </si>
  <si>
    <t>7B10-02</t>
  </si>
  <si>
    <t>7B10-03</t>
  </si>
  <si>
    <t>7B10-04</t>
  </si>
  <si>
    <t>7B10-05</t>
  </si>
  <si>
    <t>7B10-06</t>
  </si>
  <si>
    <t>1D</t>
  </si>
  <si>
    <t xml:space="preserve">  Imp. Int. Décidé</t>
  </si>
  <si>
    <t xml:space="preserve"> Pot. Int. Décidée</t>
  </si>
  <si>
    <t>Protection des écrans des postes de travail contre les captations visuelles</t>
  </si>
  <si>
    <t xml:space="preserve">A-t-on spécifié que les postes de travail fixes d'utilisateurs pouvant être amenés à consulter ou à traiter des données sensibles doivent être installés, ou équipés de dispositifs, de telle sorte que leurs écrans ne puissent être observés par des tiers ? </t>
  </si>
  <si>
    <t>A-t-on spécifié que les écrans des postes de travail mobiles d'utilisateurs pouvant être amenés à consulter ou à traiter des données sensibles doivent être équipés d'un dispositif empêchant l'observation latérale de l'écran ?</t>
  </si>
  <si>
    <t>Le local de tri et de répartition du courrier (arrivée et départ) est-il protégé contre les risques d'incendie et contre les dégâts des eaux (détection automatique avec alerte auprès d'une équipe de surveillance) ?</t>
  </si>
  <si>
    <t>A-t-on mis en place, en conséquence, une surveillance active par des automatismes, ou fonctions de test, comparant les fonctionnalités logicielles sensibles à des versions de référence ?</t>
  </si>
  <si>
    <t>Un rappel de cette formation est-il dispensé à un rythme régulier ?</t>
  </si>
  <si>
    <t>Le système de détection d'intrusion est-il lui-même sous contrôle (alarme en cas d'inhibition, autosurveillance des caméras, etc.) ?</t>
  </si>
  <si>
    <t>Le système de surveillance des locaux sensibles est-il lui-même sous contrôle (alarme en cas d'inhibition, autosurveillance des caméras, etc.) ?</t>
  </si>
  <si>
    <t>Teste-t-on régulièrement les séquences de mise en route des installations de secours et leur compatibilité avec les exigences de continuité de service (les tests incluant les délestages ou reconfigurations éventuellement nécessaires) ?</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</si>
  <si>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</si>
  <si>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</si>
  <si>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Ce processus est-il contractuel et a-t-il été validé avec chaque fournisseur de service externalisé ?</t>
  </si>
  <si>
    <t>Les utilisateurs ayant des supports amovibles (clés USB, CD-Rom, etc…) pour stocker leurs fichiers personnels ont-ils à leur disposition un coffre ignifuge pour abriter ces supports ?</t>
  </si>
  <si>
    <t>En cas de besoin de chiffrement pour assurer la confidentialité d'archive, utilise-t-on un moyen qui assure que l'on pourra toujours accéder au document d'archive même après le départ du dépositaire initial ?</t>
  </si>
  <si>
    <t>Destruction ou réutilisation d'équipements ou médias</t>
  </si>
  <si>
    <t>Les solutions de continuité des services externalisés, en cas de reprise ou de transfert, permettent-elles la reprise des activités concernées dans des délais acceptables par les utilisateurs ?</t>
  </si>
  <si>
    <t>Ces contrôles permanents par automatismes sont-ils fortement protégés contre toute altération illicite ?</t>
  </si>
  <si>
    <t>Les processus de contrôle font-ils l'objet d'un audit régulier ?</t>
  </si>
  <si>
    <t>En cas de dépassement de ces seuils, y a-t-il une alerte immédiate auprès d'une équipe de surveillance ?</t>
  </si>
  <si>
    <t>A-t-on analysé et inventorié les moyens nécessaires à la mise en opération des applications critiques (clés de chiffrement, jetons, éléments nécessaires à l'identification et à l'authentification, licences, etc.) ?</t>
  </si>
  <si>
    <t>A-t-on analysé, pour chacun de ces moyens, les cas et circonstances d'indisponibilité possibles ?</t>
  </si>
  <si>
    <t>A-t-on défini, implémenté et documenté, pour chaque cas d'indisponibilité identifié une solution de secours ?</t>
  </si>
  <si>
    <r>
      <t xml:space="preserve">L'accusé de réception comprend-il la retranscription du message émis ?
</t>
    </r>
    <r>
      <rPr>
        <i/>
        <sz val="8"/>
        <rFont val="Arial"/>
        <family val="2"/>
      </rPr>
      <t>L'accusé de réception devrait, a minima, inclure un résumé du message émis afin de permettre à l'émetteur de vérifier que le message émis n'a pas été altéré.</t>
    </r>
  </si>
  <si>
    <t>Les applications ou services systèmes transmettant des données sensibles sur les réseaux, locaux ou non, procèdent-elles à une vérification formelle de bonne transmission de ces données, dans leur intégralité et leur intégrité ?</t>
  </si>
  <si>
    <t>Procède-t-on régulièrement à des audits des moyens et procédures garantissant la permanence des accès aux fichiers de données et de programmes ?</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</si>
  <si>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 et de l'antivirus à jour, les connexions à des réseaux publics ou tiers, les précautions à prendre concernant les documents écrits, les messageries instantanées et les conversations téléphoniques et orales.</t>
    </r>
  </si>
  <si>
    <t>A-t-on défini les moyens à employer pour transmettre des courriers sensibles ?</t>
  </si>
  <si>
    <t>Ces moyens de secours font-ils l'objet d'un audit régulier ?</t>
  </si>
  <si>
    <r>
      <t xml:space="preserve">Le processus de protection de l'intégrité des fichiers bureautiques inclut-il une étape de double validation formelle de toute modification des données critiques avant enregistrement des versions de référence ?
</t>
    </r>
    <r>
      <rPr>
        <i/>
        <sz val="8"/>
        <rFont val="Arial"/>
        <family val="2"/>
      </rPr>
      <t>Un tel processus devrait inclure une validation formelle d'une part et une confirmation par une deuxième personne avant enregistrement</t>
    </r>
  </si>
  <si>
    <t>Les processus et moyens concernant le contrôle d'intégrité des fichiers s'étendent-ils aux messages électroniques, à leurs pièces jointes et aux éléments liés à la messagerie tels qu'agenda et contacts ?</t>
  </si>
  <si>
    <t>Les procédures de protection de la confidentialité des codes sources et leur application font-elles l'objet d'un audit régulier ?</t>
  </si>
  <si>
    <t>Contrôle de l'application des procédures visant le respect des règles de gouvernance et de prise de décision</t>
  </si>
  <si>
    <t>2D05 : Protection des écrans des postes de travail contre les captationss visuelles</t>
  </si>
  <si>
    <t>Fonctions de sécurité des codes sources de programmes</t>
  </si>
  <si>
    <t>PCCS</t>
  </si>
  <si>
    <t>7B10 : Protection de la confidentialité des codes sources</t>
  </si>
  <si>
    <t>Prise en compte de la sécurité dans les accords avec les fournisseurs</t>
  </si>
  <si>
    <t>Gestion du niveau de service et de la sécurité des fournisseurs de services</t>
  </si>
  <si>
    <t>Gestion des changements dans les relations avec les fourniseurs de service</t>
  </si>
  <si>
    <t>Responsabilités de la Direction</t>
  </si>
  <si>
    <t>Plans de Reprise de l'Environnement de Travail (PRÊT)</t>
  </si>
  <si>
    <t>Contrôle des accès aux zones de bureaux sensibles</t>
  </si>
  <si>
    <t>Protection de l'information écrite  et médias amovibles importants</t>
  </si>
  <si>
    <t>Sauvegarde de recours des données externalisées</t>
  </si>
  <si>
    <t>4C</t>
  </si>
  <si>
    <t>Contrôle de l'intégrité des données et fonctions</t>
  </si>
  <si>
    <t>C - Contrôle de la disponibilité des données et services</t>
  </si>
  <si>
    <t>Contrôle de la disponibilité des données et services</t>
  </si>
  <si>
    <t>3C01 : Sûreté de fonctionnement des services externalisés</t>
  </si>
  <si>
    <t>4A04 : Sauvegardes de recours des données externalisées</t>
  </si>
  <si>
    <t>1C06 : Protection contre l'hameçonnage (phishing) et abus de confiance</t>
  </si>
  <si>
    <t>3A04 : Contrôle des accès (aux applications, aux données applicatives et aux fonctions systèmes)</t>
  </si>
  <si>
    <t>3A06 : Gestion des autorisations d'accès privilégiés (attribution, délégation, retrait)</t>
  </si>
  <si>
    <t>4A05 : Contrôle des systèmes opérationnels</t>
  </si>
  <si>
    <t>4A10 : Surveillance en temps réel de l'activité et gestion des anomalies</t>
  </si>
  <si>
    <t>7B09 : Maintenance d'urgence</t>
  </si>
  <si>
    <r>
      <t xml:space="preserve">Maintenance d'urgence 
</t>
    </r>
    <r>
      <rPr>
        <sz val="8"/>
        <rFont val="Arial"/>
        <family val="2"/>
      </rPr>
      <t xml:space="preserve">Les situations de maintenance d'urgence peuvent conduire à déroger à certaines règles ou procédures (par exemple maintenance dans l'environnement de production, avec des données de production, mais aussi sans séparation des tâches ou profils d'intervenants, etc.) </t>
    </r>
  </si>
  <si>
    <t>Maintenance d'urgence</t>
  </si>
  <si>
    <t>4E03 : Sécurité des médias réaffectés ou  mse au rebut</t>
  </si>
  <si>
    <t>5A02 : Protection de l'intégrité des fichiers de données applicatives sensibles</t>
  </si>
  <si>
    <t xml:space="preserve">5G01 : Chiffrement des échanges de données, lors des accès aux services externalisés
</t>
  </si>
  <si>
    <t>5E03 : Contrôle de la réception des messages sensibles</t>
  </si>
  <si>
    <t>2E01 : Conservation et protection des documents et médias amovibles personnels importants</t>
  </si>
  <si>
    <t>Protection contre les malwares et actions malveillantes</t>
  </si>
  <si>
    <t>Sécurité des données des médias réaffectés ou mis au rebut</t>
  </si>
  <si>
    <t>A-t-on analysé les codes sources internes et identifié ceux qui devaient être considérés comme strictement confidentiels ?</t>
  </si>
  <si>
    <t>T</t>
  </si>
  <si>
    <t xml:space="preserve">Paramètres du classeur </t>
  </si>
  <si>
    <t>Masquer</t>
  </si>
  <si>
    <t>Classif</t>
  </si>
  <si>
    <t>Analyse</t>
  </si>
  <si>
    <t>Traitement</t>
  </si>
  <si>
    <t xml:space="preserve">Eléments de paramétrage de la méthode </t>
  </si>
  <si>
    <t>Grilles d'acceptabilité des risques et d'évaluation de I et P</t>
  </si>
  <si>
    <t>Paramètres</t>
  </si>
  <si>
    <r>
      <rPr>
        <b/>
        <sz val="10"/>
        <rFont val="Arial"/>
        <family val="2"/>
      </rPr>
      <t xml:space="preserve">Questionnaires  : </t>
    </r>
    <r>
      <rPr>
        <sz val="10"/>
        <rFont val="Arial"/>
        <family val="2"/>
      </rPr>
      <t xml:space="preserve">
de 1 Org à 8 Cex
et Score ISO</t>
    </r>
  </si>
  <si>
    <t xml:space="preserve">     Actifs_supports</t>
  </si>
  <si>
    <t xml:space="preserve">     Dommages</t>
  </si>
  <si>
    <r>
      <rPr>
        <b/>
        <sz val="10"/>
        <rFont val="Arial"/>
        <family val="2"/>
      </rPr>
      <t>Analyse des risques :</t>
    </r>
    <r>
      <rPr>
        <sz val="10"/>
        <rFont val="Arial"/>
        <family val="2"/>
      </rPr>
      <t xml:space="preserve"> 
Risques par actifs
ou événements</t>
    </r>
  </si>
  <si>
    <t>Actifs supports objets de la menace et sujets à dommage</t>
  </si>
  <si>
    <t>Dommages subis par l'actif support</t>
  </si>
  <si>
    <t>Événements déclencheurs des risques</t>
  </si>
  <si>
    <t>Tab-1</t>
  </si>
  <si>
    <t>Tab-2</t>
  </si>
  <si>
    <t>10/04/2022</t>
  </si>
  <si>
    <t xml:space="preserve">Edition 2022-1
Mise en cohérence avec la base Méhari ManagerBC Ed.2
</t>
  </si>
  <si>
    <t xml:space="preserve">PCCS </t>
  </si>
  <si>
    <t xml:space="preserve">CPEX </t>
  </si>
  <si>
    <t xml:space="preserve">CRGD </t>
  </si>
  <si>
    <t>Service avec questions ISO 2013</t>
  </si>
  <si>
    <t>ISO seuls</t>
  </si>
  <si>
    <t>Projets seuls</t>
  </si>
  <si>
    <t>ISO et Projet</t>
  </si>
  <si>
    <t>Ni ISO ni projet</t>
  </si>
  <si>
    <t>MEHARI™ - Standard - 2022 - Ed.2-Fr</t>
  </si>
  <si>
    <t xml:space="preserve">Edition 2022-2
Mise en cohérence avec la norme ISO/IEC 27002:2022
</t>
  </si>
  <si>
    <t>ISO 27002:2022</t>
  </si>
  <si>
    <t>Existe-t-il un document décrivant la politique de sécurité de l'information et des documents plus détaillés de politiques de sécurité par thème?</t>
  </si>
  <si>
    <t>Cette politique a-t-elle été approuvée par la direction, publiée et communiquée à toutes les personnes concernées ?</t>
  </si>
  <si>
    <t xml:space="preserve">Cette politique permet-elle d'assurer l'applicabilité dans le temps, l'adéquation, l'efficacité des orientations de la direction et le soutien de la sécurité de l'information en accord avec les exigences liées à l'activité et les exigences légales, statutaires, réglementaires et contractuelles? </t>
  </si>
  <si>
    <t>Les diverses préconisations de la norme ISO 27002:2022 relatives aux politiques de sécurité ont-elles été prises en compte ?</t>
  </si>
  <si>
    <t>A-t-on défini et mis en œuvre une ensemble de règles relatives à l'utilisation de la cryptographie, et notamment à la gestion des clés cryptographiques.?</t>
  </si>
  <si>
    <t>8.24</t>
  </si>
  <si>
    <t>1A02-03</t>
  </si>
  <si>
    <t>Les diverses préconisations de la norme ISO 27002:2022 relatives aux règles de gestion des clés cryptologiques ont-elles été prises en compte ?</t>
  </si>
  <si>
    <t>5.2</t>
  </si>
  <si>
    <t>Cette organisation est-elle approuvée et comprise par tous et couvre-t-elle la mise en œuvre, le fonctionnement et le management de la sécurité de l'information au sein de l'organisation ?</t>
  </si>
  <si>
    <t>Les diverses préconisations de la norme ISO 27002:2022 relatives à l'organisation de la gestion de la sécurité ont-elles été prises en compte ?</t>
  </si>
  <si>
    <t>La définition des rôles et responsabilités garantit-elle une séparation des tâches pour des domaines de responsabilité incompatibles avec l'objectif de réduire le risque de fraude, d'erreur et de contournement des mesures de sécurité de l'information. ?</t>
  </si>
  <si>
    <t>5.3</t>
  </si>
  <si>
    <t>Les diverses préconisations de la norme ISO 27002:2022 relatives à la séparation des tâches ont-elles été prises en compte ?</t>
  </si>
  <si>
    <t>Maintient-on des contacts avec les autorités compétentes afin d'assurer la bonne circulation de l'information à l'égard de la sécurité, entre l'organisation et les autorités légales, réglementaires et de surveillance compétentes ?</t>
  </si>
  <si>
    <t>5.5</t>
  </si>
  <si>
    <t>Les diverses préconisations de la norme ISO 27002:2022 relatives aux relations avec les autorités ont-elles été prises en compte ?</t>
  </si>
  <si>
    <t>A-t-on établi et entretient-on des relations avec des groupes de travail spécialisés ou des forums spécialisés dans la sécurité et avec des associations professionnelles, afin d'assurer la bonne circulation de l'information à l'égard de la sécurité ?</t>
  </si>
  <si>
    <t>5.6</t>
  </si>
  <si>
    <t>1B01-09</t>
  </si>
  <si>
    <t>Les diverses préconisations de la norme ISO 27002:2022 relatives aux relations avec les groupes de travail ou forums spécialisés ont-elles été prises en compte ?</t>
  </si>
  <si>
    <t>1B01-10</t>
  </si>
  <si>
    <t>A-t-on mis en place un système destiné à recueillir les informations relatives aux menaces pour la sécurité de l'information et de les analyser pour produire une intelligence des menaces ?</t>
  </si>
  <si>
    <t>5.7</t>
  </si>
  <si>
    <t>1B01-11</t>
  </si>
  <si>
    <t>Un tel système permet-il d'apporter une connaissance de l'environnement de menaces susceptible d'affecter l'organisation pour que celle-ci puisse prendre les mesures d'atténuation appropriées ?</t>
  </si>
  <si>
    <t>1B01-12</t>
  </si>
  <si>
    <t>Les diverses préconisations de la norme ISO 27002:2022 relatives à l'intelligence des menaces ont-elles été prises en compte ?</t>
  </si>
  <si>
    <t>1B01-13</t>
  </si>
  <si>
    <t>La sécurité de l'information est-elle intégrée aux activités de gestion de projet de l'organisation. ?</t>
  </si>
  <si>
    <t>5.8</t>
  </si>
  <si>
    <t>1B01-14</t>
  </si>
  <si>
    <t>Assure-t-on une prise en compte réelle et efficace des risques de sécurité de l'information liés aux projets et aux livrables dans les activités de gestion de projet, tout au long du cycle de vie des projets ?</t>
  </si>
  <si>
    <t>1B01-15</t>
  </si>
  <si>
    <t>Les diverses préconisations de la norme ISO 27002:2022 relatives à la prise en compte de la sécurité de l'information dans la gestion des projets ont-elles été prises en compte ?</t>
  </si>
  <si>
    <t>L'organisation a-t-elle mis en œuvre des mesures de sécurité lorsque le personnel travaille à distance, pour protéger les informations consultées, traitées ou stockées en dehors des locaux de l'organisation ?</t>
  </si>
  <si>
    <t>6.7</t>
  </si>
  <si>
    <t>Ces mesures relatives au télétravail permettent-elles d'assurer la sécurité des informations lorsque le personnel travaille à distance ?</t>
  </si>
  <si>
    <t>Les diverses préconisations de la norme ISO 27002:2022 relatives au télétravail ont-elles été prises en compte ?</t>
  </si>
  <si>
    <t>Les réseaux sont-ils gérés et contrôlés afin de garantir la protection de l'information contenue dans les systèmes et les applications?</t>
  </si>
  <si>
    <t>8.20</t>
  </si>
  <si>
    <t>Les diverses préconisations de la norme ISO 27002:2022 relatives à la gestion et au contrôle des réseaux ont-elles été prises en compte ?</t>
  </si>
  <si>
    <t>Sécurité des services en réseau</t>
  </si>
  <si>
    <t>A-t-on identifié, mis en œuvre et placé sous surveillance les mécanismes de sécurité, les niveaux de service et les exigences de services des services en réseau ?</t>
  </si>
  <si>
    <t>8.21</t>
  </si>
  <si>
    <t>A-t-on la garantie de la  sécurité dans le cadre de l'utilisation des services en réseau ?</t>
  </si>
  <si>
    <t>Les diverses préconisations de la norme ISO 27002:2022 relatives à la sécurité des services en réseau ont-elles été prises en compte ?</t>
  </si>
  <si>
    <t>L'organisation a-t-elle cloisonné, dans ses réseaux, les groupes de services d'information, d'utilisateurs et de systèmes d'information ?</t>
  </si>
  <si>
    <t>8.23</t>
  </si>
  <si>
    <t>Ce cloisonnement a-t-il permis de diviser le réseau en définissant des limites de sécurité pour contrôler le trafic qui intervient entre ces limites en fonction des besoins liés à l'activité ?</t>
  </si>
  <si>
    <t>1B05-03</t>
  </si>
  <si>
    <t>Les diverses préconisations de la norme ISO 27002:2022 relatives au cloisonnement des réseaux ont-elles été prises en compte ?</t>
  </si>
  <si>
    <t>Politiques, règles et procédures de transfert d'information</t>
  </si>
  <si>
    <t>A-t-on mis en place des règles, procédures ou accords de transfert de l'information, aussi bien au sein de l'organisation qu'entre l'organisation et des tierces parties, pour tous les types de fonctions de transfert ?</t>
  </si>
  <si>
    <t>5.14</t>
  </si>
  <si>
    <t>1B06-02</t>
  </si>
  <si>
    <t>Cet ensemble de politiques et de règles permet-il de maintenir la sécurité de l'information transférée au sein de l'organisation et vers une partie intéressée extérieure ?</t>
  </si>
  <si>
    <t>1B06-03</t>
  </si>
  <si>
    <t>Les diverses préconisations de la norme ISO 27002:2022 relatives au transfert d'information ont-elles été prises en compte ?</t>
  </si>
  <si>
    <t>Sécurité de l'information dans l'utilisation de services en nuage</t>
  </si>
  <si>
    <t xml:space="preserve">L'organisation a-t-elle défini et spécifié, conformément aux exigences de sécurité de l'information, les processus d'acquisition, d'utilisation, de management et de cessation des services en nuage ? </t>
  </si>
  <si>
    <t>1B07-02</t>
  </si>
  <si>
    <t>Les diverses préconisations de la norme ISO 27002:2022 relatives à la sécurité de l'information dans l'utilisation de services en nuage ont-elles été prises en compte ?</t>
  </si>
  <si>
    <t>6.6</t>
  </si>
  <si>
    <t>Les diverses préconisations de la norme ISO 27002:2022 relatives aux engagements de confidentialité ou de non-divulgation ont-elles été prises en compte ?</t>
  </si>
  <si>
    <t>Terminaux utilisateurs</t>
  </si>
  <si>
    <t>Cette politique a-t-elle été communiquée à tout le personnel ?</t>
  </si>
  <si>
    <t>Vérifie-t-on  les références concernant tous les candidats à l'embauche avant qu'ils n'intègrent l'organisation puis de façon continue, conformément aux lois, aux réglementations et à l'éthique ?</t>
  </si>
  <si>
    <t>Ces vérifications restent-elles proportionnelles aux exigences métier, à la classification des informations accessibles et aux risques identifiés ?</t>
  </si>
  <si>
    <t>Ces procédures permettent-elles de s'assurer que tous les membres du personnel sont éligibles et compétents pour remplir les fonctions que l'organisation envisage de leur confier et qu'ils le restent tout au long de leur contrat de travail ?</t>
  </si>
  <si>
    <t>Les diverses préconisations de la norme ISO 27002:2022 relatives à l'engagement du personnel ont-elles été prises en compte ?</t>
  </si>
  <si>
    <t>Les contrats de travail précisent-ils les responsabilités qui incombent au personnel et à l'organisation en matière de sécurité de l'information ?</t>
  </si>
  <si>
    <t>Les diverses préconisations de la norme ISO 27002:2022 relatives aux clauses d'engagement du personnel ont-elles été prises en compte ?</t>
  </si>
  <si>
    <t>La direction demande-t-elle à tous les salariés et contractants d’appliquer les règles de sécurité conformément aux politiques et aux procédures en vigueur dans l’organisation et a-t-elle pris des mesures visant à s'assurer que tout le personnel soit sensibilisé aux responsabilités liées à la sécurité de l'information et qu'il assume ces responsabilités.?</t>
  </si>
  <si>
    <t>5.4</t>
  </si>
  <si>
    <t>1C02-02</t>
  </si>
  <si>
    <t>Les diverses préconisations de la norme ISO 27002:2022 relatives à la responsabilité de la Direction et du personnel ont-elles été prises en compte ?</t>
  </si>
  <si>
    <t>A-t-on mis en place une organisation telle que le personnel de l'organisation et les parties intéressées soient sensibilisés et suivent un apprentissage et des formations à la sécurité de l'information adaptés, et qu'ils reçoivent régulièrement les mises à jour des politiques et procédures de l'organisation s'appliquant à leur fonction ?</t>
  </si>
  <si>
    <t>6.3</t>
  </si>
  <si>
    <t>S'assure-t-on que le personnel et les parties intéressées sont conscients de leurs responsabilités en matière de sécurité de l'information et qu'ils assument ces responsabilités ?</t>
  </si>
  <si>
    <t>Les diverses préconisations de la norme ISO 27002:2022 relatives à la sensibilisation et à la responsabilisation du personnel ont-elles été prises en compte ?</t>
  </si>
  <si>
    <t>A-t-on formalisé et de communiqué un processus disciplinaire permettant de prendre des mesures à l'encontre du personnel et des autres parties intéressées qui ont commis une violation de la politique de sécurité de l'information ?</t>
  </si>
  <si>
    <t>6.4</t>
  </si>
  <si>
    <t>1C04-02</t>
  </si>
  <si>
    <t>S'est-on assuré que le personnel et les autres parties intéressées comprennent les conséquences des violations de la sécurité de l'information afin de les dissuader d'effectuer des activités non conformes ?</t>
  </si>
  <si>
    <t>1C04-03</t>
  </si>
  <si>
    <t>Les diverses préconisations de la norme ISO 27002:2022 relatives au processus disciplinaire ont-elles été prises en compte ?</t>
  </si>
  <si>
    <t>A-t-on défini les responsabilités et les missions liées à la sécurité de l'information qui restent valables consécutivement à la fin ou à la modification du contrat de travail, en a-t-on informé le personnel concerné et les autres parties intéressées et veille-t-on à l'application de ces directives ?</t>
  </si>
  <si>
    <t>6.5</t>
  </si>
  <si>
    <t>Ces directives permettent-elles de protéger les intérêts de l'organisation dans le cadre du processus de modification ou de rupture d'une relation ou d'un contrat de travail ?</t>
  </si>
  <si>
    <t>Les diverses préconisations de la norme ISO 27002:2022 relatives à la cessation ou au changement de la relation de travail ont-elles été prises en compte ?</t>
  </si>
  <si>
    <t>A-t-on défini les types d'actifs devant être identifiés et inventoriés et en tient-on un inventaire ?</t>
  </si>
  <si>
    <t>5.9</t>
  </si>
  <si>
    <t>Les diverses préconisations de la norme ISO 27002:2022 relatives à la gestion des actifs (inventaire, propriétaire, rôle du propriétaire)  ont-elles été prises en compte ?</t>
  </si>
  <si>
    <t>A-t-on identifié, documenté et de mis en œuvre des règles d'utilisation correcte et des procédures de traitement de l'information et des autres actifs associés ?</t>
  </si>
  <si>
    <t>5.10</t>
  </si>
  <si>
    <t>Les diverses préconisations de la norme ISO 27002:2022 relatives à l'utilisation correcte des actifs ont-elles été prises en compte ?</t>
  </si>
  <si>
    <t>A-t-on établi des procédures afin que  le personnel et les autres parties intéressées, au besoin, restituent tous les actifs de l'organisation qui sont en leur possession en cas de modification ou de rupture de leur relation de travail, contrat de travail ou engagement ?</t>
  </si>
  <si>
    <t>5.11</t>
  </si>
  <si>
    <t>1D01-07</t>
  </si>
  <si>
    <t>Les diverses préconisations de la norme ISO 27002:2022 relatives à la restitution des actifs ont-elles été prises en compte ?</t>
  </si>
  <si>
    <r>
      <t xml:space="preserve">A-t-on effectué une classification des informations conformément aux besoins de l'organisation en termes de sécurité de l'information sur le plan de la confidentialité, de l'intégrité, de la disponibilité et des exigences des parties intéressées ?
</t>
    </r>
    <r>
      <rPr>
        <i/>
        <sz val="8"/>
        <rFont val="Arial"/>
        <family val="2"/>
      </rPr>
      <t>Cette classification a pour but d'assurer l'identification et la compréhension des besoins de protection de l'information en fonction de l'importance de celle-ci pour l'organisation.</t>
    </r>
  </si>
  <si>
    <t>5.12</t>
  </si>
  <si>
    <t>Les diverses préconisations de la norme ISO 27002:2022 relatives à la classification de l'information ont-elles été prises en compte ?</t>
  </si>
  <si>
    <t>A-t-on élaboré et mis en œuvre un ensemble approprié de procédures pour le marquage de l’information, conformément au plan de classification de l’information adopté par l’organisation ?</t>
  </si>
  <si>
    <t>5.13</t>
  </si>
  <si>
    <t>Les diverses préconisations de la norme ISO 27002:2022 relatives au marquage de l'information ont-elles été prises en compte ?</t>
  </si>
  <si>
    <t>La mise en œuvre de ces Plans de Continuité permet-elle le maintien de la sécurité de l'information au niveau approprié ?</t>
  </si>
  <si>
    <t>5.29</t>
  </si>
  <si>
    <t>Les diverses préconisations de la norme ISO 27002:2022 relatives au maintien de la sécurité de l'information en cas de perturbation ont-elles été prises en compte ?</t>
  </si>
  <si>
    <t>1E01-14</t>
  </si>
  <si>
    <t>1E01-15</t>
  </si>
  <si>
    <t>A-t-on identifié et de mise en œuvre des processus et procédures pour gérer les risques de sécurité de l'information qui sont associés à l'utilisation des produits ou services des fournisseurs ?</t>
  </si>
  <si>
    <t>5.19</t>
  </si>
  <si>
    <t>Ces procédures et processus permettent-ils d'assurer le niveau de sécurité de l'information convenu dans les relations avec les fournisseurs ?</t>
  </si>
  <si>
    <t>1F01-03</t>
  </si>
  <si>
    <t>Les diverses préconisations de la norme ISO 27002:2022 relatives à la sécurité de l'information dans les relations avec les fournisseurs ont-elles été prises en compte ?</t>
  </si>
  <si>
    <t>A-t-on établi les exigences applicables liées à la sécurité de l'information dans les accords avec les fournisseurs ayant accès à l'information de l'organisation ?</t>
  </si>
  <si>
    <t>5.20</t>
  </si>
  <si>
    <t>1F02-02</t>
  </si>
  <si>
    <t>Les diverses préconisations de la norme ISO 27002:2022 relatives à la prise en compte de la sécurité de l'information dans les accords avec les fournisseurs ont-elles été prises en compte ?</t>
  </si>
  <si>
    <t>Approvisionnement de produits ou services informatiques ou de télécommunication</t>
  </si>
  <si>
    <t>A-t-on défini et de mis en œuvre des processus et procédures destinés à traiter les risques de sécurité de l'information associés aux services informatiques et de télécommunication et à la chaîne d'approvisionnement des produits informatiques ou de télécommunication ?</t>
  </si>
  <si>
    <t>5.21</t>
  </si>
  <si>
    <t>Les diverses préconisations de la norme ISO 27002:2022 relatives à la prise en compte de la sécurité de l'information dans les approvisionnements de produits ou services informatiques ou de télécommunication ont-elles été prises en compte ?</t>
  </si>
  <si>
    <t>Suivi, revue et gestion des changements des services fournisseurs</t>
  </si>
  <si>
    <t>L'organisation procède-t-elle régulièrement à la surveillance, à la revue, à l'évaluation et à la gestion des changements de pratiques du fournisseur en matière de sécurité de l'information et de prestation de services, afin de maintenir un niveau convenu de sécurité de l’information et de prestation de services, conformément aux accords conclus avec les fournisseurs ?</t>
  </si>
  <si>
    <t>5.22</t>
  </si>
  <si>
    <t>Les diverses préconisations de la norme ISO 27002:2022 relatives au suivi, à la revue et à la gestion des changements des services fournisseurs ont-elles été prises en compte ?</t>
  </si>
  <si>
    <t>Score ISO 27002:2022</t>
  </si>
  <si>
    <t>Mesutres organisationnelles</t>
  </si>
  <si>
    <t>Fonctions et responsabilités liées à la sécurité de l'information</t>
  </si>
  <si>
    <t>1B01-04:05</t>
  </si>
  <si>
    <t>Relations avec les autorités</t>
  </si>
  <si>
    <t>1B01-06:07</t>
  </si>
  <si>
    <t>Relations avec des groupes de travail spécialisés</t>
  </si>
  <si>
    <t>1B01-08:09</t>
  </si>
  <si>
    <t>Intelligence des menaces</t>
  </si>
  <si>
    <t>1B01-10:12</t>
  </si>
  <si>
    <t>Sécurité de l'information dans la gestion de projet</t>
  </si>
  <si>
    <t>1B01-13:15;7A01-01:03</t>
  </si>
  <si>
    <t>Inventaire des innformations et des autres actifs associés</t>
  </si>
  <si>
    <t>1D01-01:03</t>
  </si>
  <si>
    <t>Utilisation correcte de l'information et des actifs associés</t>
  </si>
  <si>
    <t>Restitution des actifs</t>
  </si>
  <si>
    <t>1D01-06:07</t>
  </si>
  <si>
    <t>Marquage de l'information</t>
  </si>
  <si>
    <t>1D02-03:04</t>
  </si>
  <si>
    <t>Transfert de l'information</t>
  </si>
  <si>
    <t>1B06-01:03</t>
  </si>
  <si>
    <t>5.15</t>
  </si>
  <si>
    <t>3A01-01:03</t>
  </si>
  <si>
    <t>5.16</t>
  </si>
  <si>
    <t>Gestion des identités</t>
  </si>
  <si>
    <t>3A02-01:03</t>
  </si>
  <si>
    <t>5.17</t>
  </si>
  <si>
    <t>Informations d'authentification</t>
  </si>
  <si>
    <t>3A03-01:02</t>
  </si>
  <si>
    <t>5.18</t>
  </si>
  <si>
    <t>Droits d'accès</t>
  </si>
  <si>
    <t>3A02-04:05</t>
  </si>
  <si>
    <t>1F01-01:03</t>
  </si>
  <si>
    <t>Prise en compte de la sécurité de l'information dans les accords conclus avec les fournisseurs</t>
  </si>
  <si>
    <t>1F02-01:02</t>
  </si>
  <si>
    <t>Management de la sécurité de l'information dans la chaîne d'approvisionnement TIC</t>
  </si>
  <si>
    <t>1F04-01:02</t>
  </si>
  <si>
    <t>5.23</t>
  </si>
  <si>
    <t>5.24</t>
  </si>
  <si>
    <t>Responsabilités et préparation de la gestion des incidents liés à la sécurité de l'information</t>
  </si>
  <si>
    <t>5.25</t>
  </si>
  <si>
    <t>Appréciation des événements liés à la sécurité de l'information et prise de décision</t>
  </si>
  <si>
    <t>5.26</t>
  </si>
  <si>
    <t>Réponse aux incidents de sécurité de l'information incidents liés à la sécurité de l'information</t>
  </si>
  <si>
    <t>5.27</t>
  </si>
  <si>
    <t>Tirer des enseignements des incidents liés à la sécurité de l'information</t>
  </si>
  <si>
    <t>5.28</t>
  </si>
  <si>
    <t>Recueil de preuves</t>
  </si>
  <si>
    <t>Sécurité de l'information durant une perturbation</t>
  </si>
  <si>
    <t>5.30</t>
  </si>
  <si>
    <t>Préparation des TIC pour la continuité d'activité</t>
  </si>
  <si>
    <t>5.31</t>
  </si>
  <si>
    <t>Identification des exigences légales, statutaires, réglementaires et contractuelles</t>
  </si>
  <si>
    <t>8A01-01:02;8A01-06</t>
  </si>
  <si>
    <t>5.32</t>
  </si>
  <si>
    <t>5.33</t>
  </si>
  <si>
    <t>5.34</t>
  </si>
  <si>
    <t>Vie privée et protection des DCP</t>
  </si>
  <si>
    <t>5.35</t>
  </si>
  <si>
    <t>8C01-01:04</t>
  </si>
  <si>
    <t>5.36</t>
  </si>
  <si>
    <t>Conformité aux politiques et normes de sécurité de l'information</t>
  </si>
  <si>
    <t>8C02-01:02</t>
  </si>
  <si>
    <t>5.37</t>
  </si>
  <si>
    <t>Procédures d'exploitation documentées</t>
  </si>
  <si>
    <t>Mesutres liées aux personnes</t>
  </si>
  <si>
    <t>Présélection</t>
  </si>
  <si>
    <t>1C01-01:04</t>
  </si>
  <si>
    <t>Conditions générales d'embauche</t>
  </si>
  <si>
    <t>1C01-05:07</t>
  </si>
  <si>
    <t>Sensibilisation, apprentissage et formation à la sécurité de l'information</t>
  </si>
  <si>
    <t>1C03-01:03</t>
  </si>
  <si>
    <t>1C04-01:03</t>
  </si>
  <si>
    <t>Responsabilités consécutivement à la fin ou à la modification du contrat de travail</t>
  </si>
  <si>
    <t>Travail à distance</t>
  </si>
  <si>
    <t>1B02-01:03</t>
  </si>
  <si>
    <t>6.8</t>
  </si>
  <si>
    <t>Signalement des événements liés à la sécurité de l'information</t>
  </si>
  <si>
    <t>Contrôles physiques</t>
  </si>
  <si>
    <t>Périmètre de sécurité physique</t>
  </si>
  <si>
    <t>2A01-01:03</t>
  </si>
  <si>
    <t>7.2</t>
  </si>
  <si>
    <t>Contrôles physiques des accès</t>
  </si>
  <si>
    <t>2A02-01:02;2D04-01:02</t>
  </si>
  <si>
    <t>Sécurisation des bureaux, des salles et des équipements</t>
  </si>
  <si>
    <t>2B04-01:02</t>
  </si>
  <si>
    <t>7.4</t>
  </si>
  <si>
    <t>Surveillance de la sécurité physique</t>
  </si>
  <si>
    <t>2B06-01:02</t>
  </si>
  <si>
    <t>7.5</t>
  </si>
  <si>
    <t>Protection contre les menaces physiques et environnementales</t>
  </si>
  <si>
    <t>2A03-01:02</t>
  </si>
  <si>
    <t>7.6</t>
  </si>
  <si>
    <t>Travail dans les zones sécurisées</t>
  </si>
  <si>
    <t>2B05-01:02</t>
  </si>
  <si>
    <t>7.7</t>
  </si>
  <si>
    <t>Bureau propre et écran vide</t>
  </si>
  <si>
    <t>2E03-01:02</t>
  </si>
  <si>
    <t>7.8</t>
  </si>
  <si>
    <t>Emplacement et protection du matériel</t>
  </si>
  <si>
    <t>2C01-01:02</t>
  </si>
  <si>
    <t>7.9</t>
  </si>
  <si>
    <t>Sécurité des actifs hors des locaux</t>
  </si>
  <si>
    <t>7.10</t>
  </si>
  <si>
    <t>Supports de stockage</t>
  </si>
  <si>
    <t>2C07-01:02</t>
  </si>
  <si>
    <t>7.11</t>
  </si>
  <si>
    <t>Services généraux</t>
  </si>
  <si>
    <t>7.12</t>
  </si>
  <si>
    <t>2C03-01:02</t>
  </si>
  <si>
    <t>7.13</t>
  </si>
  <si>
    <t>Maintenance du matériel</t>
  </si>
  <si>
    <t>7.14</t>
  </si>
  <si>
    <t>Mise au rebut ou recyclage sécurisé(e) du matériel</t>
  </si>
  <si>
    <t>Mesures technologiques</t>
  </si>
  <si>
    <t>1B08-01:03</t>
  </si>
  <si>
    <t>Privilèges d'accès</t>
  </si>
  <si>
    <t>Restriction d'accès à l'information</t>
  </si>
  <si>
    <t>3A01-04:05</t>
  </si>
  <si>
    <t>8.4</t>
  </si>
  <si>
    <t>Accès au code source</t>
  </si>
  <si>
    <t>8.5</t>
  </si>
  <si>
    <t>Authentification sécurisée</t>
  </si>
  <si>
    <t>3A04-08:10</t>
  </si>
  <si>
    <t>8.6</t>
  </si>
  <si>
    <t>Dimensionnement</t>
  </si>
  <si>
    <t>8.7</t>
  </si>
  <si>
    <t>Protection contre les programmes malveillants</t>
  </si>
  <si>
    <t>8.8</t>
  </si>
  <si>
    <t>8.9</t>
  </si>
  <si>
    <t>Gestion de la configuration</t>
  </si>
  <si>
    <t>8.10</t>
  </si>
  <si>
    <t>Suppression d'information</t>
  </si>
  <si>
    <t>8.11</t>
  </si>
  <si>
    <t>Masquage des données</t>
  </si>
  <si>
    <t>8.12</t>
  </si>
  <si>
    <t>Prévention de la fuite de données</t>
  </si>
  <si>
    <t>8.13</t>
  </si>
  <si>
    <t>Sauvegarde des informations</t>
  </si>
  <si>
    <t>8.14</t>
  </si>
  <si>
    <t>Redondance des moyens de traitement de l'information</t>
  </si>
  <si>
    <t>3B01-01:04</t>
  </si>
  <si>
    <t>8.15</t>
  </si>
  <si>
    <t>Journalisation</t>
  </si>
  <si>
    <t>8.16</t>
  </si>
  <si>
    <t>Activités de surveillance</t>
  </si>
  <si>
    <t>8.17</t>
  </si>
  <si>
    <t>8.18</t>
  </si>
  <si>
    <t>Utilisation de programmes utilitaires à privilèges</t>
  </si>
  <si>
    <t>8.19</t>
  </si>
  <si>
    <t>Installation de logiciels sur des systèmes en exploitation</t>
  </si>
  <si>
    <t>Mesures liées aux réseaux</t>
  </si>
  <si>
    <t>1B03-01:02</t>
  </si>
  <si>
    <t>8.22</t>
  </si>
  <si>
    <t>Filtrage Internet</t>
  </si>
  <si>
    <t>1B05-01:03</t>
  </si>
  <si>
    <t>Utilisation de la cryptographie</t>
  </si>
  <si>
    <t>1A02-01:03</t>
  </si>
  <si>
    <t>8.25</t>
  </si>
  <si>
    <t>Cycle de vie de développement sécurisé</t>
  </si>
  <si>
    <t>7B01-01:03</t>
  </si>
  <si>
    <t>8.26</t>
  </si>
  <si>
    <t>Exigences de sécurité des applications</t>
  </si>
  <si>
    <t>7A01-04:05;7A02-01:02;7A03-01:02</t>
  </si>
  <si>
    <t>8.27</t>
  </si>
  <si>
    <t>Principes d'ingénierie et d'architecture système sécurisée</t>
  </si>
  <si>
    <t>8.28</t>
  </si>
  <si>
    <t>Codage sécurisé</t>
  </si>
  <si>
    <t>8.29</t>
  </si>
  <si>
    <t>Tests de sécurité dans le développement et l'acceptation</t>
  </si>
  <si>
    <t>7B06-01:04</t>
  </si>
  <si>
    <t>8.30</t>
  </si>
  <si>
    <t>7B05-01:03</t>
  </si>
  <si>
    <t>8.31</t>
  </si>
  <si>
    <t>Séparation des environnements de développement, de test et de production</t>
  </si>
  <si>
    <t>8.32</t>
  </si>
  <si>
    <t>8.33</t>
  </si>
  <si>
    <t>Informations relatives aux tests</t>
  </si>
  <si>
    <t>7B07-01:03</t>
  </si>
  <si>
    <t>8.34</t>
  </si>
  <si>
    <t>Protection des systèmes d'information en cours d'audit et de test</t>
  </si>
  <si>
    <t>ISO 27002 2022</t>
  </si>
  <si>
    <t>Périmètres de sécurité</t>
  </si>
  <si>
    <t>A-t-on défini des périmètres de sécurité servant à protéger les zones qui contiennent l'information sensible ou critique et les autres actifs associés ?</t>
  </si>
  <si>
    <t>Les diverses préconisations de la norme ISO 27002:2022 relatives à la définition de ces périmètres ont-elles été prises en compte ?</t>
  </si>
  <si>
    <t>A-t-on vérifié la cohérence des moyens de protection ? La solidité des murs doit être cohérente avec les moyens de fermeture des portes, toutes les issues doivent être également protégées, etc.</t>
  </si>
  <si>
    <t>Contrôle physique des accès</t>
  </si>
  <si>
    <t>Les périmètres définis précédemment sont-elles protégées par des contrôles d'accès et des points d'accès appropriés de façon à garantir l'accès physique à l'information et autres actifs associés de l'organisation seulement par le biais d'autorisation ?</t>
  </si>
  <si>
    <t>Les diverses préconisations de la norme ISO 27002:2022 relatives contrôle physique des accès ont-elles été prises en compte ?</t>
  </si>
  <si>
    <t xml:space="preserve">Protection contre les menaces extérieures et environnementales </t>
  </si>
  <si>
    <t>Les diverses préconisations de la norme ISO 27002:2022 relatives à la protection contre les menaces physiques et environnementales ont-elles été prises en compte ?</t>
  </si>
  <si>
    <t>Existe-t-il une installation de détection automatique d'incident environnemental complète pour l'ensemble des périmètres de sécurité et pour les locaux sensibles (faux planchers et faux plafonds s'ils existent) ?</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</si>
  <si>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</si>
  <si>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L'authentification fait-elle appel à des moyens infalsifiables détenus par l'utilisateur ?  
</t>
    </r>
    <r>
      <rPr>
        <i/>
        <sz val="8"/>
        <rFont val="Arial"/>
        <family val="2"/>
      </rPr>
      <t>Par exemple : carte à puce, système de reconnaissance biométrique, clef numérique, ...</t>
    </r>
  </si>
  <si>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</si>
  <si>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Des mesures de sécurité physique ont-elles été mises en place pour les bureaux, les salles et les équipements de façon à y empêcher tout accès physique non autorisé, tout dommage ou intrusion portant sur l'information et les autres actifs associés de l'organisation ?</t>
  </si>
  <si>
    <t>Les diverses préconisations de la norme ISO 27002:2022 relatives à la sécurisation des bureaux, des salles et des équipements ont-elles été prises en compte ?</t>
  </si>
  <si>
    <t>Des procédures pour le travail en zone sécurisée ont-elles été conçues et mises en place de façon à empêcher tout dommage ou intrusion portant sur l'information et les autres actifs associés de l'organisation ?</t>
  </si>
  <si>
    <t>Les diverses préconisations de la norme ISO 27002:2022 relatives au travail dans les zones sécurisées ont-elles été prises en compte ?</t>
  </si>
  <si>
    <t>2B06</t>
  </si>
  <si>
    <t>2B06-01</t>
  </si>
  <si>
    <t>Est-ce que les locaux font l'objet d'une surveillance continue de façon à détecter et empêcher tout accès physique non autorisé ?</t>
  </si>
  <si>
    <t>2B06-02</t>
  </si>
  <si>
    <t>Les diverses préconisations de la norme ISO 27002:2022 relatives à la surveillance de la sécurité physique ont-elles été prises en compte ?</t>
  </si>
  <si>
    <t>Le matériel a-t-il été disposé pour qu'il soit sécurisé et protégé contre les risques liés à des menaces et dangers environnementaux et des possibilités d'accès non autorisé ?</t>
  </si>
  <si>
    <t>Les diverses préconisations de la norme ISO 27002:2022 relatives à l'emplacement et à la protection du matériel ont-elles été prises en compte ?</t>
  </si>
  <si>
    <t>Les câbles électriques transportant des données ou supportant les services d'information sont-ils protégés de façon à empêcher la perte, l'endommagement, le vol ou la compromission de l'information et des autres actifs associés et l'interruption des activités de l'organisation ?</t>
  </si>
  <si>
    <t>Les diverses préconisations de la norme ISO 27002:2022 relatives à la sécurité du câblage ont-elles été prises en compte ?</t>
  </si>
  <si>
    <t>2C06</t>
  </si>
  <si>
    <t>2C06-01</t>
  </si>
  <si>
    <t>Les actifs hors du site sont-ils protégés de façon à empêcher la perte, l'endommagement, le vol ou la compromission de ces actifs et à empêcher l'interruption des activités de l'organisation ?</t>
  </si>
  <si>
    <t>2C06-02</t>
  </si>
  <si>
    <t>Les diverses préconisations de la norme ISO 27002:2022 relatives à la sécurité des actifs hors des locaux ont-elles été prises en compte ?</t>
  </si>
  <si>
    <t>2C07</t>
  </si>
  <si>
    <t>2C07-01</t>
  </si>
  <si>
    <t>Les supports de stockage sont-ils gérés tout au long de leur cycle de vie d'acquisition, d'utilisation, de transport et de mise au rebut conformément au plan de classification et aux exigences de manipulation de l'organisation de façon à s'assurer de la divulgation, de la modification, du retrait ou de la destruction de l'information de l'organisation stockée sur des supports par le biais d'autorisations seulement ?</t>
  </si>
  <si>
    <t>2C07-02</t>
  </si>
  <si>
    <t>Les diverses préconisations de la norme ISO 27002:2022 relatives aux supports de stockage ont-elles été prises en compte ?</t>
  </si>
  <si>
    <t>2C08</t>
  </si>
  <si>
    <t>2C08-01</t>
  </si>
  <si>
    <t>Les moyens de traitement de l'information sont-ils protégés des coupures de courant et autres perturbations dues à une défaillance des services collectifs de façon à empêcher la perte, l'endommagement ou la compromission de l'information et des autres actifs associés ?</t>
  </si>
  <si>
    <t>2C08-02</t>
  </si>
  <si>
    <t>Les diverses préconisations de la norme ISO 27002:2022 relatives aux services généraux ont-elles été prises en compte ?</t>
  </si>
  <si>
    <t>2C09</t>
  </si>
  <si>
    <t>2C09-01</t>
  </si>
  <si>
    <t>Le matériel est-il protégé correctement de façon à empêcher la perte, l'endommagement, le vol ou la compromission de ce matériel et à empêcher l'interruption des activités de l'organisation ?</t>
  </si>
  <si>
    <t>2C09-02</t>
  </si>
  <si>
    <t>Les diverses préconisations de la norme ISO 27002:2022 relatives à la maintenance du matériel ont-elles été prises en compte ?</t>
  </si>
  <si>
    <t>S'assure-t-on de vérifier chacun des éléments du matériel contenant des supports de stockage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</si>
  <si>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ont-elles été prises en compte ?</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</si>
  <si>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</si>
  <si>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prestataires occasionnels et les visiteurs des bureaux et salles sécurisés font-ils l'objet de mesures particulières de sécurité (identification, authentification, surveillance, etc.) afin de garantir l'accès physique seulement à l'information et aux autres actifs de l'organisation auxquels ils doivent avoir accès ?</t>
  </si>
  <si>
    <t>Les diverses préconisations de la norme ISO 27002:2022 relatives aux contrôles physiques des accès ont-elles été prises en compte ?</t>
  </si>
  <si>
    <t>Les moyens de destruction offerts au personnel offrent-ils une garantie forte que les documents détruits ne peuvent pas être reconstitués ? Pour cela, une déchiqueteuse doit être à coupe croisée.</t>
  </si>
  <si>
    <t>A-t-on installé une déchiqueteuse de capacité suffisante à coté de chaque photocopieur et de chaque imprimante partagée ? Nota : La capacité nécessaire devrait prendre en compte l'épaisseur maximale que peuvent couramment atteindre les documents photocopiés.</t>
  </si>
  <si>
    <t>Une politique relative au "bureau propre et à l'écran muet" et au matériel utilisateur laissé sans surveillance a-t-elle été rédigée et concrétisée à l'aide de procédures afin de réduire les risques d'accès non autorisé, les pertes et l'endommagement de l'information sur les bureaux, les écrans, les autres emplacements et dans les matériels ou équipements accessibles pendant et en dehors des heures normales de travail ?</t>
  </si>
  <si>
    <t>Les diverses préconisations de la norme ISO 27002:2022 relatives aux bureaux propres, aux écrans muets et à tout autre type de terminal/équipement utilisateur ont-elles été prises en compte ?</t>
  </si>
  <si>
    <t>A-t-on conçu et mis en place une protection contre les menaces physiques et environnementales telles que les catastrophes naturelles et autres menaces physiques volontaires ou non liées à l'infrastructure ?</t>
  </si>
  <si>
    <r>
      <t xml:space="preserve">A-t-on recensé tous les types de locaux sensibles ? 
</t>
    </r>
    <r>
      <rPr>
        <i/>
        <sz val="8"/>
        <rFont val="Arial"/>
        <family val="2"/>
      </rPr>
      <t>En particulier les locaux techniques, mais aussi ceux dans lesquels des documents sensibles peuvent transiter tels que local courrier, locaux de fax, etc.</t>
    </r>
  </si>
  <si>
    <t>Sont-ils soumis à des tests réguliers de bon fonctionnement, voire à des alarmes en temps réel en cas de dysfonctionnement ?</t>
  </si>
  <si>
    <t>1B09-01:02</t>
  </si>
  <si>
    <t xml:space="preserve">Contrôle de la circulation des visiteurs et des prestataires occasionnels </t>
  </si>
  <si>
    <t>Contrôle de la circulation des visiteurs et des prestataires occasionnels (amenés à intervenir dans les bureaux et les salles sécurisées)</t>
  </si>
  <si>
    <t>Politique relative au "bureau propre et écran muet" (de même qu'au matériel utilisateur laissé sans surveillance)</t>
  </si>
  <si>
    <t>A-t-on défini et de mis en œuvre des règles visant à gérer l'accès physique et logique à l'information et aux autres actifs associés en fonction des exigences métier et de sécurité de l'information ?</t>
  </si>
  <si>
    <t>Ces règles ont-elles pour objectif de garantir l'accès par le biais d'autorisations et d'empêcher l'accès non autorisé à l'information et aux autres actifs associés ?</t>
  </si>
  <si>
    <t>Les diverses préconisations de la norme ISO 27002:2022 relatives au contrôle des accès ont-elles été prises en compte ?</t>
  </si>
  <si>
    <t>L'accès à l'information et aux autres actifs associés est-il restreint conformément à la
politique ci-dessus (portant sur le thème du contrôle d'accès) ?</t>
  </si>
  <si>
    <t>Les diverses préconisations de la norme ISO 27002:2022 relatives à la restriction des accès à l'information ont-elles été prises en compte ?</t>
  </si>
  <si>
    <t>Cette procédure couvre-t-elle de gérer le cycle de vie complet des identités ?</t>
  </si>
  <si>
    <t>Les diverses préconisations de la norme ISO 27002:2022 relatives à la gestion des identités ont-elles été prises en compte ?</t>
  </si>
  <si>
    <t>Les droits d'accès à l'information et aux autres actifs associés sont-ils mis en service,
révisés, modifiés et supprimés conformément à la politique portant sur le thème de l'organisation et aux règles de contrôle d'accès ?</t>
  </si>
  <si>
    <t>Les diverses préconisations de la norme ISO 27002:2022 relatives aux droits d'accès ont-elles été prises en compte ?</t>
  </si>
  <si>
    <t>3A02-11</t>
  </si>
  <si>
    <t>3A02-12</t>
  </si>
  <si>
    <t>3A02-13</t>
  </si>
  <si>
    <t>3A02-14</t>
  </si>
  <si>
    <t>L'attribution et la gestion des informations d'authentification sont-elles contrôlées par un processus de gestion, impliquant l'information du personnel quant au traitement approprié des informations d'authentification ?</t>
  </si>
  <si>
    <t>Les diverses préconisations de la norme ISO 27002:2022 relatives aux informations d'authentification ont-elles été prises en compte ?</t>
  </si>
  <si>
    <t>Le processus d'authentification, dan son ensemble, est-il sécurisé ?</t>
  </si>
  <si>
    <t>Les diverses préconisations de la norme ISO 27002:2022 relatives à l'authentification sécurisée ont-elles été prises en compte ?</t>
  </si>
  <si>
    <t>3A04-25</t>
  </si>
  <si>
    <t>3A04-26</t>
  </si>
  <si>
    <t>Existe-t-il une procédure pour restreindre et gérer l'attribution et l'utilisation des privilèges d'accès.?</t>
  </si>
  <si>
    <t>Cette procédure permet-elle de s'assurer que seuls les utilisateurs autorisés, les composants logiciels et les services qui le requièrent se voient attribuer des privilèges d'accès ?</t>
  </si>
  <si>
    <t>Les diverses préconisations de la norme ISO 27002:2022 relatives aux privilèges d'accès ont-elles été prises en compte ?</t>
  </si>
  <si>
    <t>3A06-09</t>
  </si>
  <si>
    <t>3A06-10</t>
  </si>
  <si>
    <t>3A06-11</t>
  </si>
  <si>
    <r>
      <t xml:space="preserve">Les processus qui assurent l'authentification des accès aux systèmes hôtes de services externalisés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</si>
  <si>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Les diverses préconisations de la norme ISO 27002:2022 relatives à la redondance des moyens de traitement de l'information ont-elles été prises en compte ?</t>
  </si>
  <si>
    <t>3B01-08</t>
  </si>
  <si>
    <t>Continuité de la sécurité de l'information dans les plans de continuité des processus applicatifs</t>
  </si>
  <si>
    <t>La mise en œuvre de ces Plans de Continuité des processus applicatifs permet-elle le maintien de la sécurité de l'information au niveau approprié ?</t>
  </si>
  <si>
    <t>A-t-on fait une analyse exhaustive de toutes les possibilités de connexion de périphériques externes au Système d'Information de l'entreprise (ports USB, Bluetooth, etc...) ?</t>
  </si>
  <si>
    <t>Cette analyse est-elle menée ou revue tout au long du cycle de vie des projets ?</t>
  </si>
  <si>
    <t>Les diverses préconisations de la norme ISO 27002:2022 relatives à la sécurité de l'information dans la  gestion de projet ont-elles été prises en compte ?</t>
  </si>
  <si>
    <t>A-t-on, lors du développement ou de l'achat d'applications, identifié,  défini et de les approuvé les exigences de sécurité de l'information ?</t>
  </si>
  <si>
    <t>Les diverses préconisations générales de la norme ISO 27002:2022 relatives aux exigences de sécurité des applications ont-elles été prises en compte ?</t>
  </si>
  <si>
    <t>Les diverses préconisations de la norme ISO 27002:2022 relatives aux exigences de sécurité des applications, et particulièrement à celles utilisant des réseaux publics, ont-elles été prises en compte ?</t>
  </si>
  <si>
    <t>Les diverses préconisations de la norme ISO 27002:2022 relatives aux exigences de sécurité des applications, et particulièrement aux applications transactionnelles, ont-elles été prises en compte ?</t>
  </si>
  <si>
    <t>Ces règles sont-elles mises en application ?</t>
  </si>
  <si>
    <t>Les diverses préconisations de la norme ISO 27002:2022 relatives au cycle de vie de développement sécurisé ont-elles été prises en compte ?</t>
  </si>
  <si>
    <t>A-t-on défini des procédures pour contrôler les changements apportés aux moyens de traitement de l'information ?</t>
  </si>
  <si>
    <t>Toute demande de changement relative à une application ou d'évolution de système fait-elle l'objet d'une procédure de revue technique formelle (impact sur les processus et codes de sécurité, impact sur les autres logiciels, matériels, bases de données, contrôle des faiblesses éventuellement connues, etc.) ?</t>
  </si>
  <si>
    <t>7B02-08</t>
  </si>
  <si>
    <t>Les diverses préconisations de la norme ISO 27002:2022 relatives au contrôle des changements ont-elles été prises en compte ?</t>
  </si>
  <si>
    <t>7B02-09</t>
  </si>
  <si>
    <t>Procède-t-on régulièrement à un audit des procédures de contrôle des changements ?</t>
  </si>
  <si>
    <t>Les environnements de développement, de test et de production sont-ils strictement éparés ?</t>
  </si>
  <si>
    <t>Les diverses préconisations de la norme ISO 27002:2022 relatives à la séparation des environnements de développement, de test et de production ont-elles été prises en compte ?</t>
  </si>
  <si>
    <t>L'organisation dirige-t-elle, contrôle-t-elle et passe-t-elle en revue les activités liées au développement du système externalisé ?</t>
  </si>
  <si>
    <t>Ce contrôle permet-il de s'assurer que les mesures de sécurité de l'information exigées par l'organisation sont mises en œuvre dans le cadre du développement du système externalisé ?</t>
  </si>
  <si>
    <t>Les diverses préconisations de la norme ISO 27002:2022 relatives au développement externalisé ont-elles été prises en compte ?</t>
  </si>
  <si>
    <t>7B06-03</t>
  </si>
  <si>
    <t>Ces processus sont-ils mis en œuvre au cours du cycle de développement ?</t>
  </si>
  <si>
    <t>7B06-04</t>
  </si>
  <si>
    <t>Les diverses préconisations de la norme ISO 27002:2022 relatives aux tests de sécurité dans le développement et l'acceptation ont-elles été prises en compte ?</t>
  </si>
  <si>
    <t>Ces procédures permettent-elles de garantir la pertinence des tests et la protection des informations opérationnelles utilisées dans le cadre des tests ?</t>
  </si>
  <si>
    <t>Les diverses préconisations de la norme ISO 27002:2022 relatives aux informations relatives aux tests ont-elles été prises en compte ?</t>
  </si>
  <si>
    <r>
      <t xml:space="preserve">Les codes confidentiels font-ils l'objet de procédures particulières, notamment pour les conditions d'accès au code et à la documentation correspondante ?
</t>
    </r>
    <r>
      <rPr>
        <i/>
        <sz val="8"/>
        <rFont val="Arial"/>
        <family val="2"/>
      </rPr>
      <t>Nota : la documentation du code, qui explique les rationnels sous-jacents, sont souvent plus importants que le code lui-même.</t>
    </r>
  </si>
  <si>
    <t>A-t-on identifié, documenté et tient-on à jour les exigences légales, statutaires, réglementaires et contractuelles en vigueur, ainsi que l'approche adoptée par l'organisation pour satisfaire à ces exigences ?</t>
  </si>
  <si>
    <t>A-t-on pris en compte, lors de cette étude, les diverses préconisations de la norme ISO 27002:2022 relatives aux exigences applicables ?</t>
  </si>
  <si>
    <t>L'analyse précédente couvre-t-elle les droits de la propriété intellectuelle ?</t>
  </si>
  <si>
    <t>L'analyse précédente couvre-t-elle les droits de la protection des enregistrements ?</t>
  </si>
  <si>
    <t>L'analyse précédente couvre-t-elle les exigences en termes de protection de la vie privée et des Données à Caractère Personnel (DCP) ?</t>
  </si>
  <si>
    <t>L'organisation a-t-elle défini une politique pour traiter chacune de ces exigences ?</t>
  </si>
  <si>
    <t>8A01-12</t>
  </si>
  <si>
    <t>8A01-13</t>
  </si>
  <si>
    <t>8A01-14</t>
  </si>
  <si>
    <t>8A01-15</t>
  </si>
  <si>
    <t>Ces revues sont-elles menées à intervalles définis ou lorsque des changements importants sont intervenus ?</t>
  </si>
  <si>
    <t>Ces revues permettent-elles de veiller à la pérennité de l'applicabilité, de l'adéquation et de l'efficacité de l'approche de l'organisation en matière de management de la sécurité de l'information ?</t>
  </si>
  <si>
    <t>Les diverses préconisations de la norme ISO 27002:2022 relatives aux revues indépendantes de la sécurité de l'information ont-elles été prises en compte ?</t>
  </si>
  <si>
    <t>Vérifie-t-on régulièrement la conformité à la politique de sécurité de l'information, aux politiques portant sur des thèmes et aux normes de l'organisation ?</t>
  </si>
  <si>
    <t>Les diverses préconisations de la norme ISO 27002:2022 relatives aux vérifications de la conformité aux politiques de sécurité ont-elles été prises en compte ?</t>
  </si>
  <si>
    <t>Ces procédures d'exploitation permettent-elles de s'assurer de l'exploitation correcte et sécurisée des moyens de traitement de l'information</t>
  </si>
  <si>
    <t>Les diverses préconisations de la norme ISO 27002:2022 relatives aux procédures d'exploitation documentées ont-elles été prises en compte ?</t>
  </si>
  <si>
    <t>Les diverses préconisations de la norme ISO 27002:2022 relatives à la gestion des changements ont-elles été prises en compte ?</t>
  </si>
  <si>
    <t>A-t-on mis en place un processus permettant de surveiller l'utilisation des ressources et de l'ajuster conformément au dimensionnement actuel et prévu ?</t>
  </si>
  <si>
    <t>4A01-07</t>
  </si>
  <si>
    <t>Les diverses préconisations de la norme ISO 27002:2022 relatives au dimensionnement ont-elles été prises en compte ?</t>
  </si>
  <si>
    <t>4A01-08</t>
  </si>
  <si>
    <r>
      <t xml:space="preserve">Les environnements de développement et de tests sont-ils séparés de l'environnement de production ?
</t>
    </r>
    <r>
      <rPr>
        <i/>
        <sz val="8"/>
        <rFont val="Arial"/>
        <family val="2"/>
      </rPr>
      <t>Ceci afin de protéger l'environnement de production et les données correspondantes de toute compromission par les activités de développement et de test.</t>
    </r>
  </si>
  <si>
    <t>4A01-09</t>
  </si>
  <si>
    <t>Une protection contre les programmes malveillants, appuyée par la sensibilisation des utilisateurs concernés, a-t-elle été mise en place ?</t>
  </si>
  <si>
    <t>La protection mise en œuvre permet-elle que l'information et les autres actifs associés soient protégés contre les programmes malveillants.</t>
  </si>
  <si>
    <t>Les solutions de protection contre les programmes malveillants sont-elles régulièrement (quotidiennement) et automatiquement mis à jour ?</t>
  </si>
  <si>
    <r>
      <t>Existe-t-il une cellule de crise pouvant être mise en place très rapidement en cas d'alerte ou de détection d'infection ?</t>
    </r>
    <r>
      <rPr>
        <sz val="8"/>
        <color rgb="FFFF0000"/>
        <rFont val="Arial"/>
        <family val="2"/>
      </rPr>
      <t xml:space="preserve"> </t>
    </r>
  </si>
  <si>
    <r>
      <rPr>
        <sz val="8"/>
        <rFont val="Arial"/>
        <family val="2"/>
      </rPr>
      <t>La gestion, l'activation et la mise à jour des solutions de protection contre les programmes malveillants</t>
    </r>
    <r>
      <rPr>
        <strike/>
        <sz val="8"/>
        <rFont val="Arial"/>
        <family val="2"/>
      </rPr>
      <t xml:space="preserve"> </t>
    </r>
    <r>
      <rPr>
        <sz val="8"/>
        <rFont val="Arial"/>
        <family val="2"/>
      </rPr>
      <t>font-elles l'objet d'un audit régulier ?</t>
    </r>
  </si>
  <si>
    <t>4A02-09</t>
  </si>
  <si>
    <t>Les diverses préconisations de la norme ISO 27002:2022 relatives à la protection contre les programmes malveillants ont-elles été prises en compte ?</t>
  </si>
  <si>
    <t>L'ensemble des diverses préconisations de la norme ISO 27002:2022 relatives à la sauvegarde des informations a-t-il été pris en compte ?</t>
  </si>
  <si>
    <t>4A03-17</t>
  </si>
  <si>
    <t>Sauvegarde de recours des données externalisées
Ce service ne concerne pas les procédures de sauvegarde mises en place chez le prestataire mais permet de se protéger de la défaillance de celui-ci (disparition, mouvement social, ...) avec une sauvegarde en interne des données qui lui sont confiées.</t>
  </si>
  <si>
    <t>4A05-15</t>
  </si>
  <si>
    <t>Les diverses préconisations de la norme ISO 27002:2022 relatives à l'installation de logiciels sur des systèmes en exploitation ont-elles été prises en compte ?</t>
  </si>
  <si>
    <t>Existe-il un système de gestion des vulnérabilités techniques visant à obtenir des informations sur les vulnérabilités techniques des systèmes d'information, d'évaluer l'exposition de l'organisation à ces vulnérabilités et de prendre les mesures appropriées</t>
  </si>
  <si>
    <t>La mise en œuvre d'un tel système donne t-il l'assurance empêcher toute exploitation des vulnérabilités techniques ?</t>
  </si>
  <si>
    <t>Les diverses préconisations de la norme ISO 27002:2022 relatives à la gestion des vulnérabilités techniques ont-elles été prises en compte ?</t>
  </si>
  <si>
    <t>La préconisation "Il convient que l'organisation détermine et impose des règles strictes quant aux types de logiciels que les utilisateurs peuvent installer" de la norme ISO 27002:2022, relatives à l'installation de logiciels sur des systèmes en exploitation a-t-elle été prise en compte ?</t>
  </si>
  <si>
    <r>
      <t xml:space="preserve">Les tests d'audit et autres activités d'assurance faisant intervenir une évaluation des systèmes opérationnels sont-ils planifiés et font-ils l'objet d'un accord entre le testeur et le niveau de direction approprié?
</t>
    </r>
    <r>
      <rPr>
        <i/>
        <sz val="8"/>
        <rFont val="Arial"/>
        <family val="2"/>
      </rPr>
      <t>Cette planification doit permettre de réduire au minimum l'impact sur les systèmes opérationnels et les processus métier.</t>
    </r>
  </si>
  <si>
    <t>Les diverses préconisations de la norme ISO 27002:2022 relatives à la protection des systèmes d'information en cours d'audit et de test ont-elles été prises en compte ?</t>
  </si>
  <si>
    <t>Afin d'éviter la fuite d'information, chacun des éléments du matériel contenant des supports de stockage a-t-il été vérifié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</si>
  <si>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du matériel ont-elles été prises en compte ?</t>
  </si>
  <si>
    <t>Les diverses préconisations de la norme ISO 27002:2022 relatives à la journalisation ont-elles été prises en compte ?</t>
  </si>
  <si>
    <t>4A11-13</t>
  </si>
  <si>
    <t>L’utilisation des programmes utilitaires permettant de contourner les mesures de sécurité d’un système ou d’une application est-il limité et contrôlé étroitement ?</t>
  </si>
  <si>
    <t>L'organisation a-t-elle l'assurance que l'utilisation de programmes utilitaires ne nuit pas aux mesures de sécurité de
l'information des systèmes ou applications ?</t>
  </si>
  <si>
    <t>Les diverses préconisations de la norme ISO 27002:2022 relatives à l'utilisation de programmes utilitaires à privilèges ont-elles été prises en compte ?</t>
  </si>
  <si>
    <t>4A14-08</t>
  </si>
  <si>
    <t>Les diverses préconisations de la norme ISO 27002:2022 relatives à l'accès au code source ont-elles été prises en compte ?</t>
  </si>
  <si>
    <t>Le matériel est-il entretenu correctement de manière à empêcher la perte, l'endommagement, le vol ou la compromission de l'information et des autres actifs associés et l'interruption des activités de l'organisation ?</t>
  </si>
  <si>
    <t>4C01-15</t>
  </si>
  <si>
    <t>4C01-16</t>
  </si>
  <si>
    <t>4C06-01</t>
  </si>
  <si>
    <t>4C06-02</t>
  </si>
  <si>
    <t>4C06-03</t>
  </si>
  <si>
    <t>4C06-04</t>
  </si>
  <si>
    <t>4C06-05</t>
  </si>
  <si>
    <t>4C06-06</t>
  </si>
  <si>
    <t>4C06-07</t>
  </si>
  <si>
    <t>4C06-08</t>
  </si>
  <si>
    <t>4C06-09</t>
  </si>
  <si>
    <t>L'organisation planifie-t-elle et prépare-t-elle la gestion des incidents liés à la sécurité de l'information en procédant à la définition, à l'établissement et à la communication des processus, rôles et responsabilités dans le cadre de la gestion des incidents liés à la sécurité de l'information ?</t>
  </si>
  <si>
    <t>Ce processus permet-t-il d'assurer une réponse rapide, efficace, cohérente et ordonnée aux incidents liés à la sécurité de l'information, notamment la communication sur les événements liés à la sécurité de l'information ?</t>
  </si>
  <si>
    <t>Les diverses préconisations de la norme ISO 27002:2022 relatives à la planification et la préparation de la gestion des incidents liés à la sécurité de l'information ont-elles été prises en compte ?</t>
  </si>
  <si>
    <t>Un mécanisme à-t-il été proposé au personnel pour lui permettre de signaler dans les plus brefs délais les événements liés à la sécurité de l'information observés ou suspectés, par le biais des canaux appropriés ?</t>
  </si>
  <si>
    <t>Les diverses préconisations de la norme ISO 27002:2022 relatives au signalement des événements liés à la sécurité de l'information ont-elles été prises en compte ?</t>
  </si>
  <si>
    <t>L'organisation est-elle en mesure d'apprécier les événements liés à la sécurité de l'information et de décider s'ils doivent être classés dans la catégorie des incidents liés à la sécurité de l'information (et selon quelle priorité) ?</t>
  </si>
  <si>
    <t>Les diverses préconisations de la norme ISO 27002:2022 relatives à l'appréciation des événements liés à la sécurité de l'information et prise de décision ont-elles été prises en compte ?</t>
  </si>
  <si>
    <t>4D02-08</t>
  </si>
  <si>
    <t>Des procédures documentées existent-elles pour répondre aux incidents de sécurité de l'information ?</t>
  </si>
  <si>
    <t>4D02-09</t>
  </si>
  <si>
    <t>Ces procédures permettent-elles d'apporter une réponse efficace aux incidents liés à la sécurité de l'information ?</t>
  </si>
  <si>
    <t>4D02-10</t>
  </si>
  <si>
    <t>Les diverses préconisations de la norme ISO 27002:2022 relatives à la réponse aux incidents liés à la sécurité de l'information ont-elles été prises en compte ?</t>
  </si>
  <si>
    <t>4D02-11</t>
  </si>
  <si>
    <t>L'organisation tire-t-elle profit des connaissances acquises à partir des incidents liés à la sécurité de l'information pour renforcer et améliorer l'environnement de contrôle et ainsi réduire la probabilité ou les conséquences d'incidents ultérieurs ?</t>
  </si>
  <si>
    <t>4D02-12</t>
  </si>
  <si>
    <t>Les diverses préconisations de la norme ISO 27002:2022 relatives à tirer des enseignements des incidents liés à la sécurité de l'information ont-elles été prises en compte ?</t>
  </si>
  <si>
    <t>4D02-13</t>
  </si>
  <si>
    <t>4D02-14</t>
  </si>
  <si>
    <t>La mise en œuvre de ce procédure permet-elle d'assurer une gestion cohérente et efficace des preuves relatives aux incidents liés à la sécurité de l'information dans le cadre d'une action judiciaire ou d'une mesure disciplinaire ?</t>
  </si>
  <si>
    <t>4D02-15</t>
  </si>
  <si>
    <t>Les diverses préconisations de la norme ISO 27002:2022 relatives au recueil de preuves ont-elles été prises en compte ?</t>
  </si>
  <si>
    <t>4E03-05</t>
  </si>
  <si>
    <t>Les diverses préconisations de la norme ISO 27002:2022 relatives à la gestion des médias réutilisés (réaffectés) ou éliminés (mis au rebut) ont-elles été prises en compte ?</t>
  </si>
  <si>
    <t>4E04-05</t>
  </si>
  <si>
    <t>Les diverses préconisations de la norme ISO 27002:2022 relatives à la protection des médias lors de leur transport (en transit) ont-elles été prises en compte ?</t>
  </si>
  <si>
    <t>4A01-01:03</t>
  </si>
  <si>
    <t>4A01-04:05;7B02-01:08</t>
  </si>
  <si>
    <t>4A01-06:07</t>
  </si>
  <si>
    <t>4A01-08:09;7B04-01:03</t>
  </si>
  <si>
    <t>4A02-01:02;4A02-09</t>
  </si>
  <si>
    <t>4A05-01;4A05-15;4A06-04</t>
  </si>
  <si>
    <t>4A06-01:03</t>
  </si>
  <si>
    <t>4A07-01:02</t>
  </si>
  <si>
    <t>2C09-01:02;4A08-01:02</t>
  </si>
  <si>
    <t>4A11-01:02;4A11-09</t>
  </si>
  <si>
    <t>4A13-01:03</t>
  </si>
  <si>
    <t>4A14-01;4A14-08</t>
  </si>
  <si>
    <t>2C08-01:02;4C01-04:05</t>
  </si>
  <si>
    <t>4D02-01:03</t>
  </si>
  <si>
    <t>4D02-06:07</t>
  </si>
  <si>
    <t>4D02-11:12</t>
  </si>
  <si>
    <t>4D02-13:15</t>
  </si>
  <si>
    <t>4D02-08:10</t>
  </si>
  <si>
    <t xml:space="preserve">Les utilisateurs ont-ils facilement accès aux moyens préconisés pour détruire ces médias ou connaissent-ils les services à solliciter ? </t>
  </si>
  <si>
    <t>2C06-01:02;4E03-01;4E03-05;4E04-01;4E04-05</t>
  </si>
  <si>
    <t>4D02-04:05</t>
  </si>
  <si>
    <t>A-t-on planifié, mis en œuvre,  géé et de testé la préparation des TIC (Technologies de l'Information et de la Communication) en fonction des objectifs de continuité d'activité et des exigences de continuité des TIC ?</t>
  </si>
  <si>
    <t>Les diverses préconisations de la norme ISO 27002:2022 relatives à la préparation des TIC pour la continuité d'activité ont-elles été prises en compte ?</t>
  </si>
  <si>
    <t>1E01-16</t>
  </si>
  <si>
    <t>1E01-17</t>
  </si>
  <si>
    <t>1E01-14:15;5D03-01:02</t>
  </si>
  <si>
    <t>1E01-02:03</t>
  </si>
  <si>
    <t>A-t-on mis en place des procédures de masquage des données conformément à la politique de l'organisation portant sur le thème du contrôle d'accès et aux exigences métier, tout en prenant en compte les exigences d'ordre légal ?</t>
  </si>
  <si>
    <t>Les diverses préconisations de la norme ISO 27002:2022 relatives au masquage des données ont-elles été prises en compte ?</t>
  </si>
  <si>
    <t>A-t-on défini et mis en œuvre des mesures de prévention de la fuite de données aux systèmes, réseaux et terminaux qui traitent, stockent ou transmettent de l'information sensible ?</t>
  </si>
  <si>
    <t>Ces mesures permettent-elles de détecter et d'empêcher la divulgation et l'extraction non autorisées d'information par des personnes ou des systèmes ?</t>
  </si>
  <si>
    <t>Les diverses préconisations de la norme ISO 27002:2022 relativesà la prévention de la fuite de données ont-elles été prises en compte ?</t>
  </si>
  <si>
    <t>1A01-08</t>
  </si>
  <si>
    <t>1A01-09</t>
  </si>
  <si>
    <t>1A01-10</t>
  </si>
  <si>
    <t>1A01-11</t>
  </si>
  <si>
    <t>1A01-12</t>
  </si>
  <si>
    <t>1A01-13</t>
  </si>
  <si>
    <t>1A01-14</t>
  </si>
  <si>
    <t>Y a-t-il un mécanisme de contrôle des accès aux sites Web externes pour réduire l'exposition à tout contenu malveillant ?</t>
  </si>
  <si>
    <t>Ce mécanisme permet-il en outre d'empêcher l'accès aux ressources Internet non autorisées ?</t>
  </si>
  <si>
    <t>Les diverses préconisations de la norme ISO 27002:2022 relativesau filtrage Internet ont-elles été prises en compte ?</t>
  </si>
  <si>
    <t>3A09-04</t>
  </si>
  <si>
    <t>3A09-05</t>
  </si>
  <si>
    <t>3A09-06</t>
  </si>
  <si>
    <t>3A09-04:06</t>
  </si>
  <si>
    <t>1A01-06:08</t>
  </si>
  <si>
    <t>1A01-09:11</t>
  </si>
  <si>
    <t>1A01-12:14</t>
  </si>
  <si>
    <t>A-t-on établi, documenté, tenu à jour et appliqué des principes d'ingénierie de la sécurité des systèmes à toutes les activités de développement de systèmes d'information ?</t>
  </si>
  <si>
    <t>Les diverses préconisations générales de la norme ISO 27002:2022 relatives aux principes d'ingénierie et d'architecture système sécurisée ont-elles été prises en compte ?</t>
  </si>
  <si>
    <t>7A01-06</t>
  </si>
  <si>
    <t>7A01-07</t>
  </si>
  <si>
    <t>7A01-06:07</t>
  </si>
  <si>
    <t>7A01-08</t>
  </si>
  <si>
    <t>7A01-09</t>
  </si>
  <si>
    <t>Les diverses préconisations générales de la norme ISO 27002:2022 relatives au codage sécurisé ont-elles été prises en compte ?</t>
  </si>
  <si>
    <t>7A01-08:09</t>
  </si>
  <si>
    <t>4B02-01</t>
  </si>
  <si>
    <t>4B02-02</t>
  </si>
  <si>
    <t>Ce processus permet-il d'éviter l'exposition inutile d'information sensible et de se conformer aux exigences légales, statutaires, réglementaires et contractuelles en matière de suppression de données ?</t>
  </si>
  <si>
    <t>4B02-03</t>
  </si>
  <si>
    <t>Les diverses préconisations de la norme ISO 27002:2022 relatives à la suppression d'informations ont-elles été prises en compte ?</t>
  </si>
  <si>
    <t>4B02-01:03</t>
  </si>
  <si>
    <t>A-t-on établi une politique et des procédures afin de de définir, de documenter, de mettre en œuvre, de surveiller et réviser les configurations, y compris les configurations de sécurité, du matériel, des logiciels, des services et des réseaux. ?</t>
  </si>
  <si>
    <t>Les diverses préconisations de la norme ISO 27002:2022 relatives à la gestion de la configuration ont-elles été prises en compte ?</t>
  </si>
  <si>
    <t>1B07-01:02</t>
  </si>
  <si>
    <t>L'organisation a-t-elle mise en place un processus de suppression de l'information stockée dans les systèmes d'information et les dispositifs lorsqu'elle n'est plus utile ?</t>
  </si>
  <si>
    <t>L'organisation a-t-elle établie et mis en œuvre des procédures d'identification, de recueil, d'acquisition et de protection de l'information à partir des incidents liés à la sécurité de l'information ?</t>
  </si>
  <si>
    <t>Afin de préserver la sécurité de l'information lors de l'exécution des changements, tout changement est-il soumis à une procédure de gestion des changements ?</t>
  </si>
  <si>
    <t>08/06/2022</t>
  </si>
  <si>
    <t>Seuil Max applicable : si une réponse progressive est inférieure à ce seuil, le seuil Max de la question, s'il existe, est applicable</t>
  </si>
  <si>
    <t>Seuil Min applicable : si une réponse progressive est supérieure à ce seuil, le seuil Min de la question, s'il existe, est applicable</t>
  </si>
  <si>
    <t>1C02-01:02</t>
  </si>
  <si>
    <t>4A03-01;4A03-16</t>
  </si>
  <si>
    <t>3A06-01:04</t>
  </si>
  <si>
    <t>10/08/2022</t>
  </si>
  <si>
    <t xml:space="preserve">Edition 2022-2.1
Mise en cohérence avec la norme ISO/IEC 27002:2022 
et diverses corrections liées à la version anglaise de la 27002:2022
</t>
  </si>
  <si>
    <t>4A10-09</t>
  </si>
  <si>
    <t>Les diverses préconisations de la norme ISO 27002:2022 relatives à la surveillance des activités ont-elles été prises en compte ?</t>
  </si>
  <si>
    <t>4A10-01:02;4A10-09</t>
  </si>
  <si>
    <t>Applique-t-on des principes de codage sécurisé au développement de logiciels, afin de s'assurer que le logiciel est développé dans un souci de sécurité et réduire ainsi le nombre de vulnérabilités potentielles du logiciel en termes de sécurité de l'information ?</t>
  </si>
  <si>
    <t>A-t-on définir les règles de développement sécurisé des logiciels et des systèmes, afin de s'assurer que les questions de sécurité de l'information sont étudiées et mises en œuvre dans le cadre du cycle de développement sécurisé des logiciels et des systèmes ?</t>
  </si>
  <si>
    <t>L'organisation a-t-elle défini des processus pour les tests de sécurité ?</t>
  </si>
  <si>
    <t>Ces processus permettent-ils de valider le respect des exigences de sécurité de l'information lors du déploiement dans l'environnement de production ?</t>
  </si>
  <si>
    <t>A-t-on défini des procédures afin de sélectionner, de protéger et de gérer les informations relatives aux tests ?</t>
  </si>
  <si>
    <t>Lors de l'arrivée de nouveaux employés, des formations obligatoires encadrent-elles le respect des exigences légales et contractuelles  ?</t>
  </si>
  <si>
    <t>L'organisation a-t-elle explicitement identifié, documenté et maintenu les exigences, s'appliquant aux données et à chaque service du système d'information, découlant des règles de gouvernance et de prise de décision ?</t>
  </si>
  <si>
    <t>Procède-t-on à des revues indépendantes de l'approche retenue par l'organisation pour gérer et mettre en œuvre la sécurité de l'information, y compris des personnes, processus et technologies ?</t>
  </si>
  <si>
    <t>Cette politique et ces procédures permettent-elles de s'assurer du bon fonctionnement du matériel, des logiciels, des services et des réseaux avec les paramètres de sécurité requis, et du fait que la configuration ne soit pas altérée par des changements non autorisés ou incorrects ?</t>
  </si>
  <si>
    <t>Ces procédures permettent-elles de limiter l'exposition de données sensibles, notamment les données à caractère personnel, et de se conformer aux exigences légales, statutaires, réglementaires et contractuelles ?</t>
  </si>
  <si>
    <t>Ces règles garantissent-elles une utilisation correcte et efficace de la cryptographie pour protéger la confidentialité, l'authenticité ou l'intégrité de l'information en conformité avec les exigences légales, statutaires, réglementaires ou contractuelles en matière de cryptographie ?</t>
  </si>
  <si>
    <t>L'organisation a-t-elle établi une politique portant sur le thème de la configuration et de la manipulation sécurisées des terminaux utilisateurs finaux, afin de protéger toute information stockée sur un terminal utilisateur final, traitée par ou accessible via ce type d'appareil ?</t>
  </si>
  <si>
    <t>Les diverses préconisations de la norme ISO 27002:2022 relatives aux terminaux utilisateurs ont-elles été prises en compte ?</t>
  </si>
  <si>
    <t>L'organisation a-t-elle identifié, documenté, revu régulièrement et signé des engagements de confidentialité ou de non-divulgation, conformément aux besoins de l'organisation en matière de protection de l'information, afin de gérer la confidentialité de l'information accessible au personnel ou à de tierces parties ?</t>
  </si>
  <si>
    <t>La signature du contrat permet-elle de s'assurer que le personnel comprend les responsabilités qui lui incombent quant à la sécurité de l'information dans le cadre de la fonction que l'organisation envisage de lui confier ?</t>
  </si>
  <si>
    <t>Des procédures spécifiques ont-elles été mises en place pour éviter les abus de confiance et se protéger contre l'hameçonnage par voie électronique ?</t>
  </si>
  <si>
    <t>Ces procédures ont-elles été étendues aux abus de confiance par voie de courrier postal ou par télécopie ?</t>
  </si>
  <si>
    <t>Domaine 1 : Prospection et inscription</t>
  </si>
  <si>
    <t>Domaine 2 : Gestion administrative et financement</t>
  </si>
  <si>
    <t>Domaine 3 : Délivrance des formations</t>
  </si>
  <si>
    <t>Domaine 4 : Evaluation et attestation</t>
  </si>
  <si>
    <t>Domaine 5 : Facturation et encaissement</t>
  </si>
  <si>
    <t>Domaine 6 : Gestion RH</t>
  </si>
  <si>
    <t>Domaine 7 : Exploitation du SI</t>
  </si>
  <si>
    <t xml:space="preserve">Domaine 8 : Communication et site vitrine </t>
  </si>
  <si>
    <t>Domaine 9 : Gestion des données personnelles, contractuelles et financières</t>
  </si>
  <si>
    <t>Domaine 10 : Travail à distance des équipes</t>
  </si>
  <si>
    <t>Présenter l’offre de formation et inscrire les apprenants (identités, coordonnées)</t>
  </si>
  <si>
    <t>Gérer les dossiers administratifs des apprenants, leurs dossiers de financement et les contrats</t>
  </si>
  <si>
    <t>Dispenser les formations à distance ou hybrides via la plateforme LMS, la visioconférence et la messagerie</t>
  </si>
  <si>
    <t>Recueillir les feuilles d’émargement et les résultats d’évaluation</t>
  </si>
  <si>
    <t>Établir les factures avec la solution de facturation</t>
  </si>
  <si>
    <t>Gérer les données de ressources humaines du personnel</t>
  </si>
  <si>
    <t>Faire fonctionner le NAS, les serveurs virtuels, les postes de travail, les comptes à privilèges, les sauvegardes et les équipements réseau</t>
  </si>
  <si>
    <t>Présenter l’offre de formation au public sur le site vitrine</t>
  </si>
  <si>
    <t>Conserver et protéger les données des apprenants, les contrats, les factures et les données RH</t>
  </si>
  <si>
    <t>Permettre aux salariés et formateurs de travailler hors des locaux via l’accès distant</t>
  </si>
  <si>
    <t>Processus 1 : Messagerie et stockage collaboratif</t>
  </si>
  <si>
    <t>Processus 2 : Sauvegardes et restauration</t>
  </si>
  <si>
    <t xml:space="preserve">Processus 3 : </t>
  </si>
  <si>
    <t>Fournir la messagerie et le stockage collaboratif utilisés par toutes les activités</t>
  </si>
  <si>
    <t>Sauvegarder les données et pouvoir les restaurer après incident</t>
  </si>
  <si>
    <t>Non concerné : l’énoncé ne mentionne aucun document papier (voir journal)</t>
  </si>
  <si>
    <t>Non concerné : l’énoncé ne mentionne pas d’archives (voir journal)</t>
  </si>
  <si>
    <t>Non coté dans T2 : (voir journal)</t>
  </si>
  <si>
    <t>H-05 : accès distant probablement par VPN</t>
  </si>
  <si>
    <t>Non démontré ; incidents d’hameçonnage et de partage (énoncé p. 2)</t>
  </si>
  <si>
    <t>Information manquante</t>
  </si>
  <si>
    <t>Information manquante (M-01, M-10)</t>
  </si>
  <si>
    <t>X</t>
  </si>
  <si>
    <t>Non démontré ; hameçonnage subi (énoncé p. 2)</t>
  </si>
  <si>
    <t>Hors périmètre : périmètre limité aux échanges numériques (énoncé p. 2)</t>
  </si>
  <si>
    <t>Information manquante (M-04) ; H-01 : MFA non systématique</t>
  </si>
  <si>
    <t>H-01 : MFA non systématiquement activé pour les comptes administrateurs (énoncé §7, p. 5)</t>
  </si>
  <si>
    <t>Information manquante ; H-06 : droits ambigus</t>
  </si>
  <si>
    <t>Non démontré ; indisponibilité d’un outil SaaS subie (énoncé p. 2)</t>
  </si>
  <si>
    <t>Information manquante (M-07)</t>
  </si>
  <si>
    <t>Information manquante (M-05, M-10)</t>
  </si>
  <si>
    <t>Information manquante (M-10)</t>
  </si>
  <si>
    <t>Information manquante (M-10 : contrats des prestataires)</t>
  </si>
  <si>
    <t>H-02 évoque des sauvegardes cloud, sans préciser qu’une copie interne existe</t>
  </si>
  <si>
    <t>Information manquante (M-05)</t>
  </si>
  <si>
    <t>H-02 : pas de tests de restauration trimestriels (énoncé §7, p. 5)</t>
  </si>
  <si>
    <t>Hypothèse : des sauvegardes existent, puisque l’énoncé ne signale qu’une absence ponctuelle de vérification (p. 2)</t>
  </si>
  <si>
    <t>Énoncé p. 2 : « absence ponctuelle de sauvegardes vérifiées »</t>
  </si>
  <si>
    <t>Dépend de 4A03-06</t>
  </si>
  <si>
    <t>H-06 : répartition des droits ambiguë ; M-04</t>
  </si>
  <si>
    <t>Énoncé p. 2 : droits « variables selon les applications » ; M-04</t>
  </si>
  <si>
    <t>H-06 : répartition des droits ambiguë</t>
  </si>
  <si>
    <t>Information manquante (M-04)</t>
  </si>
  <si>
    <t>Information manquante (M-11) ; hameçonnage subi (énoncé p. 2)</t>
  </si>
  <si>
    <t>Information manquante (M-11)</t>
  </si>
  <si>
    <t>Information manquante (M-09)</t>
  </si>
  <si>
    <t>Télétravail autorisé (énoncé p. 2), mais aucune politique mentionnée</t>
  </si>
  <si>
    <t>Idem ; mode d’accès distant non décrit (M-02)</t>
  </si>
  <si>
    <t xml:space="preserve">	Information manquante (M-11)</t>
  </si>
  <si>
    <t>H-05 : VPN probable, sans précision sur ce contrôle</t>
  </si>
  <si>
    <t>Dépend de 6B01-01</t>
  </si>
  <si>
    <t>Non démontré ; erreurs de partage de fichiers (énoncé p. 2)</t>
  </si>
  <si>
    <t>Dépend de 6B03-05</t>
  </si>
  <si>
    <t>Prestataires cloud cités (énoncé p. 2) mais non identifiés (M-01)</t>
  </si>
  <si>
    <t>Dépend de 1E03-02 et 1E03-04</t>
  </si>
  <si>
    <t>Non démontré ; l’énoncé propose un PCA comme mesure à mettre en place (§7, registre R-03, p. 5)</t>
  </si>
  <si>
    <t>Dépend de 1E01-01</t>
  </si>
  <si>
    <t xml:space="preserve">	Information manquante (M-09)</t>
  </si>
  <si>
    <t>Dépend de 1E01-12</t>
  </si>
  <si>
    <t>Information manquante ; AFN conçoit des formations (énoncé p. 1)</t>
  </si>
  <si>
    <t>Non démontré ; AFN traite des données personnelles d’apprenants et de salariés (énoncé p. 2)</t>
  </si>
  <si>
    <t>Information manquante ; H-03 : prestataire situé dans l’UE</t>
  </si>
  <si>
    <t>Dépend de 8A01-09</t>
  </si>
  <si>
    <t>Information manquante ; moyens financiers limités (énoncé p. 2)</t>
  </si>
  <si>
    <t>Dépend de 3A02-01</t>
  </si>
  <si>
    <t>Énoncé p. 2 : droits « variables selon les applications » ; H-06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</si>
</sst>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00\ [$€]_-;\-* #,##0.00\ [$€]_-;_-* &quot;-&quot;??\ [$€]_-;_-@_-"/>
  </numFmts>
  <fonts count="121"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10"/>
      <name val="Arial"/>
      <family val="2"/>
    </font>
    <font>
      <sz val="8"/>
      <name val="Arial"/>
      <family val="2"/>
    </font>
    <font>
      <u/>
      <sz val="10"/>
      <color indexed="12"/>
      <name val="Arial"/>
      <family val="2"/>
    </font>
    <font>
      <sz val="10"/>
      <name val="Helv"/>
    </font>
    <font>
      <sz val="8"/>
      <name val="Helv"/>
    </font>
    <font>
      <b/>
      <sz val="8"/>
      <name val="Helv"/>
    </font>
    <font>
      <b/>
      <sz val="8"/>
      <name val="Arial Narrow"/>
      <family val="2"/>
    </font>
    <font>
      <b/>
      <sz val="12"/>
      <color indexed="8"/>
      <name val="Arial"/>
      <family val="2"/>
    </font>
    <font>
      <sz val="10"/>
      <color indexed="10"/>
      <name val="Arial"/>
      <family val="2"/>
    </font>
    <font>
      <b/>
      <i/>
      <sz val="8"/>
      <name val="Helv"/>
    </font>
    <font>
      <b/>
      <sz val="8"/>
      <name val="Arial"/>
      <family val="2"/>
    </font>
    <font>
      <b/>
      <i/>
      <sz val="11"/>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6"/>
      <name val="Arial"/>
      <family val="2"/>
    </font>
    <font>
      <b/>
      <sz val="10"/>
      <color indexed="8"/>
      <name val="Arial"/>
      <family val="2"/>
    </font>
    <font>
      <sz val="10"/>
      <name val="Comic Sans MS"/>
      <family val="4"/>
    </font>
    <font>
      <b/>
      <sz val="14"/>
      <name val="Comic Sans MS"/>
      <family val="4"/>
    </font>
    <font>
      <b/>
      <sz val="10"/>
      <name val="Comic Sans MS"/>
      <family val="4"/>
    </font>
    <font>
      <b/>
      <sz val="12"/>
      <name val="Comic Sans MS"/>
      <family val="4"/>
    </font>
    <font>
      <sz val="8"/>
      <name val="Comic Sans MS"/>
      <family val="4"/>
    </font>
    <font>
      <b/>
      <sz val="8"/>
      <name val="Comic Sans MS"/>
      <family val="4"/>
    </font>
    <font>
      <b/>
      <sz val="8"/>
      <color indexed="10"/>
      <name val="Arial"/>
      <family val="2"/>
    </font>
    <font>
      <b/>
      <sz val="12"/>
      <color indexed="9"/>
      <name val="Arial"/>
      <family val="2"/>
    </font>
    <font>
      <sz val="8"/>
      <color indexed="9"/>
      <name val="Arial"/>
      <family val="2"/>
    </font>
    <font>
      <b/>
      <sz val="8"/>
      <color indexed="9"/>
      <name val="Arial Narrow"/>
      <family val="2"/>
    </font>
    <font>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i/>
      <sz val="8"/>
      <name val="Arial"/>
      <family val="2"/>
    </font>
    <font>
      <b/>
      <sz val="8"/>
      <color indexed="9"/>
      <name val="Arial"/>
      <family val="2"/>
    </font>
    <font>
      <b/>
      <sz val="8"/>
      <color indexed="81"/>
      <name val="Tahoma"/>
      <family val="2"/>
    </font>
    <font>
      <strike/>
      <sz val="8"/>
      <name val="Arial"/>
      <family val="2"/>
    </font>
    <font>
      <sz val="8"/>
      <color indexed="8"/>
      <name val="Arial"/>
      <family val="2"/>
    </font>
    <font>
      <b/>
      <sz val="12"/>
      <color indexed="10"/>
      <name val="Arial"/>
      <family val="2"/>
    </font>
    <font>
      <sz val="10"/>
      <color rgb="FF000000"/>
      <name val="Arial"/>
      <family val="2"/>
    </font>
    <font>
      <sz val="10"/>
      <color rgb="FFFF0000"/>
      <name val="Arial"/>
      <family val="2"/>
    </font>
    <font>
      <sz val="8"/>
      <color rgb="FFFF0000"/>
      <name val="Arial"/>
      <family val="2"/>
    </font>
    <font>
      <sz val="9"/>
      <color indexed="81"/>
      <name val="Tahoma"/>
      <family val="2"/>
    </font>
    <font>
      <i/>
      <sz val="9"/>
      <name val="Arial"/>
      <family val="2"/>
    </font>
    <font>
      <sz val="8"/>
      <color theme="1"/>
      <name val="Calibri"/>
      <family val="2"/>
      <scheme val="minor"/>
    </font>
    <font>
      <b/>
      <i/>
      <sz val="8"/>
      <color theme="1"/>
      <name val="Calibri"/>
      <family val="2"/>
      <scheme val="minor"/>
    </font>
    <font>
      <b/>
      <sz val="9"/>
      <color rgb="FFFF0000"/>
      <name val="Arial"/>
      <family val="2"/>
    </font>
    <font>
      <sz val="10"/>
      <name val="Wingdings"/>
      <charset val="2"/>
    </font>
    <font>
      <sz val="12"/>
      <name val="Arial"/>
      <family val="2"/>
    </font>
    <font>
      <b/>
      <sz val="12"/>
      <color theme="0"/>
      <name val="Arial"/>
      <family val="2"/>
    </font>
    <font>
      <b/>
      <i/>
      <sz val="12"/>
      <name val="Arial"/>
      <family val="2"/>
    </font>
    <font>
      <sz val="9"/>
      <color rgb="FFFF0000"/>
      <name val="Arial"/>
      <family val="2"/>
    </font>
    <font>
      <b/>
      <sz val="9"/>
      <color indexed="81"/>
      <name val="Tahoma"/>
      <family val="2"/>
    </font>
    <font>
      <b/>
      <sz val="14"/>
      <color rgb="FFFF0000"/>
      <name val="Arial"/>
      <family val="2"/>
    </font>
    <font>
      <sz val="16"/>
      <name val="Arial"/>
      <family val="2"/>
    </font>
    <font>
      <b/>
      <sz val="10"/>
      <color rgb="FFFF0000"/>
      <name val="Arial"/>
      <family val="2"/>
    </font>
    <font>
      <b/>
      <sz val="16"/>
      <color rgb="FFFF0000"/>
      <name val="Arial"/>
      <family val="2"/>
    </font>
    <font>
      <sz val="10"/>
      <color theme="0"/>
      <name val="Arial"/>
      <family val="2"/>
    </font>
    <font>
      <b/>
      <sz val="12"/>
      <color rgb="FFFF0000"/>
      <name val="Arial"/>
      <family val="2"/>
    </font>
    <font>
      <b/>
      <i/>
      <sz val="10"/>
      <color rgb="FFFF0000"/>
      <name val="Arial"/>
      <family val="2"/>
    </font>
    <font>
      <b/>
      <i/>
      <sz val="12"/>
      <color rgb="FFFF0000"/>
      <name val="Arial"/>
      <family val="2"/>
    </font>
    <font>
      <sz val="10"/>
      <color indexed="8"/>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i/>
      <sz val="10"/>
      <name val="Arial"/>
      <family val="2"/>
    </font>
    <font>
      <i/>
      <sz val="11"/>
      <name val="Arial"/>
      <family val="2"/>
    </font>
    <font>
      <sz val="8"/>
      <color theme="9" tint="-0.499984740745262"/>
      <name val="Arial"/>
      <family val="2"/>
    </font>
    <font>
      <sz val="18"/>
      <name val="Arial"/>
      <family val="2"/>
    </font>
    <font>
      <sz val="11"/>
      <name val="Symbol"/>
      <family val="1"/>
      <charset val="2"/>
    </font>
    <font>
      <sz val="11"/>
      <name val="Times New Roman"/>
      <family val="1"/>
    </font>
    <font>
      <b/>
      <sz val="11"/>
      <color rgb="FF0070C0"/>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sz val="9"/>
      <color rgb="FFFF0000"/>
      <name val="Comic Sans MS"/>
      <family val="4"/>
    </font>
    <font>
      <strike/>
      <sz val="9"/>
      <name val="Arial"/>
      <family val="2"/>
    </font>
  </fonts>
  <fills count="4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4"/>
        <bgColor indexed="64"/>
      </patternFill>
    </fill>
    <fill>
      <patternFill patternType="solid">
        <fgColor indexed="9"/>
        <bgColor indexed="64"/>
      </patternFill>
    </fill>
    <fill>
      <patternFill patternType="solid">
        <fgColor indexed="9"/>
        <bgColor indexed="26"/>
      </patternFill>
    </fill>
    <fill>
      <patternFill patternType="solid">
        <fgColor indexed="42"/>
        <bgColor indexed="27"/>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29"/>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CCFFFF"/>
        <bgColor indexed="64"/>
      </patternFill>
    </fill>
    <fill>
      <patternFill patternType="solid">
        <fgColor theme="9" tint="0.39994506668294322"/>
        <bgColor indexed="64"/>
      </patternFill>
    </fill>
  </fills>
  <borders count="25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style="thin">
        <color indexed="8"/>
      </bottom>
      <diagonal/>
    </border>
    <border>
      <left/>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hair">
        <color indexed="8"/>
      </left>
      <right style="hair">
        <color indexed="8"/>
      </right>
      <top style="hair">
        <color indexed="8"/>
      </top>
      <bottom style="hair">
        <color indexed="8"/>
      </bottom>
      <diagonal/>
    </border>
    <border>
      <left/>
      <right/>
      <top/>
      <bottom style="thin">
        <color indexed="8"/>
      </bottom>
      <diagonal/>
    </border>
    <border>
      <left style="thin">
        <color indexed="8"/>
      </left>
      <right/>
      <top/>
      <bottom style="thin">
        <color indexed="8"/>
      </bottom>
      <diagonal/>
    </border>
    <border>
      <left/>
      <right/>
      <top style="thin">
        <color indexed="8"/>
      </top>
      <bottom/>
      <diagonal/>
    </border>
    <border>
      <left style="medium">
        <color indexed="64"/>
      </left>
      <right/>
      <top style="thin">
        <color indexed="8"/>
      </top>
      <bottom/>
      <diagonal/>
    </border>
    <border>
      <left style="medium">
        <color indexed="64"/>
      </left>
      <right/>
      <top/>
      <bottom style="thin">
        <color indexed="8"/>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8"/>
      </left>
      <right/>
      <top style="thin">
        <color indexed="64"/>
      </top>
      <bottom style="thin">
        <color indexed="64"/>
      </bottom>
      <diagonal/>
    </border>
    <border>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8"/>
      </bottom>
      <diagonal/>
    </border>
    <border>
      <left/>
      <right/>
      <top style="thin">
        <color indexed="8"/>
      </top>
      <bottom style="thin">
        <color indexed="64"/>
      </bottom>
      <diagonal/>
    </border>
    <border>
      <left style="medium">
        <color indexed="64"/>
      </left>
      <right style="thin">
        <color indexed="8"/>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thin">
        <color indexed="8"/>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hair">
        <color indexed="64"/>
      </bottom>
      <diagonal/>
    </border>
    <border>
      <left style="thin">
        <color indexed="8"/>
      </left>
      <right/>
      <top style="thin">
        <color indexed="8"/>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bottom/>
      <diagonal/>
    </border>
    <border>
      <left/>
      <right/>
      <top style="medium">
        <color indexed="8"/>
      </top>
      <bottom/>
      <diagonal/>
    </border>
    <border>
      <left/>
      <right style="medium">
        <color indexed="8"/>
      </right>
      <top style="medium">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64"/>
      </top>
      <bottom/>
      <diagonal/>
    </border>
    <border>
      <left style="medium">
        <color indexed="8"/>
      </left>
      <right style="thin">
        <color indexed="8"/>
      </right>
      <top style="thin">
        <color indexed="8"/>
      </top>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right style="thin">
        <color indexed="8"/>
      </right>
      <top/>
      <bottom/>
      <diagonal/>
    </border>
    <border>
      <left/>
      <right style="thin">
        <color indexed="64"/>
      </right>
      <top style="thin">
        <color indexed="8"/>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bottom style="thin">
        <color indexed="64"/>
      </bottom>
      <diagonal/>
    </border>
    <border>
      <left/>
      <right/>
      <top/>
      <bottom style="thin">
        <color auto="1"/>
      </bottom>
      <diagonal/>
    </border>
    <border>
      <left/>
      <right/>
      <top style="hair">
        <color indexed="8"/>
      </top>
      <bottom style="hair">
        <color indexed="8"/>
      </bottom>
      <diagonal/>
    </border>
    <border>
      <left/>
      <right style="hair">
        <color indexed="8"/>
      </right>
      <top style="hair">
        <color indexed="8"/>
      </top>
      <bottom style="hair">
        <color indexed="8"/>
      </bottom>
      <diagonal/>
    </border>
    <border>
      <left style="thin">
        <color indexed="64"/>
      </left>
      <right/>
      <top style="thin">
        <color indexed="8"/>
      </top>
      <bottom style="medium">
        <color indexed="64"/>
      </bottom>
      <diagonal/>
    </border>
    <border>
      <left/>
      <right style="thin">
        <color indexed="8"/>
      </right>
      <top style="thin">
        <color indexed="8"/>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indexed="8"/>
      </left>
      <right style="medium">
        <color indexed="8"/>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64"/>
      </top>
      <bottom/>
      <diagonal/>
    </border>
    <border>
      <left style="medium">
        <color indexed="8"/>
      </left>
      <right style="medium">
        <color indexed="8"/>
      </right>
      <top style="thin">
        <color indexed="8"/>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indexed="64"/>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indexed="64"/>
      </right>
      <top style="thin">
        <color auto="1"/>
      </top>
      <bottom/>
      <diagonal/>
    </border>
    <border>
      <left/>
      <right style="thin">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auto="1"/>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indexed="8"/>
      </left>
      <right style="thin">
        <color indexed="8"/>
      </right>
      <top/>
      <bottom/>
      <diagonal/>
    </border>
    <border>
      <left style="medium">
        <color indexed="64"/>
      </left>
      <right style="medium">
        <color indexed="64"/>
      </right>
      <top style="medium">
        <color indexed="64"/>
      </top>
      <bottom style="thin">
        <color indexed="64"/>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indexed="64"/>
      </left>
      <right style="medium">
        <color auto="1"/>
      </right>
      <top/>
      <bottom style="thin">
        <color indexed="64"/>
      </bottom>
      <diagonal/>
    </border>
    <border>
      <left style="thin">
        <color indexed="8"/>
      </left>
      <right style="thin">
        <color indexed="8"/>
      </right>
      <top style="thin">
        <color indexed="8"/>
      </top>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hair">
        <color indexed="64"/>
      </right>
      <top style="thin">
        <color indexed="8"/>
      </top>
      <bottom style="thin">
        <color indexed="8"/>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8"/>
      </top>
      <bottom/>
      <diagonal/>
    </border>
    <border>
      <left style="thin">
        <color indexed="8"/>
      </left>
      <right/>
      <top style="thin">
        <color indexed="8"/>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indexed="64"/>
      </left>
      <right/>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64"/>
      </right>
      <top style="thin">
        <color indexed="64"/>
      </top>
      <bottom style="thin">
        <color indexed="64"/>
      </bottom>
      <diagonal/>
    </border>
    <border>
      <left/>
      <right style="thin">
        <color indexed="8"/>
      </right>
      <top style="thin">
        <color indexed="64"/>
      </top>
      <bottom style="thin">
        <color indexed="8"/>
      </bottom>
      <diagonal/>
    </border>
    <border>
      <left style="thin">
        <color indexed="8"/>
      </left>
      <right style="thin">
        <color indexed="64"/>
      </right>
      <top style="thin">
        <color indexed="64"/>
      </top>
      <bottom/>
      <diagonal/>
    </border>
    <border>
      <left/>
      <right/>
      <top style="thin">
        <color indexed="64"/>
      </top>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style="thin">
        <color indexed="64"/>
      </left>
      <right/>
      <top/>
      <bottom/>
      <diagonal/>
    </border>
    <border>
      <left/>
      <right/>
      <top/>
      <bottom style="thin">
        <color indexed="8"/>
      </bottom>
      <diagonal/>
    </border>
    <border>
      <left/>
      <right style="hair">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diagonal/>
    </border>
    <border>
      <left/>
      <right style="thin">
        <color indexed="64"/>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medium">
        <color indexed="64"/>
      </left>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right/>
      <top/>
      <bottom style="thin">
        <color indexed="64"/>
      </bottom>
      <diagonal/>
    </border>
  </borders>
  <cellStyleXfs count="63">
    <xf numFmtId="0" fontId="0" fillId="0" borderId="0">
      <alignment vertical="center" wrapText="1"/>
    </xf>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3"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8" borderId="0" applyNumberFormat="0" applyBorder="0" applyAlignment="0" applyProtection="0"/>
    <xf numFmtId="0" fontId="52" fillId="6" borderId="0" applyNumberFormat="0" applyBorder="0" applyAlignment="0" applyProtection="0"/>
    <xf numFmtId="0" fontId="52" fillId="9" borderId="0" applyNumberFormat="0" applyBorder="0" applyAlignment="0" applyProtection="0"/>
    <xf numFmtId="0" fontId="52" fillId="3" borderId="0" applyNumberFormat="0" applyBorder="0" applyAlignment="0" applyProtection="0"/>
    <xf numFmtId="0" fontId="53" fillId="10" borderId="0" applyNumberFormat="0" applyBorder="0" applyAlignment="0" applyProtection="0"/>
    <xf numFmtId="0" fontId="53" fillId="7" borderId="0" applyNumberFormat="0" applyBorder="0" applyAlignment="0" applyProtection="0"/>
    <xf numFmtId="0" fontId="53" fillId="8" borderId="0" applyNumberFormat="0" applyBorder="0" applyAlignment="0" applyProtection="0"/>
    <xf numFmtId="0" fontId="53" fillId="6" borderId="0" applyNumberFormat="0" applyBorder="0" applyAlignment="0" applyProtection="0"/>
    <xf numFmtId="0" fontId="53" fillId="10" borderId="0" applyNumberFormat="0" applyBorder="0" applyAlignment="0" applyProtection="0"/>
    <xf numFmtId="0" fontId="53" fillId="3" borderId="0" applyNumberFormat="0" applyBorder="0" applyAlignment="0" applyProtection="0"/>
    <xf numFmtId="0" fontId="53" fillId="10" borderId="0" applyNumberFormat="0" applyBorder="0" applyAlignment="0" applyProtection="0"/>
    <xf numFmtId="0" fontId="53" fillId="11" borderId="0" applyNumberFormat="0" applyBorder="0" applyAlignment="0" applyProtection="0"/>
    <xf numFmtId="0" fontId="53" fillId="12" borderId="0" applyNumberFormat="0" applyBorder="0" applyAlignment="0" applyProtection="0"/>
    <xf numFmtId="0" fontId="53" fillId="13" borderId="0" applyNumberFormat="0" applyBorder="0" applyAlignment="0" applyProtection="0"/>
    <xf numFmtId="0" fontId="53" fillId="10" borderId="0" applyNumberFormat="0" applyBorder="0" applyAlignment="0" applyProtection="0"/>
    <xf numFmtId="0" fontId="53" fillId="14" borderId="0" applyNumberFormat="0" applyBorder="0" applyAlignment="0" applyProtection="0"/>
    <xf numFmtId="0" fontId="54" fillId="0" borderId="0" applyNumberFormat="0" applyFill="0" applyBorder="0" applyAlignment="0" applyProtection="0"/>
    <xf numFmtId="0" fontId="55" fillId="2" borderId="1" applyNumberFormat="0" applyAlignment="0" applyProtection="0"/>
    <xf numFmtId="0" fontId="56" fillId="0" borderId="2" applyNumberFormat="0" applyFill="0" applyAlignment="0" applyProtection="0"/>
    <xf numFmtId="0" fontId="19" fillId="4" borderId="3" applyNumberFormat="0" applyFont="0" applyAlignment="0" applyProtection="0"/>
    <xf numFmtId="0" fontId="57" fillId="3" borderId="1" applyNumberFormat="0" applyAlignment="0" applyProtection="0"/>
    <xf numFmtId="165" fontId="19" fillId="0" borderId="0" applyFont="0" applyFill="0" applyBorder="0" applyAlignment="0" applyProtection="0">
      <alignment vertical="center" wrapText="1"/>
    </xf>
    <xf numFmtId="0" fontId="58" fillId="15" borderId="0" applyNumberFormat="0" applyBorder="0" applyAlignment="0" applyProtection="0"/>
    <xf numFmtId="0" fontId="21" fillId="0" borderId="0" applyNumberFormat="0" applyFill="0" applyBorder="0" applyAlignment="0" applyProtection="0">
      <alignment vertical="top"/>
      <protection locked="0"/>
    </xf>
    <xf numFmtId="0" fontId="59" fillId="8" borderId="0" applyNumberFormat="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0" fontId="33" fillId="0" borderId="0"/>
    <xf numFmtId="0" fontId="19" fillId="0" borderId="0">
      <alignment vertical="center" wrapText="1"/>
    </xf>
    <xf numFmtId="0" fontId="19" fillId="0" borderId="0"/>
    <xf numFmtId="0" fontId="60" fillId="16" borderId="0" applyNumberFormat="0" applyBorder="0" applyAlignment="0" applyProtection="0"/>
    <xf numFmtId="0" fontId="61" fillId="2" borderId="4"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5" applyNumberFormat="0" applyFill="0" applyAlignment="0" applyProtection="0"/>
    <xf numFmtId="0" fontId="65" fillId="0" borderId="6" applyNumberFormat="0" applyFill="0" applyAlignment="0" applyProtection="0"/>
    <xf numFmtId="0" fontId="66" fillId="0" borderId="7" applyNumberFormat="0" applyFill="0" applyAlignment="0" applyProtection="0"/>
    <xf numFmtId="0" fontId="66" fillId="0" borderId="0" applyNumberFormat="0" applyFill="0" applyBorder="0" applyAlignment="0" applyProtection="0"/>
    <xf numFmtId="0" fontId="67" fillId="0" borderId="8" applyNumberFormat="0" applyFill="0" applyAlignment="0" applyProtection="0"/>
    <xf numFmtId="0" fontId="68"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165" fontId="3" fillId="0" borderId="0">
      <alignment vertical="center" wrapText="1"/>
    </xf>
  </cellStyleXfs>
  <cellXfs count="1483">
    <xf numFmtId="0" fontId="0" fillId="0" borderId="0" xfId="0">
      <alignment vertical="center" wrapText="1"/>
    </xf>
    <xf numFmtId="0" fontId="4" fillId="0" borderId="0" xfId="0" applyFont="1">
      <alignment vertical="center" wrapText="1"/>
    </xf>
    <xf numFmtId="0" fontId="4" fillId="0" borderId="10" xfId="0" applyFont="1" applyBorder="1">
      <alignment vertical="center" wrapText="1"/>
    </xf>
    <xf numFmtId="0" fontId="22" fillId="0" borderId="0" xfId="34"/>
    <xf numFmtId="0" fontId="23" fillId="0" borderId="0" xfId="34" applyFont="1"/>
    <xf numFmtId="0" fontId="23" fillId="0" borderId="0" xfId="34" applyFont="1" applyAlignment="1">
      <alignment vertical="top"/>
    </xf>
    <xf numFmtId="0" fontId="23" fillId="0" borderId="0" xfId="34" applyFont="1" applyAlignment="1">
      <alignment horizontal="center" vertical="top"/>
    </xf>
    <xf numFmtId="0" fontId="23" fillId="0" borderId="0" xfId="34" applyFont="1" applyAlignment="1">
      <alignment horizontal="center"/>
    </xf>
    <xf numFmtId="0" fontId="3" fillId="0" borderId="0" xfId="39"/>
    <xf numFmtId="0" fontId="17" fillId="0" borderId="18" xfId="39" applyFont="1" applyBorder="1"/>
    <xf numFmtId="0" fontId="3" fillId="0" borderId="0" xfId="39" applyAlignment="1">
      <alignment vertical="top" wrapText="1"/>
    </xf>
    <xf numFmtId="0" fontId="18" fillId="0" borderId="18" xfId="39" applyFont="1" applyBorder="1"/>
    <xf numFmtId="0" fontId="27" fillId="0" borderId="0" xfId="39" applyFont="1" applyAlignment="1">
      <alignment vertical="top" wrapText="1"/>
    </xf>
    <xf numFmtId="0" fontId="3" fillId="0" borderId="20" xfId="39" applyBorder="1"/>
    <xf numFmtId="0" fontId="3" fillId="0" borderId="21" xfId="39" applyBorder="1" applyAlignment="1">
      <alignment vertical="top" wrapText="1"/>
    </xf>
    <xf numFmtId="0" fontId="8" fillId="0" borderId="10" xfId="0" applyFont="1" applyBorder="1" applyAlignment="1">
      <alignment vertical="center"/>
    </xf>
    <xf numFmtId="0" fontId="0" fillId="0" borderId="0" xfId="0" applyAlignment="1">
      <alignment horizontal="center" vertical="center" wrapText="1"/>
    </xf>
    <xf numFmtId="0" fontId="0" fillId="0" borderId="10" xfId="0" applyBorder="1" applyAlignment="1">
      <alignment horizontal="center" vertical="center" wrapText="1"/>
    </xf>
    <xf numFmtId="0" fontId="3" fillId="0" borderId="0" xfId="39" applyAlignment="1">
      <alignment vertical="center"/>
    </xf>
    <xf numFmtId="0" fontId="26" fillId="22" borderId="14" xfId="39" applyFont="1" applyFill="1" applyBorder="1" applyAlignment="1" applyProtection="1">
      <alignment horizontal="left" vertical="center"/>
      <protection locked="0"/>
    </xf>
    <xf numFmtId="0" fontId="26" fillId="22" borderId="23" xfId="39" applyFont="1" applyFill="1" applyBorder="1" applyAlignment="1" applyProtection="1">
      <alignment horizontal="left" vertical="center"/>
      <protection locked="0"/>
    </xf>
    <xf numFmtId="0" fontId="26" fillId="22" borderId="11" xfId="39" applyFont="1" applyFill="1" applyBorder="1" applyAlignment="1" applyProtection="1">
      <alignment horizontal="center" vertical="center"/>
      <protection locked="0"/>
    </xf>
    <xf numFmtId="0" fontId="6" fillId="0" borderId="0" xfId="0" applyFont="1">
      <alignment vertical="center" wrapText="1"/>
    </xf>
    <xf numFmtId="0" fontId="9" fillId="0" borderId="0" xfId="0" applyFont="1">
      <alignment vertical="center" wrapText="1"/>
    </xf>
    <xf numFmtId="0" fontId="4" fillId="0" borderId="0" xfId="0" applyFont="1" applyAlignment="1">
      <alignment horizontal="center" vertical="center" wrapText="1"/>
    </xf>
    <xf numFmtId="0" fontId="4" fillId="0" borderId="0" xfId="0" applyFont="1" applyAlignment="1">
      <alignment horizontal="center"/>
    </xf>
    <xf numFmtId="0" fontId="7" fillId="0" borderId="27" xfId="0" applyFont="1" applyBorder="1">
      <alignment vertical="center" wrapText="1"/>
    </xf>
    <xf numFmtId="0" fontId="8" fillId="0" borderId="10" xfId="0" applyFont="1" applyBorder="1">
      <alignment vertical="center" wrapText="1"/>
    </xf>
    <xf numFmtId="0" fontId="31" fillId="0" borderId="0" xfId="0" applyFont="1">
      <alignment vertical="center" wrapText="1"/>
    </xf>
    <xf numFmtId="0" fontId="0" fillId="0" borderId="0" xfId="0" applyAlignment="1">
      <alignment vertical="center"/>
    </xf>
    <xf numFmtId="0" fontId="8" fillId="0" borderId="22" xfId="0" applyFont="1" applyBorder="1" applyAlignment="1">
      <alignment vertical="top" wrapText="1"/>
    </xf>
    <xf numFmtId="0" fontId="32" fillId="23" borderId="28" xfId="0" applyFont="1" applyFill="1" applyBorder="1" applyAlignment="1">
      <alignment vertical="top"/>
    </xf>
    <xf numFmtId="0" fontId="32" fillId="23" borderId="0" xfId="0" applyFont="1" applyFill="1" applyAlignment="1">
      <alignment vertical="top"/>
    </xf>
    <xf numFmtId="0" fontId="7" fillId="0" borderId="31" xfId="0" applyFont="1" applyBorder="1" applyAlignment="1">
      <alignment horizontal="left" vertical="center"/>
    </xf>
    <xf numFmtId="0" fontId="3" fillId="0" borderId="0" xfId="36"/>
    <xf numFmtId="49" fontId="29" fillId="0" borderId="35" xfId="36" applyNumberFormat="1" applyFont="1" applyBorder="1" applyAlignment="1" applyProtection="1">
      <alignment horizontal="left" vertical="top"/>
      <protection locked="0"/>
    </xf>
    <xf numFmtId="0" fontId="6" fillId="0" borderId="35" xfId="36" applyFont="1" applyBorder="1" applyAlignment="1" applyProtection="1">
      <alignment vertical="top" wrapText="1"/>
      <protection locked="0"/>
    </xf>
    <xf numFmtId="0" fontId="6" fillId="0" borderId="35" xfId="36" applyFont="1" applyBorder="1"/>
    <xf numFmtId="49" fontId="6" fillId="0" borderId="35" xfId="36" applyNumberFormat="1" applyFont="1" applyBorder="1" applyAlignment="1" applyProtection="1">
      <alignment horizontal="left" vertical="top" wrapText="1"/>
      <protection locked="0"/>
    </xf>
    <xf numFmtId="0" fontId="6" fillId="0" borderId="0" xfId="36" applyFont="1"/>
    <xf numFmtId="0" fontId="6" fillId="0" borderId="0" xfId="36" applyFont="1" applyAlignment="1" applyProtection="1">
      <alignment vertical="top" wrapText="1"/>
      <protection locked="0"/>
    </xf>
    <xf numFmtId="49" fontId="29" fillId="0" borderId="35" xfId="36" applyNumberFormat="1" applyFont="1" applyBorder="1" applyAlignment="1" applyProtection="1">
      <alignment vertical="top"/>
      <protection locked="0"/>
    </xf>
    <xf numFmtId="49" fontId="6" fillId="0" borderId="35" xfId="36" applyNumberFormat="1" applyFont="1" applyBorder="1" applyAlignment="1" applyProtection="1">
      <alignment horizontal="left" vertical="top"/>
      <protection locked="0"/>
    </xf>
    <xf numFmtId="49" fontId="6" fillId="0" borderId="0" xfId="36" applyNumberFormat="1" applyFont="1" applyAlignment="1" applyProtection="1">
      <alignment horizontal="left" vertical="top" wrapText="1"/>
      <protection locked="0"/>
    </xf>
    <xf numFmtId="49" fontId="6" fillId="0" borderId="35" xfId="36" applyNumberFormat="1" applyFont="1" applyBorder="1" applyAlignment="1" applyProtection="1">
      <alignment vertical="top"/>
      <protection locked="0"/>
    </xf>
    <xf numFmtId="0" fontId="6" fillId="0" borderId="0" xfId="36" applyFont="1" applyAlignment="1" applyProtection="1">
      <alignment vertical="top"/>
      <protection locked="0"/>
    </xf>
    <xf numFmtId="0" fontId="6" fillId="0" borderId="35" xfId="36" applyFont="1" applyBorder="1" applyAlignment="1" applyProtection="1">
      <alignment vertical="top"/>
      <protection locked="0"/>
    </xf>
    <xf numFmtId="49" fontId="6" fillId="0" borderId="35" xfId="36" applyNumberFormat="1" applyFont="1" applyBorder="1" applyAlignment="1">
      <alignment horizontal="left" vertical="top" wrapText="1"/>
    </xf>
    <xf numFmtId="0" fontId="29" fillId="0" borderId="35" xfId="36" applyFont="1" applyBorder="1" applyAlignment="1">
      <alignment horizontal="left" vertical="top" wrapText="1"/>
    </xf>
    <xf numFmtId="0" fontId="6" fillId="0" borderId="35" xfId="36" applyFont="1" applyBorder="1" applyAlignment="1">
      <alignment vertical="top" wrapText="1"/>
    </xf>
    <xf numFmtId="0" fontId="3" fillId="0" borderId="0" xfId="37"/>
    <xf numFmtId="0" fontId="6" fillId="0" borderId="0" xfId="37" applyFont="1" applyAlignment="1" applyProtection="1">
      <alignment horizontal="left" vertical="top" wrapText="1"/>
      <protection locked="0"/>
    </xf>
    <xf numFmtId="0" fontId="6" fillId="0" borderId="35" xfId="37" applyFont="1" applyBorder="1" applyAlignment="1" applyProtection="1">
      <alignment vertical="top" wrapText="1"/>
      <protection locked="0"/>
    </xf>
    <xf numFmtId="0" fontId="6" fillId="0" borderId="35" xfId="37" applyFont="1" applyBorder="1" applyAlignment="1" applyProtection="1">
      <alignment horizontal="left" vertical="center"/>
      <protection locked="0"/>
    </xf>
    <xf numFmtId="0" fontId="29" fillId="0" borderId="35" xfId="37" applyFont="1" applyBorder="1" applyAlignment="1" applyProtection="1">
      <alignment horizontal="left" vertical="center"/>
      <protection locked="0"/>
    </xf>
    <xf numFmtId="0" fontId="37" fillId="0" borderId="0" xfId="0" applyFont="1" applyAlignment="1">
      <alignment horizontal="center" vertical="top" wrapText="1"/>
    </xf>
    <xf numFmtId="0" fontId="38" fillId="0" borderId="0" xfId="0" applyFont="1" applyAlignment="1">
      <alignment horizontal="center" vertical="top" wrapText="1"/>
    </xf>
    <xf numFmtId="0" fontId="32" fillId="23" borderId="43" xfId="0" applyFont="1" applyFill="1" applyBorder="1" applyAlignment="1">
      <alignment vertical="top"/>
    </xf>
    <xf numFmtId="0" fontId="14" fillId="23" borderId="11" xfId="38" applyFont="1" applyFill="1" applyBorder="1" applyAlignment="1">
      <alignment horizontal="center"/>
    </xf>
    <xf numFmtId="0" fontId="42" fillId="0" borderId="0" xfId="38" applyFont="1"/>
    <xf numFmtId="0" fontId="41" fillId="0" borderId="0" xfId="38" applyFont="1"/>
    <xf numFmtId="0" fontId="41" fillId="0" borderId="0" xfId="38" applyFont="1" applyAlignment="1">
      <alignment horizontal="center"/>
    </xf>
    <xf numFmtId="0" fontId="3" fillId="0" borderId="0" xfId="38"/>
    <xf numFmtId="0" fontId="43" fillId="0" borderId="0" xfId="38" applyFont="1"/>
    <xf numFmtId="0" fontId="44" fillId="0" borderId="0" xfId="38" applyFont="1"/>
    <xf numFmtId="0" fontId="45" fillId="0" borderId="0" xfId="38" applyFont="1"/>
    <xf numFmtId="0" fontId="46" fillId="0" borderId="0" xfId="38" applyFont="1" applyAlignment="1">
      <alignment horizontal="center"/>
    </xf>
    <xf numFmtId="0" fontId="46" fillId="0" borderId="0" xfId="38" applyFont="1" applyAlignment="1">
      <alignment horizontal="right"/>
    </xf>
    <xf numFmtId="0" fontId="45" fillId="0" borderId="11" xfId="38" applyFont="1" applyBorder="1" applyAlignment="1">
      <alignment horizontal="center"/>
    </xf>
    <xf numFmtId="0" fontId="45" fillId="0" borderId="0" xfId="38" applyFont="1" applyAlignment="1">
      <alignment horizontal="center"/>
    </xf>
    <xf numFmtId="0" fontId="41" fillId="0" borderId="0" xfId="38" applyFont="1" applyAlignment="1">
      <alignment vertical="center"/>
    </xf>
    <xf numFmtId="0" fontId="3" fillId="0" borderId="0" xfId="38" applyAlignment="1">
      <alignment vertical="center"/>
    </xf>
    <xf numFmtId="0" fontId="19" fillId="0" borderId="0" xfId="38" applyFont="1"/>
    <xf numFmtId="0" fontId="34" fillId="0" borderId="0" xfId="38" applyFont="1" applyAlignment="1">
      <alignment horizontal="center"/>
    </xf>
    <xf numFmtId="0" fontId="34" fillId="0" borderId="11" xfId="38" applyFont="1" applyBorder="1" applyAlignment="1">
      <alignment horizontal="center"/>
    </xf>
    <xf numFmtId="0" fontId="14" fillId="0" borderId="11" xfId="38" applyFont="1" applyBorder="1" applyAlignment="1">
      <alignment horizontal="center"/>
    </xf>
    <xf numFmtId="0" fontId="40" fillId="24" borderId="11" xfId="38" applyFont="1" applyFill="1" applyBorder="1" applyAlignment="1">
      <alignment horizontal="center"/>
    </xf>
    <xf numFmtId="0" fontId="14" fillId="25" borderId="11" xfId="38" applyFont="1" applyFill="1" applyBorder="1" applyAlignment="1">
      <alignment horizontal="center"/>
    </xf>
    <xf numFmtId="0" fontId="44" fillId="0" borderId="0" xfId="38" applyFont="1" applyAlignment="1">
      <alignment vertical="center"/>
    </xf>
    <xf numFmtId="0" fontId="41" fillId="0" borderId="0" xfId="38" applyFont="1" applyAlignment="1">
      <alignment horizontal="center" vertical="center"/>
    </xf>
    <xf numFmtId="0" fontId="15" fillId="0" borderId="0" xfId="0" applyFont="1" applyAlignment="1">
      <alignment horizontal="center" vertical="top" wrapText="1"/>
    </xf>
    <xf numFmtId="0" fontId="29" fillId="0" borderId="14" xfId="0" applyFont="1" applyBorder="1" applyAlignment="1">
      <alignment horizontal="center" vertical="center" wrapText="1"/>
    </xf>
    <xf numFmtId="0" fontId="29" fillId="0" borderId="1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center" vertical="top" wrapText="1"/>
    </xf>
    <xf numFmtId="0" fontId="7" fillId="0" borderId="46" xfId="0" applyFont="1" applyBorder="1" applyAlignment="1">
      <alignment horizontal="left" vertical="center"/>
    </xf>
    <xf numFmtId="0" fontId="0" fillId="0" borderId="47" xfId="0" applyBorder="1">
      <alignment vertical="center" wrapText="1"/>
    </xf>
    <xf numFmtId="0" fontId="15" fillId="0" borderId="47" xfId="0" applyFont="1" applyBorder="1" applyAlignment="1">
      <alignment horizontal="center" vertical="top" wrapText="1"/>
    </xf>
    <xf numFmtId="0" fontId="5" fillId="0" borderId="12" xfId="0" applyFont="1" applyBorder="1" applyAlignment="1">
      <alignment horizontal="center" vertical="center" wrapText="1"/>
    </xf>
    <xf numFmtId="0" fontId="32" fillId="23" borderId="48" xfId="0" applyFont="1" applyFill="1" applyBorder="1" applyAlignment="1">
      <alignment vertical="top"/>
    </xf>
    <xf numFmtId="0" fontId="32" fillId="23" borderId="47" xfId="0" applyFont="1" applyFill="1" applyBorder="1" applyAlignment="1">
      <alignment vertical="top"/>
    </xf>
    <xf numFmtId="0" fontId="14" fillId="23" borderId="18" xfId="0" applyFont="1" applyFill="1" applyBorder="1" applyAlignment="1">
      <alignment horizontal="center" vertical="top"/>
    </xf>
    <xf numFmtId="0" fontId="37" fillId="0" borderId="0" xfId="0" applyFont="1" applyAlignment="1">
      <alignment horizontal="left" vertical="top"/>
    </xf>
    <xf numFmtId="0" fontId="36" fillId="23" borderId="18" xfId="0" applyFont="1" applyFill="1" applyBorder="1" applyAlignment="1">
      <alignment horizontal="center" vertical="top"/>
    </xf>
    <xf numFmtId="0" fontId="0" fillId="23" borderId="49" xfId="0" applyFill="1" applyBorder="1">
      <alignment vertical="center" wrapText="1"/>
    </xf>
    <xf numFmtId="0" fontId="14" fillId="23" borderId="50" xfId="0" applyFont="1" applyFill="1" applyBorder="1" applyAlignment="1">
      <alignment horizontal="center" vertical="top"/>
    </xf>
    <xf numFmtId="0" fontId="8" fillId="0" borderId="18" xfId="39" applyFont="1" applyBorder="1" applyAlignment="1">
      <alignment horizontal="left"/>
    </xf>
    <xf numFmtId="0" fontId="8" fillId="0" borderId="0" xfId="39" applyFont="1" applyAlignment="1">
      <alignment horizontal="left"/>
    </xf>
    <xf numFmtId="0" fontId="0" fillId="23" borderId="0" xfId="0" applyFill="1">
      <alignment vertical="center" wrapText="1"/>
    </xf>
    <xf numFmtId="0" fontId="32" fillId="23" borderId="51" xfId="0" applyFont="1" applyFill="1" applyBorder="1" applyAlignment="1">
      <alignment vertical="top"/>
    </xf>
    <xf numFmtId="0" fontId="26" fillId="22" borderId="32" xfId="39" applyFont="1" applyFill="1" applyBorder="1" applyAlignment="1" applyProtection="1">
      <alignment horizontal="center" vertical="center"/>
      <protection locked="0"/>
    </xf>
    <xf numFmtId="0" fontId="26" fillId="22" borderId="33" xfId="39" applyFont="1" applyFill="1" applyBorder="1" applyAlignment="1" applyProtection="1">
      <alignment horizontal="left" vertical="center"/>
      <protection locked="0"/>
    </xf>
    <xf numFmtId="0" fontId="26" fillId="22" borderId="32" xfId="39" applyFont="1" applyFill="1" applyBorder="1" applyAlignment="1" applyProtection="1">
      <alignment horizontal="left" vertical="center"/>
      <protection locked="0"/>
    </xf>
    <xf numFmtId="0" fontId="26" fillId="22" borderId="11" xfId="39" applyFont="1" applyFill="1" applyBorder="1" applyAlignment="1" applyProtection="1">
      <alignment horizontal="left" vertical="center"/>
      <protection locked="0"/>
    </xf>
    <xf numFmtId="0" fontId="8" fillId="0" borderId="32" xfId="39" applyFont="1" applyBorder="1" applyAlignment="1">
      <alignment horizontal="left"/>
    </xf>
    <xf numFmtId="0" fontId="8" fillId="0" borderId="11" xfId="39" applyFont="1" applyBorder="1" applyAlignment="1">
      <alignment horizontal="left"/>
    </xf>
    <xf numFmtId="0" fontId="8" fillId="0" borderId="52" xfId="39" applyFont="1" applyBorder="1" applyAlignment="1">
      <alignment horizontal="left"/>
    </xf>
    <xf numFmtId="0" fontId="3" fillId="0" borderId="32" xfId="39" applyBorder="1" applyAlignment="1">
      <alignment horizontal="center"/>
    </xf>
    <xf numFmtId="0" fontId="3" fillId="0" borderId="11" xfId="39" applyBorder="1" applyAlignment="1">
      <alignment horizontal="center"/>
    </xf>
    <xf numFmtId="0" fontId="5" fillId="22" borderId="32" xfId="39" applyFont="1" applyFill="1" applyBorder="1" applyAlignment="1" applyProtection="1">
      <alignment horizontal="center" vertical="center"/>
      <protection locked="0"/>
    </xf>
    <xf numFmtId="0" fontId="5" fillId="22" borderId="52" xfId="39" applyFont="1" applyFill="1" applyBorder="1" applyAlignment="1" applyProtection="1">
      <alignment horizontal="center" vertical="center"/>
      <protection locked="0"/>
    </xf>
    <xf numFmtId="0" fontId="4" fillId="0" borderId="32" xfId="39" applyFont="1" applyBorder="1" applyAlignment="1">
      <alignment horizontal="center"/>
    </xf>
    <xf numFmtId="0" fontId="3" fillId="19" borderId="32" xfId="39" applyFill="1" applyBorder="1" applyAlignment="1">
      <alignment horizontal="center"/>
    </xf>
    <xf numFmtId="0" fontId="3" fillId="19" borderId="11" xfId="39" applyFill="1" applyBorder="1" applyAlignment="1">
      <alignment horizontal="center"/>
    </xf>
    <xf numFmtId="0" fontId="0" fillId="23" borderId="29" xfId="0" applyFill="1" applyBorder="1">
      <alignment vertical="center" wrapText="1"/>
    </xf>
    <xf numFmtId="0" fontId="36" fillId="0" borderId="11" xfId="39" applyFont="1" applyBorder="1" applyAlignment="1">
      <alignment horizontal="center"/>
    </xf>
    <xf numFmtId="0" fontId="14" fillId="0" borderId="11" xfId="39" applyFont="1" applyBorder="1" applyAlignment="1">
      <alignment horizontal="center"/>
    </xf>
    <xf numFmtId="0" fontId="19" fillId="0" borderId="11" xfId="39" applyFont="1" applyBorder="1" applyAlignment="1">
      <alignment horizontal="center"/>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5" fillId="22" borderId="33" xfId="39" applyFont="1" applyFill="1" applyBorder="1" applyAlignment="1" applyProtection="1">
      <alignment horizontal="center" vertical="center"/>
      <protection locked="0"/>
    </xf>
    <xf numFmtId="0" fontId="8" fillId="0" borderId="14" xfId="39" applyFont="1" applyBorder="1" applyAlignment="1">
      <alignment horizontal="left"/>
    </xf>
    <xf numFmtId="0" fontId="3" fillId="0" borderId="14" xfId="39" applyBorder="1" applyAlignment="1">
      <alignment horizontal="center"/>
    </xf>
    <xf numFmtId="0" fontId="3" fillId="19" borderId="14" xfId="39" applyFill="1" applyBorder="1" applyAlignment="1">
      <alignment horizontal="center"/>
    </xf>
    <xf numFmtId="0" fontId="26" fillId="22" borderId="14" xfId="39" applyFont="1" applyFill="1" applyBorder="1" applyAlignment="1" applyProtection="1">
      <alignment horizontal="center" vertical="center"/>
      <protection locked="0"/>
    </xf>
    <xf numFmtId="0" fontId="0" fillId="23" borderId="54" xfId="0" applyFill="1" applyBorder="1">
      <alignment vertical="center" wrapText="1"/>
    </xf>
    <xf numFmtId="0" fontId="6" fillId="0" borderId="0" xfId="0" applyFont="1" applyAlignment="1" applyProtection="1">
      <alignment vertical="top" wrapText="1"/>
      <protection locked="0"/>
    </xf>
    <xf numFmtId="0" fontId="35" fillId="0" borderId="0" xfId="35" applyFont="1" applyAlignment="1">
      <alignment horizontal="center" vertical="top" wrapText="1"/>
    </xf>
    <xf numFmtId="0" fontId="6" fillId="0" borderId="0" xfId="35" applyFont="1" applyAlignment="1">
      <alignment vertical="top" wrapText="1"/>
    </xf>
    <xf numFmtId="0" fontId="17" fillId="0" borderId="0" xfId="35" applyFont="1"/>
    <xf numFmtId="0" fontId="6" fillId="0" borderId="0" xfId="35" applyFont="1"/>
    <xf numFmtId="0" fontId="6" fillId="0" borderId="0" xfId="35" applyFont="1" applyAlignment="1">
      <alignment horizontal="center"/>
    </xf>
    <xf numFmtId="0" fontId="29" fillId="0" borderId="0" xfId="35" applyFont="1" applyAlignment="1">
      <alignment horizontal="center" vertical="top" wrapText="1"/>
    </xf>
    <xf numFmtId="0" fontId="6" fillId="0" borderId="0" xfId="35" applyFont="1" applyAlignment="1">
      <alignment horizontal="center" vertical="top" wrapText="1"/>
    </xf>
    <xf numFmtId="0" fontId="3" fillId="0" borderId="0" xfId="35"/>
    <xf numFmtId="0" fontId="6" fillId="0" borderId="0" xfId="35" applyFont="1" applyAlignment="1" applyProtection="1">
      <alignment vertical="top" wrapText="1"/>
      <protection locked="0"/>
    </xf>
    <xf numFmtId="0" fontId="6" fillId="0" borderId="0" xfId="35" applyFont="1" applyAlignment="1" applyProtection="1">
      <alignment horizontal="center" vertical="top" wrapText="1"/>
      <protection locked="0"/>
    </xf>
    <xf numFmtId="164" fontId="6" fillId="0" borderId="0" xfId="37" applyNumberFormat="1" applyFont="1" applyAlignment="1">
      <alignment horizontal="center"/>
    </xf>
    <xf numFmtId="164" fontId="71" fillId="26" borderId="23" xfId="37" applyNumberFormat="1" applyFont="1" applyFill="1" applyBorder="1" applyAlignment="1" applyProtection="1">
      <alignment horizontal="center" vertical="center" wrapText="1"/>
      <protection locked="0"/>
    </xf>
    <xf numFmtId="164" fontId="6" fillId="0" borderId="0" xfId="36" applyNumberFormat="1" applyFont="1" applyAlignment="1">
      <alignment horizontal="center"/>
    </xf>
    <xf numFmtId="164" fontId="6" fillId="0" borderId="59" xfId="37" applyNumberFormat="1" applyFont="1" applyBorder="1" applyAlignment="1">
      <alignment horizontal="center"/>
    </xf>
    <xf numFmtId="0" fontId="6" fillId="0" borderId="0" xfId="36" applyFont="1" applyAlignment="1">
      <alignment vertical="top"/>
    </xf>
    <xf numFmtId="49" fontId="29" fillId="0" borderId="0" xfId="36" applyNumberFormat="1" applyFont="1" applyAlignment="1" applyProtection="1">
      <alignment horizontal="left" vertical="top"/>
      <protection locked="0"/>
    </xf>
    <xf numFmtId="0" fontId="32" fillId="23" borderId="28" xfId="41" applyFont="1" applyFill="1" applyBorder="1" applyAlignment="1">
      <alignment vertical="center"/>
    </xf>
    <xf numFmtId="0" fontId="19" fillId="0" borderId="0" xfId="41">
      <alignment vertical="center" wrapText="1"/>
    </xf>
    <xf numFmtId="0" fontId="32" fillId="23" borderId="0" xfId="41" applyFont="1" applyFill="1" applyAlignment="1">
      <alignment vertical="top"/>
    </xf>
    <xf numFmtId="0" fontId="14" fillId="23" borderId="50" xfId="41" applyFont="1" applyFill="1" applyBorder="1" applyAlignment="1">
      <alignment horizontal="center" vertical="top"/>
    </xf>
    <xf numFmtId="0" fontId="14" fillId="23" borderId="18" xfId="41" applyFont="1" applyFill="1" applyBorder="1" applyAlignment="1">
      <alignment horizontal="center" vertical="top"/>
    </xf>
    <xf numFmtId="0" fontId="36" fillId="23" borderId="18" xfId="41" applyFont="1" applyFill="1" applyBorder="1" applyAlignment="1">
      <alignment horizontal="center" vertical="top"/>
    </xf>
    <xf numFmtId="0" fontId="19" fillId="23" borderId="29" xfId="41" applyFill="1" applyBorder="1">
      <alignment vertical="center" wrapText="1"/>
    </xf>
    <xf numFmtId="0" fontId="19" fillId="23" borderId="54" xfId="41" applyFill="1" applyBorder="1">
      <alignment vertical="center" wrapText="1"/>
    </xf>
    <xf numFmtId="0" fontId="19" fillId="23" borderId="0" xfId="41" applyFill="1">
      <alignment vertical="center" wrapText="1"/>
    </xf>
    <xf numFmtId="0" fontId="5" fillId="0" borderId="60" xfId="0" applyFont="1" applyBorder="1" applyAlignment="1">
      <alignment horizontal="center" vertical="center" wrapText="1"/>
    </xf>
    <xf numFmtId="0" fontId="32" fillId="23" borderId="47" xfId="0" applyFont="1" applyFill="1" applyBorder="1" applyAlignment="1">
      <alignment horizontal="center" vertical="top"/>
    </xf>
    <xf numFmtId="0" fontId="3" fillId="0" borderId="55" xfId="39" applyBorder="1" applyAlignment="1">
      <alignment horizontal="center"/>
    </xf>
    <xf numFmtId="0" fontId="3" fillId="0" borderId="56" xfId="39" applyBorder="1" applyAlignment="1">
      <alignment horizontal="center"/>
    </xf>
    <xf numFmtId="0" fontId="3" fillId="0" borderId="57" xfId="39" applyBorder="1" applyAlignment="1">
      <alignment horizontal="center"/>
    </xf>
    <xf numFmtId="0" fontId="8" fillId="0" borderId="61" xfId="39" applyFont="1" applyBorder="1" applyAlignment="1">
      <alignment horizontal="left"/>
    </xf>
    <xf numFmtId="0" fontId="8" fillId="0" borderId="15" xfId="39" applyFont="1" applyBorder="1" applyAlignment="1">
      <alignment horizontal="left"/>
    </xf>
    <xf numFmtId="0" fontId="8" fillId="0" borderId="41" xfId="39" applyFont="1" applyBorder="1" applyAlignment="1">
      <alignment horizontal="left"/>
    </xf>
    <xf numFmtId="0" fontId="8" fillId="0" borderId="62" xfId="39" applyFont="1" applyBorder="1" applyAlignment="1">
      <alignment horizontal="left"/>
    </xf>
    <xf numFmtId="0" fontId="3" fillId="0" borderId="16" xfId="39" applyBorder="1" applyAlignment="1">
      <alignment horizontal="center"/>
    </xf>
    <xf numFmtId="0" fontId="19" fillId="0" borderId="32" xfId="39" applyFont="1" applyBorder="1" applyAlignment="1">
      <alignment horizontal="center"/>
    </xf>
    <xf numFmtId="0" fontId="10" fillId="0" borderId="0" xfId="35" applyFont="1" applyAlignment="1">
      <alignment vertical="top" wrapText="1"/>
    </xf>
    <xf numFmtId="0" fontId="6" fillId="0" borderId="0" xfId="35" applyFont="1" applyAlignment="1">
      <alignment horizontal="left" vertical="top" wrapText="1"/>
    </xf>
    <xf numFmtId="0" fontId="6" fillId="0" borderId="26" xfId="0" applyFont="1" applyBorder="1">
      <alignment vertical="center" wrapText="1"/>
    </xf>
    <xf numFmtId="0" fontId="6" fillId="0" borderId="26" xfId="0" applyFont="1" applyBorder="1" applyAlignment="1">
      <alignment vertical="top" wrapText="1"/>
    </xf>
    <xf numFmtId="49" fontId="6" fillId="0" borderId="26" xfId="0" applyNumberFormat="1" applyFont="1" applyBorder="1">
      <alignment vertical="center" wrapText="1"/>
    </xf>
    <xf numFmtId="0" fontId="6" fillId="0" borderId="0" xfId="0" applyFont="1" applyAlignment="1">
      <alignment vertical="top" wrapText="1"/>
    </xf>
    <xf numFmtId="0" fontId="14" fillId="0" borderId="0" xfId="0" applyFont="1" applyAlignment="1">
      <alignment horizontal="center" vertical="center" wrapText="1"/>
    </xf>
    <xf numFmtId="0" fontId="14" fillId="0" borderId="0" xfId="0" applyFont="1" applyAlignment="1">
      <alignment horizontal="left" vertical="center"/>
    </xf>
    <xf numFmtId="0" fontId="5" fillId="0" borderId="0" xfId="0" applyFont="1">
      <alignment vertical="center" wrapText="1"/>
    </xf>
    <xf numFmtId="0" fontId="29" fillId="0" borderId="63" xfId="0" applyFont="1" applyBorder="1" applyAlignment="1">
      <alignment horizontal="center" vertical="center" wrapText="1"/>
    </xf>
    <xf numFmtId="0" fontId="0" fillId="0" borderId="69" xfId="0" applyBorder="1" applyAlignment="1">
      <alignment horizontal="center" vertical="center" wrapText="1"/>
    </xf>
    <xf numFmtId="0" fontId="4" fillId="0" borderId="71" xfId="0" applyFont="1" applyBorder="1">
      <alignment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4" xfId="0" applyBorder="1" applyAlignment="1">
      <alignment horizontal="center" vertical="center" wrapText="1"/>
    </xf>
    <xf numFmtId="0" fontId="8" fillId="0" borderId="68" xfId="0" applyFont="1" applyBorder="1" applyAlignment="1">
      <alignment vertical="center"/>
    </xf>
    <xf numFmtId="0" fontId="40" fillId="23" borderId="18" xfId="32" applyFont="1" applyFill="1" applyBorder="1" applyAlignment="1" applyProtection="1">
      <alignment horizontal="center" vertical="center"/>
    </xf>
    <xf numFmtId="0" fontId="40" fillId="23" borderId="77" xfId="32" applyFont="1" applyFill="1" applyBorder="1" applyAlignment="1" applyProtection="1">
      <alignment horizontal="center" vertical="center"/>
    </xf>
    <xf numFmtId="0" fontId="40" fillId="23" borderId="10" xfId="32" applyFont="1" applyFill="1" applyBorder="1" applyAlignment="1" applyProtection="1">
      <alignment horizontal="center" vertical="center" wrapText="1"/>
    </xf>
    <xf numFmtId="49" fontId="69" fillId="26" borderId="23" xfId="36" applyNumberFormat="1" applyFont="1" applyFill="1" applyBorder="1" applyAlignment="1" applyProtection="1">
      <alignment horizontal="left" vertical="center"/>
      <protection locked="0"/>
    </xf>
    <xf numFmtId="0" fontId="74" fillId="26" borderId="23" xfId="36" applyFont="1" applyFill="1" applyBorder="1" applyAlignment="1" applyProtection="1">
      <alignment horizontal="left" vertical="center"/>
      <protection locked="0"/>
    </xf>
    <xf numFmtId="0" fontId="23" fillId="27" borderId="15" xfId="34" applyFont="1" applyFill="1" applyBorder="1" applyAlignment="1">
      <alignment horizontal="center" vertical="top"/>
    </xf>
    <xf numFmtId="0" fontId="0" fillId="23" borderId="82" xfId="0" applyFill="1" applyBorder="1">
      <alignment vertical="center" wrapText="1"/>
    </xf>
    <xf numFmtId="0" fontId="27" fillId="0" borderId="0" xfId="38" applyFont="1"/>
    <xf numFmtId="0" fontId="6" fillId="0" borderId="0" xfId="0" applyFont="1" applyAlignment="1">
      <alignment horizontal="center" vertical="center" wrapText="1"/>
    </xf>
    <xf numFmtId="0" fontId="14" fillId="0" borderId="0" xfId="0" applyFont="1" applyAlignment="1">
      <alignment horizontal="center"/>
    </xf>
    <xf numFmtId="0" fontId="16" fillId="0" borderId="66" xfId="0" applyFont="1" applyBorder="1" applyAlignment="1">
      <alignment horizontal="left" vertical="top"/>
    </xf>
    <xf numFmtId="0" fontId="0" fillId="0" borderId="74" xfId="0" applyBorder="1">
      <alignment vertical="center" wrapText="1"/>
    </xf>
    <xf numFmtId="0" fontId="0" fillId="0" borderId="75" xfId="0" applyBorder="1">
      <alignment vertical="center" wrapText="1"/>
    </xf>
    <xf numFmtId="0" fontId="3" fillId="0" borderId="0" xfId="39" applyAlignment="1">
      <alignment vertical="top"/>
    </xf>
    <xf numFmtId="0" fontId="14" fillId="0" borderId="11" xfId="0" applyFont="1" applyBorder="1" applyAlignment="1">
      <alignment horizontal="center" vertical="top"/>
    </xf>
    <xf numFmtId="0" fontId="14" fillId="29" borderId="11" xfId="0" applyFont="1" applyFill="1" applyBorder="1" applyAlignment="1">
      <alignment horizontal="center" vertical="top"/>
    </xf>
    <xf numFmtId="49" fontId="4" fillId="0" borderId="11" xfId="0" applyNumberFormat="1" applyFont="1" applyBorder="1" applyAlignment="1">
      <alignment horizontal="center" vertical="top"/>
    </xf>
    <xf numFmtId="49" fontId="6" fillId="0" borderId="26" xfId="40" applyNumberFormat="1" applyFont="1" applyBorder="1" applyAlignment="1">
      <alignment horizontal="left" vertical="top" wrapText="1"/>
    </xf>
    <xf numFmtId="0" fontId="6" fillId="0" borderId="26" xfId="40" applyFont="1" applyBorder="1" applyAlignment="1">
      <alignment horizontal="left" vertical="top" wrapText="1"/>
    </xf>
    <xf numFmtId="49" fontId="73" fillId="0" borderId="26" xfId="40" applyNumberFormat="1" applyFont="1" applyBorder="1" applyAlignment="1">
      <alignment horizontal="left" vertical="top" wrapText="1"/>
    </xf>
    <xf numFmtId="49" fontId="6" fillId="0" borderId="26" xfId="0" applyNumberFormat="1" applyFont="1" applyBorder="1" applyAlignment="1">
      <alignment vertical="top" wrapText="1"/>
    </xf>
    <xf numFmtId="49" fontId="6" fillId="0" borderId="0" xfId="40" applyNumberFormat="1" applyFont="1" applyAlignment="1">
      <alignment horizontal="left" vertical="top" wrapText="1"/>
    </xf>
    <xf numFmtId="164" fontId="6" fillId="0" borderId="0" xfId="37" applyNumberFormat="1" applyFont="1" applyAlignment="1">
      <alignment horizontal="left"/>
    </xf>
    <xf numFmtId="0" fontId="6" fillId="0" borderId="35" xfId="36" applyFont="1" applyBorder="1" applyAlignment="1" applyProtection="1">
      <alignment horizontal="left" vertical="top" wrapText="1"/>
      <protection locked="0"/>
    </xf>
    <xf numFmtId="0" fontId="6" fillId="0" borderId="0" xfId="0" applyFont="1" applyAlignment="1" applyProtection="1">
      <alignment horizontal="left" vertical="top" wrapText="1"/>
      <protection locked="0"/>
    </xf>
    <xf numFmtId="0" fontId="10" fillId="0" borderId="0" xfId="35" applyFont="1"/>
    <xf numFmtId="0" fontId="8" fillId="0" borderId="10" xfId="0" applyFont="1" applyBorder="1" applyAlignment="1">
      <alignment horizontal="center" vertical="center"/>
    </xf>
    <xf numFmtId="0" fontId="8" fillId="0" borderId="69" xfId="0" applyFont="1" applyBorder="1" applyAlignment="1">
      <alignment horizontal="center" vertical="center"/>
    </xf>
    <xf numFmtId="0" fontId="0" fillId="0" borderId="0" xfId="36" applyFont="1"/>
    <xf numFmtId="0" fontId="6" fillId="0" borderId="0" xfId="37" applyFont="1" applyAlignment="1" applyProtection="1">
      <alignment horizontal="left" vertical="center" wrapText="1"/>
      <protection locked="0"/>
    </xf>
    <xf numFmtId="0" fontId="6" fillId="0" borderId="0" xfId="37" applyFont="1" applyAlignment="1" applyProtection="1">
      <alignment vertical="top"/>
      <protection locked="0"/>
    </xf>
    <xf numFmtId="49" fontId="29" fillId="0" borderId="0" xfId="53" applyNumberFormat="1" applyFont="1" applyAlignment="1" applyProtection="1">
      <alignment horizontal="left" vertical="top"/>
      <protection locked="0"/>
    </xf>
    <xf numFmtId="0" fontId="6" fillId="0" borderId="0" xfId="53" applyFont="1" applyAlignment="1" applyProtection="1">
      <alignment vertical="top" wrapText="1"/>
      <protection locked="0"/>
    </xf>
    <xf numFmtId="0" fontId="6" fillId="0" borderId="36" xfId="36" applyFont="1" applyBorder="1"/>
    <xf numFmtId="0" fontId="3" fillId="0" borderId="0" xfId="53"/>
    <xf numFmtId="49" fontId="6" fillId="0" borderId="0" xfId="36" applyNumberFormat="1" applyFont="1" applyAlignment="1">
      <alignment vertical="top"/>
    </xf>
    <xf numFmtId="0" fontId="6" fillId="0" borderId="0" xfId="36" applyFont="1" applyAlignment="1">
      <alignment vertical="top" wrapText="1"/>
    </xf>
    <xf numFmtId="49" fontId="6" fillId="0" borderId="35" xfId="37" applyNumberFormat="1" applyFont="1" applyBorder="1" applyAlignment="1" applyProtection="1">
      <alignment horizontal="left" vertical="center"/>
      <protection locked="0"/>
    </xf>
    <xf numFmtId="0" fontId="6" fillId="0" borderId="0" xfId="54" applyFont="1" applyAlignment="1" applyProtection="1">
      <alignment vertical="top" wrapText="1"/>
      <protection locked="0"/>
    </xf>
    <xf numFmtId="0" fontId="29" fillId="0" borderId="0" xfId="54" applyFont="1" applyAlignment="1">
      <alignment horizontal="left" vertical="top"/>
    </xf>
    <xf numFmtId="0" fontId="6" fillId="0" borderId="0" xfId="54" applyFont="1" applyAlignment="1">
      <alignment vertical="top" wrapText="1"/>
    </xf>
    <xf numFmtId="0" fontId="14" fillId="0" borderId="0" xfId="54" applyFont="1" applyAlignment="1">
      <alignment horizontal="left" vertical="top" wrapText="1"/>
    </xf>
    <xf numFmtId="0" fontId="15" fillId="0" borderId="45" xfId="0" applyFont="1" applyBorder="1" applyAlignment="1">
      <alignment horizontal="center" vertical="center" wrapText="1"/>
    </xf>
    <xf numFmtId="49" fontId="0" fillId="0" borderId="0" xfId="0" applyNumberFormat="1">
      <alignment vertical="center" wrapText="1"/>
    </xf>
    <xf numFmtId="49" fontId="6" fillId="0" borderId="0" xfId="0" applyNumberFormat="1" applyFont="1">
      <alignment vertical="center" wrapText="1"/>
    </xf>
    <xf numFmtId="49" fontId="6" fillId="0" borderId="0" xfId="0" applyNumberFormat="1" applyFont="1" applyAlignment="1">
      <alignment vertical="top" wrapText="1"/>
    </xf>
    <xf numFmtId="0" fontId="3" fillId="0" borderId="0" xfId="35" applyAlignment="1">
      <alignment horizontal="left" vertical="top" wrapText="1"/>
    </xf>
    <xf numFmtId="0" fontId="3" fillId="0" borderId="0" xfId="53" applyAlignment="1" applyProtection="1">
      <alignment horizontal="center" vertical="top"/>
      <protection locked="0"/>
    </xf>
    <xf numFmtId="0" fontId="3" fillId="0" borderId="0" xfId="53" applyProtection="1">
      <protection locked="0"/>
    </xf>
    <xf numFmtId="0" fontId="3" fillId="0" borderId="0" xfId="37" applyAlignment="1" applyProtection="1">
      <alignment horizontal="center"/>
      <protection locked="0"/>
    </xf>
    <xf numFmtId="0" fontId="3" fillId="0" borderId="0" xfId="37" applyProtection="1">
      <protection locked="0"/>
    </xf>
    <xf numFmtId="0" fontId="48" fillId="26" borderId="23" xfId="37" applyFont="1" applyFill="1" applyBorder="1" applyAlignment="1">
      <alignment horizontal="left" vertical="center"/>
    </xf>
    <xf numFmtId="0" fontId="49" fillId="26" borderId="23" xfId="37" applyFont="1" applyFill="1" applyBorder="1" applyAlignment="1">
      <alignment horizontal="left" vertical="center"/>
    </xf>
    <xf numFmtId="0" fontId="6" fillId="0" borderId="64" xfId="0" applyFont="1" applyBorder="1" applyAlignment="1">
      <alignment horizontal="center" vertical="center" wrapText="1"/>
    </xf>
    <xf numFmtId="0" fontId="3" fillId="0" borderId="64" xfId="36" applyBorder="1" applyAlignment="1" applyProtection="1">
      <alignment horizontal="center"/>
      <protection locked="0"/>
    </xf>
    <xf numFmtId="0" fontId="3" fillId="0" borderId="0" xfId="36" applyProtection="1">
      <protection locked="0"/>
    </xf>
    <xf numFmtId="0" fontId="10" fillId="0" borderId="36" xfId="36" applyFont="1" applyBorder="1"/>
    <xf numFmtId="0" fontId="3" fillId="0" borderId="0" xfId="36" applyAlignment="1" applyProtection="1">
      <alignment vertical="center"/>
      <protection locked="0"/>
    </xf>
    <xf numFmtId="0" fontId="3" fillId="0" borderId="0" xfId="36" applyAlignment="1">
      <alignment vertical="center"/>
    </xf>
    <xf numFmtId="0" fontId="6" fillId="0" borderId="64" xfId="0" applyFont="1" applyBorder="1" applyAlignment="1">
      <alignment horizontal="center" vertical="top" wrapText="1"/>
    </xf>
    <xf numFmtId="0" fontId="3" fillId="0" borderId="0" xfId="36" applyAlignment="1" applyProtection="1">
      <alignment vertical="top"/>
      <protection locked="0"/>
    </xf>
    <xf numFmtId="0" fontId="3" fillId="0" borderId="0" xfId="36" applyAlignment="1">
      <alignment vertical="top"/>
    </xf>
    <xf numFmtId="0" fontId="3" fillId="0" borderId="0" xfId="36" applyAlignment="1" applyProtection="1">
      <alignment horizontal="left" vertical="top"/>
      <protection locked="0"/>
    </xf>
    <xf numFmtId="0" fontId="3" fillId="0" borderId="0" xfId="36" applyAlignment="1">
      <alignment horizontal="left" vertical="top"/>
    </xf>
    <xf numFmtId="0" fontId="4" fillId="0" borderId="0" xfId="53" applyFont="1" applyAlignment="1" applyProtection="1">
      <alignment horizontal="center" vertical="top"/>
      <protection locked="0"/>
    </xf>
    <xf numFmtId="0" fontId="3" fillId="0" borderId="0" xfId="35" applyAlignment="1" applyProtection="1">
      <alignment vertical="top"/>
      <protection locked="0"/>
    </xf>
    <xf numFmtId="0" fontId="10" fillId="33" borderId="35" xfId="36" applyFont="1" applyFill="1" applyBorder="1" applyAlignment="1" applyProtection="1">
      <alignment vertical="top" wrapText="1"/>
      <protection locked="0"/>
    </xf>
    <xf numFmtId="49" fontId="29" fillId="0" borderId="35" xfId="36" applyNumberFormat="1" applyFont="1" applyBorder="1" applyAlignment="1">
      <alignment horizontal="left" vertical="top"/>
    </xf>
    <xf numFmtId="0" fontId="6" fillId="0" borderId="0" xfId="37" applyFont="1" applyAlignment="1">
      <alignment horizontal="center"/>
    </xf>
    <xf numFmtId="0" fontId="6" fillId="0" borderId="0" xfId="37" applyFont="1" applyAlignment="1">
      <alignment horizontal="left"/>
    </xf>
    <xf numFmtId="0" fontId="6" fillId="0" borderId="0" xfId="37" applyFont="1"/>
    <xf numFmtId="0" fontId="3" fillId="0" borderId="0" xfId="0" applyFont="1" applyAlignment="1" applyProtection="1">
      <alignment vertical="center"/>
      <protection locked="0"/>
    </xf>
    <xf numFmtId="0" fontId="3" fillId="0" borderId="0" xfId="53" applyAlignment="1" applyProtection="1">
      <alignment vertical="top" wrapText="1"/>
      <protection locked="0"/>
    </xf>
    <xf numFmtId="0" fontId="35" fillId="0" borderId="0" xfId="54" applyFont="1" applyAlignment="1">
      <alignment vertical="top" wrapText="1"/>
    </xf>
    <xf numFmtId="0" fontId="35" fillId="0" borderId="0" xfId="54" applyFont="1" applyAlignment="1" applyProtection="1">
      <alignment horizontal="center" vertical="top" wrapText="1"/>
      <protection locked="0"/>
    </xf>
    <xf numFmtId="0" fontId="3" fillId="0" borderId="0" xfId="53" applyAlignment="1">
      <alignment vertical="top" wrapText="1"/>
    </xf>
    <xf numFmtId="0" fontId="3" fillId="0" borderId="0" xfId="54" applyAlignment="1">
      <alignment vertical="top" wrapText="1"/>
    </xf>
    <xf numFmtId="0" fontId="6" fillId="0" borderId="0" xfId="54" applyFont="1"/>
    <xf numFmtId="0" fontId="6" fillId="0" borderId="0" xfId="54" applyFont="1" applyAlignment="1">
      <alignment horizontal="center"/>
    </xf>
    <xf numFmtId="0" fontId="7" fillId="27" borderId="42" xfId="37" applyFont="1" applyFill="1" applyBorder="1" applyAlignment="1">
      <alignment horizontal="left" vertical="center"/>
    </xf>
    <xf numFmtId="0" fontId="7" fillId="27" borderId="42" xfId="37" applyFont="1" applyFill="1" applyBorder="1" applyAlignment="1">
      <alignment horizontal="center" vertical="center"/>
    </xf>
    <xf numFmtId="49" fontId="14" fillId="0" borderId="37" xfId="37" applyNumberFormat="1" applyFont="1" applyBorder="1" applyAlignment="1">
      <alignment horizontal="left"/>
    </xf>
    <xf numFmtId="0" fontId="6" fillId="0" borderId="38" xfId="37" applyFont="1" applyBorder="1" applyAlignment="1">
      <alignment horizontal="left" vertical="top" wrapText="1"/>
    </xf>
    <xf numFmtId="0" fontId="29" fillId="0" borderId="39" xfId="37" applyFont="1" applyBorder="1" applyAlignment="1">
      <alignment vertical="center" wrapText="1"/>
    </xf>
    <xf numFmtId="49" fontId="29" fillId="0" borderId="40" xfId="37" applyNumberFormat="1" applyFont="1" applyBorder="1" applyAlignment="1">
      <alignment horizontal="center"/>
    </xf>
    <xf numFmtId="0" fontId="14" fillId="0" borderId="0" xfId="37" applyFont="1" applyAlignment="1">
      <alignment horizontal="left"/>
    </xf>
    <xf numFmtId="0" fontId="29" fillId="0" borderId="34" xfId="37" applyFont="1" applyBorder="1" applyAlignment="1">
      <alignment vertical="center" wrapText="1"/>
    </xf>
    <xf numFmtId="49" fontId="29" fillId="0" borderId="41" xfId="37" applyNumberFormat="1" applyFont="1" applyBorder="1" applyAlignment="1">
      <alignment horizontal="center" vertical="center"/>
    </xf>
    <xf numFmtId="0" fontId="6" fillId="0" borderId="42" xfId="37" applyFont="1" applyBorder="1" applyAlignment="1">
      <alignment horizontal="left" vertical="center"/>
    </xf>
    <xf numFmtId="0" fontId="14" fillId="0" borderId="17" xfId="37" applyFont="1" applyBorder="1" applyAlignment="1">
      <alignment horizontal="left" vertical="center"/>
    </xf>
    <xf numFmtId="49" fontId="48" fillId="26" borderId="23" xfId="37" applyNumberFormat="1" applyFont="1" applyFill="1" applyBorder="1" applyAlignment="1">
      <alignment horizontal="left" vertical="center"/>
    </xf>
    <xf numFmtId="0" fontId="6" fillId="0" borderId="35" xfId="36" applyFont="1" applyBorder="1" applyAlignment="1">
      <alignment horizontal="center" vertical="top"/>
    </xf>
    <xf numFmtId="49" fontId="29" fillId="0" borderId="0" xfId="36" applyNumberFormat="1" applyFont="1" applyAlignment="1">
      <alignment horizontal="left" vertical="top"/>
    </xf>
    <xf numFmtId="0" fontId="6" fillId="0" borderId="35" xfId="36" applyFont="1" applyBorder="1" applyAlignment="1">
      <alignment horizontal="center"/>
    </xf>
    <xf numFmtId="0" fontId="6" fillId="0" borderId="0" xfId="36" applyFont="1" applyAlignment="1">
      <alignment horizontal="left" vertical="top"/>
    </xf>
    <xf numFmtId="0" fontId="6" fillId="0" borderId="0" xfId="36" applyFont="1" applyAlignment="1" applyProtection="1">
      <alignment horizontal="left" vertical="top" wrapText="1"/>
      <protection locked="0"/>
    </xf>
    <xf numFmtId="0" fontId="29" fillId="0" borderId="0" xfId="37" applyFont="1" applyAlignment="1" applyProtection="1">
      <alignment horizontal="left" vertical="top"/>
      <protection locked="0"/>
    </xf>
    <xf numFmtId="0" fontId="6" fillId="0" borderId="35" xfId="36" applyFont="1" applyBorder="1" applyAlignment="1">
      <alignment vertical="top"/>
    </xf>
    <xf numFmtId="0" fontId="6" fillId="0" borderId="0" xfId="37" applyFont="1" applyAlignment="1" applyProtection="1">
      <alignment horizontal="left" vertical="top"/>
      <protection locked="0"/>
    </xf>
    <xf numFmtId="49" fontId="6" fillId="0" borderId="35" xfId="37" applyNumberFormat="1" applyFont="1" applyBorder="1" applyAlignment="1">
      <alignment horizontal="center"/>
    </xf>
    <xf numFmtId="49" fontId="6" fillId="0" borderId="35" xfId="37" applyNumberFormat="1" applyFont="1" applyBorder="1" applyAlignment="1">
      <alignment horizontal="center" vertical="top"/>
    </xf>
    <xf numFmtId="0" fontId="3" fillId="0" borderId="0" xfId="37" applyAlignment="1" applyProtection="1">
      <alignment vertical="top"/>
      <protection locked="0"/>
    </xf>
    <xf numFmtId="0" fontId="3" fillId="0" borderId="0" xfId="37" applyAlignment="1">
      <alignment vertical="top"/>
    </xf>
    <xf numFmtId="0" fontId="6" fillId="0" borderId="35" xfId="36" applyFont="1" applyBorder="1" applyAlignment="1">
      <alignment horizontal="center" vertical="center"/>
    </xf>
    <xf numFmtId="49" fontId="6" fillId="0" borderId="35" xfId="36" applyNumberFormat="1" applyFont="1" applyBorder="1" applyAlignment="1" applyProtection="1">
      <alignment horizontal="left" vertical="center"/>
      <protection locked="0"/>
    </xf>
    <xf numFmtId="0" fontId="6" fillId="0" borderId="36" xfId="36" applyFont="1" applyBorder="1" applyAlignment="1">
      <alignment vertical="center"/>
    </xf>
    <xf numFmtId="0" fontId="6" fillId="0" borderId="36" xfId="36" applyFont="1" applyBorder="1" applyAlignment="1">
      <alignment vertical="top"/>
    </xf>
    <xf numFmtId="49" fontId="6" fillId="0" borderId="0" xfId="53" applyNumberFormat="1" applyFont="1" applyAlignment="1" applyProtection="1">
      <alignment horizontal="left" vertical="top" wrapText="1"/>
      <protection locked="0"/>
    </xf>
    <xf numFmtId="49" fontId="34" fillId="0" borderId="35" xfId="37" applyNumberFormat="1" applyFont="1" applyBorder="1" applyAlignment="1">
      <alignment horizontal="left" vertical="center"/>
    </xf>
    <xf numFmtId="0" fontId="29" fillId="0" borderId="35" xfId="37" applyFont="1" applyBorder="1" applyAlignment="1">
      <alignment horizontal="left" vertical="center"/>
    </xf>
    <xf numFmtId="0" fontId="6" fillId="0" borderId="35" xfId="37" applyFont="1" applyBorder="1" applyAlignment="1">
      <alignment horizontal="left" vertical="center"/>
    </xf>
    <xf numFmtId="49" fontId="29" fillId="0" borderId="0" xfId="36" applyNumberFormat="1" applyFont="1" applyAlignment="1">
      <alignment horizontal="left"/>
    </xf>
    <xf numFmtId="0" fontId="29" fillId="0" borderId="0" xfId="36" applyFont="1"/>
    <xf numFmtId="49" fontId="6" fillId="0" borderId="0" xfId="36" applyNumberFormat="1" applyFont="1" applyAlignment="1">
      <alignment horizontal="left"/>
    </xf>
    <xf numFmtId="49" fontId="6" fillId="0" borderId="0" xfId="36" applyNumberFormat="1" applyFont="1" applyAlignment="1">
      <alignment horizontal="left" vertical="top"/>
    </xf>
    <xf numFmtId="0" fontId="3" fillId="0" borderId="35" xfId="36" applyBorder="1" applyAlignment="1">
      <alignment vertical="top" wrapText="1"/>
    </xf>
    <xf numFmtId="49" fontId="6" fillId="0" borderId="0" xfId="37" applyNumberFormat="1" applyFont="1"/>
    <xf numFmtId="0" fontId="6" fillId="0" borderId="0" xfId="36" applyFont="1" applyAlignment="1" applyProtection="1">
      <alignment horizontal="left" vertical="top"/>
      <protection locked="0"/>
    </xf>
    <xf numFmtId="49" fontId="6" fillId="0" borderId="0" xfId="54" applyNumberFormat="1" applyFont="1" applyAlignment="1">
      <alignment horizontal="left" vertical="top" wrapText="1"/>
    </xf>
    <xf numFmtId="49" fontId="6" fillId="0" borderId="0" xfId="54" applyNumberFormat="1" applyFont="1" applyAlignment="1" applyProtection="1">
      <alignment horizontal="left" vertical="top" wrapText="1"/>
      <protection locked="0"/>
    </xf>
    <xf numFmtId="0" fontId="6" fillId="0" borderId="36" xfId="36" applyFont="1" applyBorder="1" applyAlignment="1" applyProtection="1">
      <alignment vertical="top" wrapText="1"/>
      <protection locked="0"/>
    </xf>
    <xf numFmtId="49" fontId="6" fillId="0" borderId="0" xfId="37" applyNumberFormat="1" applyFont="1" applyAlignment="1">
      <alignment horizontal="center" vertical="top"/>
    </xf>
    <xf numFmtId="0" fontId="34" fillId="0" borderId="0" xfId="35" applyFont="1" applyProtection="1">
      <protection locked="0"/>
    </xf>
    <xf numFmtId="0" fontId="0" fillId="0" borderId="0" xfId="53" applyFont="1" applyProtection="1">
      <protection locked="0"/>
    </xf>
    <xf numFmtId="0" fontId="3" fillId="0" borderId="0" xfId="55" applyAlignment="1">
      <alignment vertical="center"/>
    </xf>
    <xf numFmtId="0" fontId="4" fillId="0" borderId="0" xfId="53" applyFont="1" applyProtection="1">
      <protection locked="0"/>
    </xf>
    <xf numFmtId="0" fontId="14" fillId="0" borderId="0" xfId="53" applyFont="1"/>
    <xf numFmtId="0" fontId="6" fillId="0" borderId="0" xfId="35" applyFont="1" applyAlignment="1" applyProtection="1">
      <alignment horizontal="center"/>
      <protection locked="0"/>
    </xf>
    <xf numFmtId="0" fontId="14" fillId="0" borderId="0" xfId="53" applyFont="1" applyProtection="1">
      <protection locked="0"/>
    </xf>
    <xf numFmtId="0" fontId="3" fillId="0" borderId="0" xfId="56" applyFont="1" applyAlignment="1">
      <alignment vertical="center" wrapText="1"/>
    </xf>
    <xf numFmtId="0" fontId="3" fillId="0" borderId="0" xfId="35" applyAlignment="1">
      <alignment vertical="top" wrapText="1"/>
    </xf>
    <xf numFmtId="0" fontId="29" fillId="0" borderId="0" xfId="35" applyFont="1" applyAlignment="1">
      <alignment horizontal="center"/>
    </xf>
    <xf numFmtId="164" fontId="6" fillId="0" borderId="0" xfId="37" applyNumberFormat="1" applyFont="1" applyAlignment="1">
      <alignment horizontal="left" vertical="top" wrapText="1"/>
    </xf>
    <xf numFmtId="0" fontId="4" fillId="23" borderId="44" xfId="0" applyFont="1" applyFill="1" applyBorder="1" applyAlignment="1">
      <alignment horizontal="left" vertical="top" wrapText="1"/>
    </xf>
    <xf numFmtId="0" fontId="80" fillId="23" borderId="23" xfId="0" applyFont="1" applyFill="1" applyBorder="1" applyAlignment="1">
      <alignment vertical="top" wrapText="1"/>
    </xf>
    <xf numFmtId="0" fontId="4" fillId="23" borderId="96" xfId="0" applyFont="1" applyFill="1" applyBorder="1" applyAlignment="1">
      <alignment horizontal="left" vertical="top" wrapText="1"/>
    </xf>
    <xf numFmtId="0" fontId="3" fillId="0" borderId="58" xfId="39" applyBorder="1" applyAlignment="1">
      <alignment horizontal="center"/>
    </xf>
    <xf numFmtId="0" fontId="0" fillId="0" borderId="11" xfId="0" applyBorder="1">
      <alignment vertical="center" wrapText="1"/>
    </xf>
    <xf numFmtId="0" fontId="4" fillId="23" borderId="44" xfId="41" applyFont="1" applyFill="1" applyBorder="1" applyAlignment="1">
      <alignment horizontal="left" vertical="top" wrapText="1"/>
    </xf>
    <xf numFmtId="0" fontId="19" fillId="23" borderId="27" xfId="41" applyFill="1" applyBorder="1">
      <alignment vertical="center" wrapText="1"/>
    </xf>
    <xf numFmtId="0" fontId="19" fillId="23" borderId="80" xfId="41" applyFill="1" applyBorder="1">
      <alignment vertical="center" wrapText="1"/>
    </xf>
    <xf numFmtId="0" fontId="3" fillId="0" borderId="0" xfId="57"/>
    <xf numFmtId="0" fontId="5" fillId="0" borderId="0" xfId="35" applyFont="1"/>
    <xf numFmtId="0" fontId="3" fillId="0" borderId="0" xfId="57" applyAlignment="1">
      <alignment wrapText="1"/>
    </xf>
    <xf numFmtId="0" fontId="31" fillId="0" borderId="0" xfId="57" applyFont="1" applyAlignment="1">
      <alignment wrapText="1"/>
    </xf>
    <xf numFmtId="0" fontId="29" fillId="0" borderId="98" xfId="54" applyFont="1" applyBorder="1" applyAlignment="1">
      <alignment horizontal="left" vertical="center" wrapText="1"/>
    </xf>
    <xf numFmtId="0" fontId="25" fillId="0" borderId="98" xfId="54" applyFont="1" applyBorder="1" applyAlignment="1">
      <alignment horizontal="center" vertical="center" wrapText="1"/>
    </xf>
    <xf numFmtId="0" fontId="3" fillId="0" borderId="0" xfId="57" applyAlignment="1">
      <alignment vertical="center"/>
    </xf>
    <xf numFmtId="0" fontId="6" fillId="0" borderId="0" xfId="35" applyFont="1" applyAlignment="1" applyProtection="1">
      <alignment horizontal="left" vertical="top" wrapText="1"/>
      <protection locked="0"/>
    </xf>
    <xf numFmtId="0" fontId="32" fillId="23" borderId="22" xfId="0" applyFont="1" applyFill="1" applyBorder="1" applyAlignment="1">
      <alignment vertical="top"/>
    </xf>
    <xf numFmtId="0" fontId="32" fillId="23" borderId="49" xfId="0" applyFont="1" applyFill="1" applyBorder="1" applyAlignment="1">
      <alignment vertical="top"/>
    </xf>
    <xf numFmtId="0" fontId="81" fillId="0" borderId="0" xfId="58" applyFont="1"/>
    <xf numFmtId="0" fontId="81" fillId="0" borderId="0" xfId="53" applyFont="1" applyProtection="1">
      <protection locked="0"/>
    </xf>
    <xf numFmtId="0" fontId="6" fillId="0" borderId="0" xfId="53" applyFont="1" applyProtection="1">
      <protection locked="0"/>
    </xf>
    <xf numFmtId="0" fontId="82" fillId="0" borderId="0" xfId="58" applyFont="1" applyAlignment="1">
      <alignment vertical="center"/>
    </xf>
    <xf numFmtId="0" fontId="81" fillId="0" borderId="0" xfId="58" applyFont="1" applyAlignment="1">
      <alignment horizontal="center"/>
    </xf>
    <xf numFmtId="0" fontId="25" fillId="0" borderId="0" xfId="54" applyFont="1" applyAlignment="1">
      <alignment horizontal="center" vertical="top" wrapText="1"/>
    </xf>
    <xf numFmtId="0" fontId="3" fillId="0" borderId="0" xfId="57" applyAlignment="1">
      <alignment horizontal="center"/>
    </xf>
    <xf numFmtId="0" fontId="6" fillId="0" borderId="0" xfId="35" applyFont="1" applyAlignment="1">
      <alignment horizontal="center" vertical="center" wrapText="1"/>
    </xf>
    <xf numFmtId="0" fontId="6" fillId="0" borderId="0" xfId="53" applyFont="1"/>
    <xf numFmtId="0" fontId="5"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4" fillId="23" borderId="11" xfId="0" applyFont="1" applyFill="1" applyBorder="1" applyAlignment="1">
      <alignment horizontal="left" vertical="top" wrapText="1"/>
    </xf>
    <xf numFmtId="0" fontId="14" fillId="0" borderId="11" xfId="0" applyFont="1" applyBorder="1" applyAlignment="1">
      <alignment horizontal="center" vertical="center" wrapText="1"/>
    </xf>
    <xf numFmtId="0" fontId="4" fillId="23" borderId="13" xfId="0" applyFont="1" applyFill="1" applyBorder="1" applyAlignment="1">
      <alignment horizontal="left" vertical="top" wrapText="1"/>
    </xf>
    <xf numFmtId="0" fontId="4" fillId="23" borderId="14" xfId="0" applyFont="1" applyFill="1" applyBorder="1" applyAlignment="1">
      <alignment horizontal="left" vertical="top" wrapText="1"/>
    </xf>
    <xf numFmtId="0" fontId="8" fillId="34" borderId="11" xfId="0" applyFont="1" applyFill="1" applyBorder="1" applyAlignment="1">
      <alignment horizontal="left" vertical="center"/>
    </xf>
    <xf numFmtId="0" fontId="5" fillId="34" borderId="11" xfId="0" applyFont="1" applyFill="1" applyBorder="1" applyAlignment="1">
      <alignment horizontal="left" vertical="center"/>
    </xf>
    <xf numFmtId="0" fontId="5" fillId="34" borderId="11" xfId="0" applyFont="1" applyFill="1" applyBorder="1" applyAlignment="1">
      <alignment horizontal="center" vertical="center" wrapText="1"/>
    </xf>
    <xf numFmtId="0" fontId="29" fillId="34" borderId="11" xfId="0" applyFont="1" applyFill="1" applyBorder="1" applyAlignment="1">
      <alignment horizontal="center" vertical="center" wrapText="1"/>
    </xf>
    <xf numFmtId="0" fontId="4" fillId="23" borderId="14" xfId="41" applyFont="1" applyFill="1" applyBorder="1" applyAlignment="1">
      <alignment horizontal="left" vertical="top" wrapText="1"/>
    </xf>
    <xf numFmtId="0" fontId="8" fillId="0" borderId="25" xfId="0" applyFont="1" applyBorder="1" applyAlignment="1">
      <alignment vertical="top" wrapText="1"/>
    </xf>
    <xf numFmtId="0" fontId="8" fillId="0" borderId="24" xfId="0" applyFont="1" applyBorder="1" applyAlignment="1">
      <alignment wrapText="1"/>
    </xf>
    <xf numFmtId="49" fontId="29" fillId="0" borderId="0" xfId="36" applyNumberFormat="1" applyFont="1" applyAlignment="1" applyProtection="1">
      <alignment horizontal="left" vertical="top" wrapText="1"/>
      <protection locked="0"/>
    </xf>
    <xf numFmtId="0" fontId="0" fillId="27" borderId="0" xfId="0" applyFill="1">
      <alignment vertical="center" wrapText="1"/>
    </xf>
    <xf numFmtId="0" fontId="14" fillId="27" borderId="0" xfId="0" applyFont="1" applyFill="1" applyAlignment="1">
      <alignment vertical="top"/>
    </xf>
    <xf numFmtId="17" fontId="4" fillId="29" borderId="11" xfId="0" applyNumberFormat="1" applyFont="1" applyFill="1" applyBorder="1" applyAlignment="1">
      <alignment horizontal="center" vertical="top" wrapText="1"/>
    </xf>
    <xf numFmtId="0" fontId="0" fillId="35" borderId="17" xfId="0" applyFill="1" applyBorder="1">
      <alignment vertical="center" wrapText="1"/>
    </xf>
    <xf numFmtId="0" fontId="4" fillId="0" borderId="11" xfId="0" applyFont="1" applyBorder="1">
      <alignment vertical="center" wrapText="1"/>
    </xf>
    <xf numFmtId="0" fontId="14" fillId="35" borderId="11" xfId="32" applyFont="1" applyFill="1" applyBorder="1" applyAlignment="1" applyProtection="1">
      <alignment vertical="center"/>
    </xf>
    <xf numFmtId="0" fontId="0" fillId="35" borderId="34" xfId="0" applyFill="1" applyBorder="1">
      <alignment vertical="center" wrapText="1"/>
    </xf>
    <xf numFmtId="0" fontId="0" fillId="36" borderId="17" xfId="0" applyFill="1" applyBorder="1">
      <alignment vertical="center" wrapText="1"/>
    </xf>
    <xf numFmtId="0" fontId="14" fillId="36" borderId="11" xfId="32" applyFont="1" applyFill="1" applyBorder="1" applyAlignment="1" applyProtection="1">
      <alignment vertical="center"/>
    </xf>
    <xf numFmtId="0" fontId="0" fillId="36" borderId="34" xfId="0" applyFill="1" applyBorder="1">
      <alignment vertical="center" wrapText="1"/>
    </xf>
    <xf numFmtId="0" fontId="0" fillId="36" borderId="39" xfId="0" applyFill="1" applyBorder="1">
      <alignment vertical="center" wrapText="1"/>
    </xf>
    <xf numFmtId="0" fontId="40" fillId="20" borderId="11" xfId="32" applyFont="1" applyFill="1" applyBorder="1" applyAlignment="1" applyProtection="1">
      <alignment vertical="center"/>
    </xf>
    <xf numFmtId="0" fontId="14" fillId="20" borderId="11" xfId="32" applyFont="1" applyFill="1" applyBorder="1" applyAlignment="1" applyProtection="1">
      <alignment vertical="center"/>
    </xf>
    <xf numFmtId="0" fontId="40" fillId="20" borderId="11" xfId="0" applyFont="1" applyFill="1" applyBorder="1" applyAlignment="1">
      <alignment vertical="center"/>
    </xf>
    <xf numFmtId="0" fontId="40" fillId="37" borderId="11" xfId="32" applyFont="1" applyFill="1" applyBorder="1" applyAlignment="1" applyProtection="1">
      <alignment vertical="center"/>
    </xf>
    <xf numFmtId="0" fontId="4" fillId="0" borderId="11" xfId="0" applyFont="1" applyBorder="1" applyAlignment="1">
      <alignment horizontal="left" vertical="center" wrapText="1"/>
    </xf>
    <xf numFmtId="0" fontId="4" fillId="38" borderId="11" xfId="0" applyFont="1" applyFill="1" applyBorder="1" applyAlignment="1">
      <alignment horizontal="left" vertical="center" wrapText="1"/>
    </xf>
    <xf numFmtId="0" fontId="14" fillId="0" borderId="11" xfId="0" applyFont="1" applyBorder="1">
      <alignment vertical="center" wrapText="1"/>
    </xf>
    <xf numFmtId="0" fontId="34" fillId="27" borderId="11" xfId="0" applyFont="1" applyFill="1" applyBorder="1" applyAlignment="1">
      <alignment horizontal="center" vertical="center" wrapText="1"/>
    </xf>
    <xf numFmtId="0" fontId="26" fillId="0" borderId="11" xfId="0" applyFont="1" applyBorder="1" applyAlignment="1">
      <alignment horizontal="center" vertical="center"/>
    </xf>
    <xf numFmtId="0" fontId="0" fillId="27" borderId="0" xfId="0" applyFill="1" applyAlignment="1">
      <alignment vertical="top"/>
    </xf>
    <xf numFmtId="0" fontId="75" fillId="27" borderId="0" xfId="0" applyFont="1" applyFill="1" applyAlignment="1">
      <alignment horizontal="center" vertical="top" wrapText="1"/>
    </xf>
    <xf numFmtId="0" fontId="4" fillId="0" borderId="68" xfId="0" applyFont="1" applyBorder="1">
      <alignment vertical="center" wrapText="1"/>
    </xf>
    <xf numFmtId="0" fontId="19" fillId="23" borderId="82" xfId="41" applyFill="1" applyBorder="1">
      <alignment vertical="center" wrapText="1"/>
    </xf>
    <xf numFmtId="164" fontId="8" fillId="0" borderId="0" xfId="42" applyNumberFormat="1" applyFont="1" applyAlignment="1">
      <alignment horizontal="center" vertical="center"/>
    </xf>
    <xf numFmtId="0" fontId="3" fillId="0" borderId="0" xfId="37" applyAlignment="1" applyProtection="1">
      <alignment horizontal="center" vertical="center"/>
      <protection locked="0"/>
    </xf>
    <xf numFmtId="0" fontId="3" fillId="0" borderId="0" xfId="36" applyAlignment="1" applyProtection="1">
      <alignment horizontal="center" vertical="center"/>
      <protection locked="0"/>
    </xf>
    <xf numFmtId="0" fontId="6" fillId="0" borderId="26" xfId="0" applyFont="1" applyBorder="1" applyAlignment="1">
      <alignment horizontal="left" vertical="top" wrapText="1"/>
    </xf>
    <xf numFmtId="0" fontId="3" fillId="31" borderId="104" xfId="39" applyFill="1" applyBorder="1"/>
    <xf numFmtId="0" fontId="14" fillId="0" borderId="0" xfId="0" applyFont="1" applyAlignment="1">
      <alignment vertical="center"/>
    </xf>
    <xf numFmtId="0" fontId="7" fillId="0" borderId="0" xfId="0" applyFont="1" applyAlignment="1">
      <alignment vertical="center"/>
    </xf>
    <xf numFmtId="0" fontId="0" fillId="0" borderId="0" xfId="37" applyFont="1" applyAlignment="1" applyProtection="1">
      <alignment horizontal="center" vertical="top" wrapText="1"/>
      <protection locked="0"/>
    </xf>
    <xf numFmtId="0" fontId="8" fillId="0" borderId="0" xfId="0" applyFont="1">
      <alignment vertical="center" wrapText="1"/>
    </xf>
    <xf numFmtId="0" fontId="0" fillId="0" borderId="0" xfId="37" applyFont="1" applyAlignment="1">
      <alignment vertical="top" wrapText="1"/>
    </xf>
    <xf numFmtId="0" fontId="87" fillId="0" borderId="0" xfId="0" applyFont="1" applyAlignment="1">
      <alignment vertical="center"/>
    </xf>
    <xf numFmtId="1" fontId="3" fillId="0" borderId="0" xfId="37" applyNumberFormat="1" applyAlignment="1" applyProtection="1">
      <alignment horizontal="center"/>
      <protection locked="0"/>
    </xf>
    <xf numFmtId="1" fontId="6" fillId="0" borderId="64" xfId="0" applyNumberFormat="1" applyFont="1" applyBorder="1" applyAlignment="1">
      <alignment horizontal="center" vertical="center" wrapText="1"/>
    </xf>
    <xf numFmtId="1" fontId="6" fillId="0" borderId="64" xfId="0" applyNumberFormat="1" applyFont="1" applyBorder="1" applyAlignment="1">
      <alignment horizontal="center" vertical="top" wrapText="1"/>
    </xf>
    <xf numFmtId="1" fontId="6" fillId="0" borderId="0" xfId="37" applyNumberFormat="1" applyFont="1" applyAlignment="1">
      <alignment horizontal="center"/>
    </xf>
    <xf numFmtId="0" fontId="36" fillId="0" borderId="47" xfId="0" applyFont="1" applyBorder="1" applyAlignment="1">
      <alignment horizontal="right" vertical="center" wrapText="1"/>
    </xf>
    <xf numFmtId="0" fontId="0" fillId="0" borderId="27" xfId="0" applyBorder="1" applyAlignment="1">
      <alignment horizontal="right" vertical="center" wrapText="1"/>
    </xf>
    <xf numFmtId="0" fontId="8" fillId="40" borderId="11" xfId="0" applyFont="1" applyFill="1" applyBorder="1" applyAlignment="1">
      <alignment horizontal="center" vertical="center" wrapText="1"/>
    </xf>
    <xf numFmtId="0" fontId="0" fillId="0" borderId="69" xfId="0" applyBorder="1" applyAlignment="1" applyProtection="1">
      <alignment horizontal="center" vertical="center" wrapText="1"/>
      <protection locked="0"/>
    </xf>
    <xf numFmtId="0" fontId="0" fillId="0" borderId="106" xfId="0" applyBorder="1" applyAlignment="1" applyProtection="1">
      <alignment horizontal="center" vertical="center" wrapText="1"/>
      <protection locked="0"/>
    </xf>
    <xf numFmtId="0" fontId="3" fillId="0" borderId="0" xfId="39" applyAlignment="1">
      <alignment horizontal="center"/>
    </xf>
    <xf numFmtId="0" fontId="3" fillId="0" borderId="0" xfId="0" applyFont="1" applyAlignment="1">
      <alignment horizontal="center" vertical="center" wrapText="1"/>
    </xf>
    <xf numFmtId="0" fontId="3" fillId="31" borderId="111" xfId="39" applyFill="1" applyBorder="1"/>
    <xf numFmtId="0" fontId="14" fillId="0" borderId="0" xfId="0" applyFont="1" applyAlignment="1">
      <alignment horizontal="right" wrapText="1"/>
    </xf>
    <xf numFmtId="0" fontId="14" fillId="0" borderId="0" xfId="39" applyFont="1" applyAlignment="1">
      <alignment horizontal="right"/>
    </xf>
    <xf numFmtId="0" fontId="14" fillId="32" borderId="113" xfId="39" applyFont="1" applyFill="1" applyBorder="1" applyAlignment="1">
      <alignment horizontal="center"/>
    </xf>
    <xf numFmtId="0" fontId="14" fillId="31" borderId="114" xfId="39" applyFont="1" applyFill="1" applyBorder="1" applyAlignment="1">
      <alignment horizontal="center"/>
    </xf>
    <xf numFmtId="0" fontId="14" fillId="39" borderId="114" xfId="39" applyFont="1" applyFill="1" applyBorder="1" applyAlignment="1">
      <alignment horizontal="center"/>
    </xf>
    <xf numFmtId="0" fontId="14" fillId="39" borderId="107" xfId="39" applyFont="1" applyFill="1" applyBorder="1" applyAlignment="1">
      <alignment horizontal="center"/>
    </xf>
    <xf numFmtId="0" fontId="14" fillId="32" borderId="115" xfId="39" applyFont="1" applyFill="1" applyBorder="1" applyAlignment="1">
      <alignment horizontal="center"/>
    </xf>
    <xf numFmtId="0" fontId="14" fillId="31" borderId="11" xfId="39" applyFont="1" applyFill="1" applyBorder="1" applyAlignment="1">
      <alignment horizontal="center"/>
    </xf>
    <xf numFmtId="0" fontId="14" fillId="39" borderId="52" xfId="39" applyFont="1" applyFill="1" applyBorder="1" applyAlignment="1">
      <alignment horizontal="center"/>
    </xf>
    <xf numFmtId="0" fontId="14" fillId="0" borderId="115" xfId="39" applyFont="1" applyBorder="1" applyAlignment="1">
      <alignment horizontal="center"/>
    </xf>
    <xf numFmtId="0" fontId="14" fillId="32" borderId="11" xfId="39" applyFont="1" applyFill="1" applyBorder="1" applyAlignment="1">
      <alignment horizontal="center"/>
    </xf>
    <xf numFmtId="0" fontId="14" fillId="31" borderId="52" xfId="39" applyFont="1" applyFill="1" applyBorder="1" applyAlignment="1">
      <alignment horizontal="center"/>
    </xf>
    <xf numFmtId="0" fontId="14" fillId="0" borderId="55" xfId="39" applyFont="1" applyBorder="1" applyAlignment="1">
      <alignment horizontal="center"/>
    </xf>
    <xf numFmtId="0" fontId="14" fillId="0" borderId="56" xfId="39" applyFont="1" applyBorder="1" applyAlignment="1">
      <alignment horizontal="center"/>
    </xf>
    <xf numFmtId="0" fontId="14" fillId="32" borderId="58" xfId="39" applyFont="1" applyFill="1" applyBorder="1" applyAlignment="1">
      <alignment horizontal="center"/>
    </xf>
    <xf numFmtId="0" fontId="0" fillId="0" borderId="0" xfId="37" applyFont="1" applyAlignment="1" applyProtection="1">
      <alignment horizontal="center" vertical="center" wrapText="1"/>
      <protection locked="0"/>
    </xf>
    <xf numFmtId="0" fontId="0" fillId="35" borderId="118" xfId="0" applyFill="1" applyBorder="1">
      <alignment vertical="center" wrapText="1"/>
    </xf>
    <xf numFmtId="0" fontId="92" fillId="0" borderId="0" xfId="32" applyFont="1" applyAlignment="1" applyProtection="1">
      <alignment vertical="center" wrapText="1"/>
    </xf>
    <xf numFmtId="0" fontId="34" fillId="0" borderId="0" xfId="0" applyFont="1" applyAlignment="1">
      <alignment vertical="center"/>
    </xf>
    <xf numFmtId="164" fontId="35" fillId="0" borderId="0" xfId="37" applyNumberFormat="1" applyFont="1" applyAlignment="1">
      <alignment horizontal="center" vertical="center"/>
    </xf>
    <xf numFmtId="164" fontId="50" fillId="26" borderId="0" xfId="37" applyNumberFormat="1" applyFont="1" applyFill="1" applyAlignment="1">
      <alignment horizontal="center" vertical="center"/>
    </xf>
    <xf numFmtId="0" fontId="6" fillId="0" borderId="0" xfId="37" applyFont="1" applyAlignment="1" applyProtection="1">
      <alignment horizontal="center" vertical="center"/>
      <protection locked="0"/>
    </xf>
    <xf numFmtId="0" fontId="13" fillId="0" borderId="0" xfId="0" applyFont="1" applyAlignment="1">
      <alignment horizontal="center" vertical="center"/>
    </xf>
    <xf numFmtId="0" fontId="4" fillId="23" borderId="11" xfId="0" applyFont="1" applyFill="1" applyBorder="1" applyAlignment="1" applyProtection="1">
      <alignment horizontal="center" vertical="top" wrapText="1"/>
      <protection locked="0"/>
    </xf>
    <xf numFmtId="0" fontId="32" fillId="23" borderId="63" xfId="0" applyFont="1" applyFill="1" applyBorder="1" applyAlignment="1" applyProtection="1">
      <alignment vertical="top"/>
      <protection locked="0"/>
    </xf>
    <xf numFmtId="0" fontId="4" fillId="23" borderId="15" xfId="0" applyFont="1" applyFill="1" applyBorder="1" applyAlignment="1" applyProtection="1">
      <alignment horizontal="center" vertical="top" wrapText="1"/>
      <protection locked="0"/>
    </xf>
    <xf numFmtId="0" fontId="32" fillId="23" borderId="0" xfId="0" applyFont="1" applyFill="1" applyAlignment="1" applyProtection="1">
      <alignment horizontal="center" vertical="top"/>
      <protection locked="0"/>
    </xf>
    <xf numFmtId="0" fontId="4" fillId="23" borderId="23" xfId="0" applyFont="1" applyFill="1" applyBorder="1" applyAlignment="1" applyProtection="1">
      <alignment horizontal="center" vertical="top" wrapText="1"/>
      <protection locked="0"/>
    </xf>
    <xf numFmtId="0" fontId="32" fillId="23" borderId="0" xfId="41" applyFont="1" applyFill="1" applyAlignment="1" applyProtection="1">
      <alignment horizontal="center" vertical="top"/>
      <protection locked="0"/>
    </xf>
    <xf numFmtId="0" fontId="4" fillId="23" borderId="11" xfId="41" applyFont="1" applyFill="1" applyBorder="1" applyAlignment="1" applyProtection="1">
      <alignment horizontal="center" vertical="top" wrapText="1"/>
      <protection locked="0"/>
    </xf>
    <xf numFmtId="0" fontId="5" fillId="22" borderId="120" xfId="39" applyFont="1" applyFill="1" applyBorder="1" applyAlignment="1" applyProtection="1">
      <alignment horizontal="center" vertical="center"/>
      <protection locked="0"/>
    </xf>
    <xf numFmtId="0" fontId="8" fillId="0" borderId="120" xfId="39" applyFont="1" applyBorder="1" applyAlignment="1">
      <alignment horizontal="left"/>
    </xf>
    <xf numFmtId="0" fontId="36" fillId="0" borderId="53" xfId="32" applyFont="1" applyBorder="1" applyAlignment="1" applyProtection="1">
      <alignment vertical="center" wrapText="1"/>
    </xf>
    <xf numFmtId="0" fontId="3" fillId="0" borderId="120" xfId="39" applyBorder="1" applyAlignment="1">
      <alignment horizontal="center"/>
    </xf>
    <xf numFmtId="0" fontId="26" fillId="22" borderId="120" xfId="39" applyFont="1" applyFill="1" applyBorder="1" applyAlignment="1" applyProtection="1">
      <alignment horizontal="center" vertical="center"/>
      <protection locked="0"/>
    </xf>
    <xf numFmtId="0" fontId="3" fillId="19" borderId="120" xfId="39" applyFill="1" applyBorder="1" applyAlignment="1">
      <alignment horizontal="center"/>
    </xf>
    <xf numFmtId="0" fontId="26" fillId="22" borderId="120" xfId="39" applyFont="1" applyFill="1" applyBorder="1" applyAlignment="1" applyProtection="1">
      <alignment horizontal="left" vertical="center"/>
      <protection locked="0"/>
    </xf>
    <xf numFmtId="0" fontId="3" fillId="0" borderId="121" xfId="39" applyBorder="1" applyAlignment="1">
      <alignment horizontal="center"/>
    </xf>
    <xf numFmtId="0" fontId="36" fillId="0" borderId="120" xfId="32" applyFont="1" applyBorder="1" applyAlignment="1" applyProtection="1">
      <alignment vertical="center" wrapText="1"/>
    </xf>
    <xf numFmtId="0" fontId="36" fillId="0" borderId="119" xfId="32" applyFont="1" applyBorder="1" applyAlignment="1" applyProtection="1">
      <alignment vertical="center" wrapText="1"/>
    </xf>
    <xf numFmtId="0" fontId="3" fillId="19" borderId="119" xfId="39" applyFill="1" applyBorder="1" applyAlignment="1">
      <alignment horizontal="center"/>
    </xf>
    <xf numFmtId="0" fontId="3" fillId="0" borderId="119" xfId="39" applyBorder="1" applyAlignment="1">
      <alignment horizontal="center"/>
    </xf>
    <xf numFmtId="0" fontId="26" fillId="22" borderId="119" xfId="39" applyFont="1" applyFill="1" applyBorder="1" applyAlignment="1" applyProtection="1">
      <alignment horizontal="center" vertical="center"/>
      <protection locked="0"/>
    </xf>
    <xf numFmtId="0" fontId="8" fillId="0" borderId="119" xfId="39" applyFont="1" applyBorder="1" applyAlignment="1">
      <alignment horizontal="left"/>
    </xf>
    <xf numFmtId="0" fontId="5" fillId="34" borderId="11" xfId="0" applyFont="1" applyFill="1" applyBorder="1" applyAlignment="1" applyProtection="1">
      <alignment horizontal="center" vertical="center" wrapText="1"/>
      <protection locked="0"/>
    </xf>
    <xf numFmtId="164" fontId="25" fillId="0" borderId="0" xfId="37" applyNumberFormat="1" applyFont="1" applyAlignment="1">
      <alignment horizontal="center" vertical="center"/>
    </xf>
    <xf numFmtId="0" fontId="6" fillId="0" borderId="0" xfId="36" applyFont="1" applyAlignment="1">
      <alignment vertical="center"/>
    </xf>
    <xf numFmtId="164" fontId="35" fillId="0" borderId="0" xfId="36" applyNumberFormat="1" applyFont="1" applyAlignment="1">
      <alignment horizontal="center" vertical="center"/>
    </xf>
    <xf numFmtId="164" fontId="35" fillId="0" borderId="35" xfId="37" applyNumberFormat="1" applyFont="1" applyBorder="1" applyAlignment="1">
      <alignment horizontal="center" vertical="center"/>
    </xf>
    <xf numFmtId="164" fontId="6" fillId="0" borderId="0" xfId="36" applyNumberFormat="1" applyFont="1" applyAlignment="1">
      <alignment horizontal="center" vertical="center"/>
    </xf>
    <xf numFmtId="0" fontId="3" fillId="0" borderId="0" xfId="37" applyAlignment="1" applyProtection="1">
      <alignment vertical="center"/>
      <protection locked="0"/>
    </xf>
    <xf numFmtId="164" fontId="3" fillId="0" borderId="0" xfId="37" applyNumberFormat="1" applyAlignment="1" applyProtection="1">
      <alignment vertical="center"/>
      <protection locked="0"/>
    </xf>
    <xf numFmtId="164" fontId="3" fillId="0" borderId="0" xfId="36" applyNumberFormat="1"/>
    <xf numFmtId="0" fontId="0" fillId="31" borderId="0" xfId="39" applyFont="1" applyFill="1" applyAlignment="1">
      <alignment horizontal="left" vertical="center" wrapText="1"/>
    </xf>
    <xf numFmtId="0" fontId="0" fillId="31" borderId="19" xfId="39" applyFont="1" applyFill="1" applyBorder="1" applyAlignment="1">
      <alignment horizontal="left" vertical="center" wrapText="1"/>
    </xf>
    <xf numFmtId="164" fontId="12" fillId="0" borderId="0" xfId="36" applyNumberFormat="1" applyFont="1" applyAlignment="1">
      <alignment horizontal="center"/>
    </xf>
    <xf numFmtId="164" fontId="6" fillId="0" borderId="0" xfId="36" applyNumberFormat="1" applyFont="1"/>
    <xf numFmtId="164" fontId="12" fillId="0" borderId="0" xfId="36" applyNumberFormat="1" applyFont="1"/>
    <xf numFmtId="164" fontId="3" fillId="0" borderId="0" xfId="37" applyNumberFormat="1"/>
    <xf numFmtId="164" fontId="3" fillId="0" borderId="0" xfId="37" applyNumberFormat="1" applyProtection="1">
      <protection locked="0"/>
    </xf>
    <xf numFmtId="0" fontId="0" fillId="0" borderId="0" xfId="39" applyFont="1" applyAlignment="1">
      <alignment horizontal="right" vertical="top" wrapText="1"/>
    </xf>
    <xf numFmtId="0" fontId="3" fillId="0" borderId="0" xfId="39" applyAlignment="1">
      <alignment horizontal="right"/>
    </xf>
    <xf numFmtId="0" fontId="0" fillId="0" borderId="0" xfId="39" applyFont="1" applyAlignment="1">
      <alignment horizontal="right" vertical="top"/>
    </xf>
    <xf numFmtId="0" fontId="3" fillId="31" borderId="112" xfId="39" applyFill="1" applyBorder="1"/>
    <xf numFmtId="0" fontId="3" fillId="31" borderId="105" xfId="39" applyFill="1" applyBorder="1"/>
    <xf numFmtId="14" fontId="3" fillId="0" borderId="0" xfId="39" applyNumberFormat="1"/>
    <xf numFmtId="14" fontId="8" fillId="0" borderId="0" xfId="0" applyNumberFormat="1" applyFont="1" applyAlignment="1">
      <alignment horizontal="center" vertical="center" wrapText="1"/>
    </xf>
    <xf numFmtId="0" fontId="14" fillId="39" borderId="0" xfId="0" applyFont="1" applyFill="1" applyAlignment="1">
      <alignment horizontal="center" vertical="center" wrapText="1"/>
    </xf>
    <xf numFmtId="0" fontId="14" fillId="31" borderId="0" xfId="0" applyFont="1" applyFill="1" applyAlignment="1">
      <alignment horizontal="center" vertical="center" wrapText="1"/>
    </xf>
    <xf numFmtId="0" fontId="93" fillId="0" borderId="0" xfId="0" applyFont="1" applyAlignment="1">
      <alignment vertical="center"/>
    </xf>
    <xf numFmtId="0" fontId="94" fillId="0" borderId="0" xfId="0" applyFont="1" applyAlignment="1">
      <alignment horizontal="center" vertical="center" wrapText="1"/>
    </xf>
    <xf numFmtId="0" fontId="22" fillId="0" borderId="0" xfId="34" applyAlignment="1">
      <alignment vertical="center"/>
    </xf>
    <xf numFmtId="0" fontId="8" fillId="31" borderId="119" xfId="0" applyFont="1" applyFill="1" applyBorder="1" applyAlignment="1">
      <alignment horizontal="left" vertical="center"/>
    </xf>
    <xf numFmtId="0" fontId="5" fillId="31" borderId="122" xfId="0" applyFont="1" applyFill="1" applyBorder="1" applyAlignment="1">
      <alignment horizontal="left" vertical="center"/>
    </xf>
    <xf numFmtId="0" fontId="5" fillId="31" borderId="0" xfId="0" applyFont="1" applyFill="1" applyAlignment="1">
      <alignment horizontal="center" vertical="center" wrapText="1"/>
    </xf>
    <xf numFmtId="0" fontId="5" fillId="31" borderId="119" xfId="0" applyFont="1" applyFill="1" applyBorder="1" applyAlignment="1" applyProtection="1">
      <alignment horizontal="center" vertical="center" wrapText="1"/>
      <protection locked="0"/>
    </xf>
    <xf numFmtId="0" fontId="5" fillId="31" borderId="119" xfId="0" applyFont="1" applyFill="1" applyBorder="1" applyAlignment="1">
      <alignment horizontal="center" vertical="center" wrapText="1"/>
    </xf>
    <xf numFmtId="0" fontId="29" fillId="31" borderId="119" xfId="0" applyFont="1" applyFill="1" applyBorder="1" applyAlignment="1">
      <alignment horizontal="center" vertical="center" wrapText="1"/>
    </xf>
    <xf numFmtId="0" fontId="32" fillId="23" borderId="63" xfId="0" applyFont="1" applyFill="1" applyBorder="1" applyAlignment="1">
      <alignment horizontal="center" vertical="top"/>
    </xf>
    <xf numFmtId="0" fontId="19" fillId="23" borderId="23" xfId="0" applyFont="1" applyFill="1" applyBorder="1" applyAlignment="1">
      <alignment horizontal="center" vertical="top"/>
    </xf>
    <xf numFmtId="0" fontId="32" fillId="23" borderId="16" xfId="0" applyFont="1" applyFill="1" applyBorder="1" applyAlignment="1">
      <alignment horizontal="center" vertical="top"/>
    </xf>
    <xf numFmtId="0" fontId="4" fillId="23" borderId="11" xfId="0" applyFont="1" applyFill="1" applyBorder="1" applyAlignment="1">
      <alignment horizontal="center" vertical="top" wrapText="1"/>
    </xf>
    <xf numFmtId="0" fontId="4" fillId="23" borderId="11" xfId="41" applyFont="1" applyFill="1" applyBorder="1" applyAlignment="1">
      <alignment horizontal="center" vertical="top" wrapText="1"/>
    </xf>
    <xf numFmtId="0" fontId="19" fillId="23" borderId="23" xfId="41" applyFill="1" applyBorder="1" applyAlignment="1">
      <alignment horizontal="center" vertical="top"/>
    </xf>
    <xf numFmtId="0" fontId="32" fillId="23" borderId="23" xfId="0" applyFont="1" applyFill="1" applyBorder="1" applyAlignment="1">
      <alignment horizontal="center" vertical="top"/>
    </xf>
    <xf numFmtId="0" fontId="19" fillId="23" borderId="14" xfId="0" applyFont="1" applyFill="1" applyBorder="1" applyAlignment="1">
      <alignment horizontal="center" vertical="top"/>
    </xf>
    <xf numFmtId="0" fontId="92" fillId="0" borderId="0" xfId="0" applyFont="1">
      <alignment vertical="center" wrapText="1"/>
    </xf>
    <xf numFmtId="0" fontId="0" fillId="0" borderId="119" xfId="0" applyBorder="1" applyAlignment="1">
      <alignment horizontal="center" vertical="center" wrapText="1"/>
    </xf>
    <xf numFmtId="14" fontId="0" fillId="0" borderId="0" xfId="0" applyNumberFormat="1" applyAlignment="1">
      <alignment horizontal="center" vertical="center" wrapText="1"/>
    </xf>
    <xf numFmtId="14" fontId="8" fillId="0" borderId="119" xfId="0" applyNumberFormat="1" applyFont="1" applyBorder="1" applyAlignment="1">
      <alignment horizontal="center" vertical="center" wrapText="1"/>
    </xf>
    <xf numFmtId="0" fontId="14" fillId="0" borderId="119" xfId="0" applyFont="1" applyBorder="1" applyAlignment="1">
      <alignment horizontal="center" vertical="center" wrapText="1"/>
    </xf>
    <xf numFmtId="0" fontId="14" fillId="32" borderId="119" xfId="0" applyFont="1" applyFill="1" applyBorder="1" applyAlignment="1">
      <alignment horizontal="center" vertical="center" wrapText="1"/>
    </xf>
    <xf numFmtId="0" fontId="14" fillId="31" borderId="119" xfId="0" applyFont="1" applyFill="1" applyBorder="1" applyAlignment="1">
      <alignment horizontal="center" vertical="center" wrapText="1"/>
    </xf>
    <xf numFmtId="0" fontId="14" fillId="39" borderId="119" xfId="0" applyFont="1" applyFill="1" applyBorder="1" applyAlignment="1">
      <alignment horizontal="center" vertical="center" wrapText="1"/>
    </xf>
    <xf numFmtId="0" fontId="95" fillId="0" borderId="0" xfId="0" applyFont="1" applyAlignment="1">
      <alignment vertical="center"/>
    </xf>
    <xf numFmtId="0" fontId="95" fillId="0" borderId="113" xfId="0" applyFont="1" applyBorder="1" applyAlignment="1">
      <alignment horizontal="center" vertical="center" wrapText="1"/>
    </xf>
    <xf numFmtId="0" fontId="96" fillId="0" borderId="124" xfId="0" applyFont="1" applyBorder="1">
      <alignment vertical="center" wrapText="1"/>
    </xf>
    <xf numFmtId="0" fontId="96" fillId="0" borderId="125" xfId="0" applyFont="1" applyBorder="1">
      <alignment vertical="center" wrapText="1"/>
    </xf>
    <xf numFmtId="0" fontId="96" fillId="0" borderId="0" xfId="0" applyFont="1" applyAlignment="1">
      <alignment vertical="center"/>
    </xf>
    <xf numFmtId="10" fontId="3" fillId="0" borderId="0" xfId="37" applyNumberFormat="1" applyProtection="1">
      <protection locked="0"/>
    </xf>
    <xf numFmtId="0" fontId="96" fillId="0" borderId="134" xfId="0" applyFont="1" applyBorder="1">
      <alignment vertical="center" wrapText="1"/>
    </xf>
    <xf numFmtId="0" fontId="96" fillId="0" borderId="135" xfId="0" applyFont="1" applyBorder="1">
      <alignment vertical="center" wrapText="1"/>
    </xf>
    <xf numFmtId="0" fontId="97" fillId="0" borderId="135" xfId="0" applyFont="1" applyBorder="1">
      <alignment vertical="center" wrapText="1"/>
    </xf>
    <xf numFmtId="0" fontId="97" fillId="0" borderId="136" xfId="0" applyFont="1" applyBorder="1">
      <alignment vertical="center" wrapText="1"/>
    </xf>
    <xf numFmtId="0" fontId="29" fillId="0" borderId="0" xfId="0" applyFont="1" applyAlignment="1">
      <alignment horizontal="center" vertical="center" wrapText="1"/>
    </xf>
    <xf numFmtId="0" fontId="0" fillId="0" borderId="108" xfId="0" applyBorder="1" applyAlignment="1" applyProtection="1">
      <alignment horizontal="center" vertical="center" wrapText="1"/>
      <protection locked="0"/>
    </xf>
    <xf numFmtId="0" fontId="0" fillId="0" borderId="109" xfId="0" applyBorder="1" applyAlignment="1" applyProtection="1">
      <alignment horizontal="center" vertical="center" wrapText="1"/>
      <protection locked="0"/>
    </xf>
    <xf numFmtId="0" fontId="0" fillId="0" borderId="76" xfId="0" applyBorder="1" applyAlignment="1">
      <alignment horizontal="center" vertical="center" wrapText="1"/>
    </xf>
    <xf numFmtId="0" fontId="4" fillId="0" borderId="24" xfId="0" applyFont="1" applyBorder="1">
      <alignment vertical="center" wrapText="1"/>
    </xf>
    <xf numFmtId="0" fontId="4" fillId="0" borderId="78" xfId="0" applyFont="1" applyBorder="1">
      <alignment vertical="center" wrapText="1"/>
    </xf>
    <xf numFmtId="0" fontId="19" fillId="0" borderId="0" xfId="0" applyFont="1" applyAlignment="1" applyProtection="1">
      <alignment horizontal="center" vertical="center" wrapText="1"/>
      <protection locked="0"/>
    </xf>
    <xf numFmtId="0" fontId="3" fillId="0" borderId="134" xfId="39" applyBorder="1" applyAlignment="1">
      <alignment horizontal="center"/>
    </xf>
    <xf numFmtId="0" fontId="0" fillId="0" borderId="134" xfId="0" applyBorder="1" applyAlignment="1">
      <alignment horizontal="center" vertical="center" wrapText="1"/>
    </xf>
    <xf numFmtId="0" fontId="81" fillId="0" borderId="0" xfId="58" applyFont="1" applyAlignment="1">
      <alignment horizontal="left"/>
    </xf>
    <xf numFmtId="0" fontId="3" fillId="0" borderId="0" xfId="35" applyAlignment="1">
      <alignment horizontal="left"/>
    </xf>
    <xf numFmtId="49" fontId="10" fillId="0" borderId="0" xfId="35" applyNumberFormat="1" applyFont="1" applyAlignment="1">
      <alignment vertical="top" wrapText="1"/>
    </xf>
    <xf numFmtId="49" fontId="3" fillId="0" borderId="0" xfId="35" applyNumberFormat="1" applyAlignment="1">
      <alignment vertical="top"/>
    </xf>
    <xf numFmtId="0" fontId="3" fillId="0" borderId="0" xfId="54" applyAlignment="1">
      <alignment horizontal="left" vertical="top"/>
    </xf>
    <xf numFmtId="0" fontId="3" fillId="0" borderId="0" xfId="57" applyAlignment="1">
      <alignment horizontal="left"/>
    </xf>
    <xf numFmtId="0" fontId="29" fillId="0" borderId="0" xfId="35" applyFont="1" applyAlignment="1">
      <alignment horizontal="left" vertical="center" wrapText="1"/>
    </xf>
    <xf numFmtId="0" fontId="5" fillId="0" borderId="0" xfId="35" applyFont="1" applyAlignment="1">
      <alignment horizontal="left"/>
    </xf>
    <xf numFmtId="0" fontId="10" fillId="0" borderId="0" xfId="35" applyFont="1" applyAlignment="1">
      <alignment horizontal="left" vertical="center"/>
    </xf>
    <xf numFmtId="0" fontId="29" fillId="0" borderId="0" xfId="35" applyFont="1" applyAlignment="1">
      <alignment vertical="center" wrapText="1"/>
    </xf>
    <xf numFmtId="0" fontId="3" fillId="0" borderId="0" xfId="53" applyAlignment="1">
      <alignment vertical="center"/>
    </xf>
    <xf numFmtId="0" fontId="29" fillId="0" borderId="0" xfId="35" applyFont="1" applyAlignment="1" applyProtection="1">
      <alignment vertical="center" wrapText="1"/>
      <protection locked="0"/>
    </xf>
    <xf numFmtId="0" fontId="3" fillId="0" borderId="0" xfId="57" applyAlignment="1" applyProtection="1">
      <alignment vertical="center"/>
      <protection locked="0"/>
    </xf>
    <xf numFmtId="0" fontId="25" fillId="0" borderId="98" xfId="54" applyFont="1" applyBorder="1" applyAlignment="1" applyProtection="1">
      <alignment horizontal="center" vertical="center" wrapText="1"/>
      <protection locked="0"/>
    </xf>
    <xf numFmtId="0" fontId="34" fillId="0" borderId="0" xfId="35" applyFont="1" applyAlignment="1">
      <alignment horizontal="left" vertical="center"/>
    </xf>
    <xf numFmtId="0" fontId="29" fillId="0" borderId="0" xfId="35" applyFont="1" applyAlignment="1">
      <alignment vertical="center"/>
    </xf>
    <xf numFmtId="0" fontId="6" fillId="0" borderId="0" xfId="35" applyFont="1" applyAlignment="1">
      <alignment horizontal="center" vertical="center"/>
    </xf>
    <xf numFmtId="0" fontId="29" fillId="0" borderId="0" xfId="35" applyFont="1" applyAlignment="1" applyProtection="1">
      <alignment vertical="center"/>
      <protection locked="0"/>
    </xf>
    <xf numFmtId="0" fontId="81" fillId="0" borderId="0" xfId="58" applyFont="1" applyAlignment="1">
      <alignment vertical="center"/>
    </xf>
    <xf numFmtId="0" fontId="85" fillId="0" borderId="0" xfId="35" applyFont="1" applyAlignment="1">
      <alignment vertical="center"/>
    </xf>
    <xf numFmtId="0" fontId="34" fillId="0" borderId="0" xfId="35" applyFont="1" applyAlignment="1">
      <alignment vertical="center"/>
    </xf>
    <xf numFmtId="0" fontId="0" fillId="0" borderId="24"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49" fontId="14" fillId="0" borderId="144" xfId="37" applyNumberFormat="1" applyFont="1" applyBorder="1" applyAlignment="1" applyProtection="1">
      <alignment horizontal="left"/>
      <protection locked="0"/>
    </xf>
    <xf numFmtId="0" fontId="6" fillId="0" borderId="145" xfId="37" applyFont="1" applyBorder="1" applyAlignment="1" applyProtection="1">
      <alignment horizontal="left" vertical="top" wrapText="1"/>
      <protection locked="0"/>
    </xf>
    <xf numFmtId="0" fontId="29" fillId="0" borderId="146" xfId="37" applyFont="1" applyBorder="1" applyAlignment="1" applyProtection="1">
      <alignment vertical="center" wrapText="1"/>
      <protection locked="0"/>
    </xf>
    <xf numFmtId="0" fontId="14" fillId="0" borderId="144" xfId="36" applyFont="1" applyBorder="1" applyAlignment="1" applyProtection="1">
      <alignment horizontal="left"/>
      <protection locked="0"/>
    </xf>
    <xf numFmtId="49" fontId="6" fillId="0" borderId="145" xfId="36" applyNumberFormat="1" applyFont="1" applyBorder="1" applyAlignment="1" applyProtection="1">
      <alignment horizontal="left" vertical="top" wrapText="1"/>
      <protection locked="0"/>
    </xf>
    <xf numFmtId="0" fontId="29" fillId="0" borderId="146" xfId="36" applyFont="1" applyBorder="1" applyAlignment="1" applyProtection="1">
      <alignment vertical="center" wrapText="1"/>
      <protection locked="0"/>
    </xf>
    <xf numFmtId="49" fontId="29" fillId="0" borderId="40" xfId="37" applyNumberFormat="1" applyFont="1" applyBorder="1" applyAlignment="1" applyProtection="1">
      <alignment horizontal="center"/>
      <protection locked="0"/>
    </xf>
    <xf numFmtId="0" fontId="14" fillId="0" borderId="0" xfId="37" applyFont="1" applyAlignment="1" applyProtection="1">
      <alignment horizontal="left"/>
      <protection locked="0"/>
    </xf>
    <xf numFmtId="0" fontId="29" fillId="0" borderId="34" xfId="37" applyFont="1" applyBorder="1" applyAlignment="1" applyProtection="1">
      <alignment vertical="center" wrapText="1"/>
      <protection locked="0"/>
    </xf>
    <xf numFmtId="0" fontId="29" fillId="0" borderId="40" xfId="36" applyFont="1" applyBorder="1" applyAlignment="1" applyProtection="1">
      <alignment horizontal="center"/>
      <protection locked="0"/>
    </xf>
    <xf numFmtId="49" fontId="14" fillId="0" borderId="0" xfId="36" applyNumberFormat="1" applyFont="1" applyAlignment="1" applyProtection="1">
      <alignment horizontal="left"/>
      <protection locked="0"/>
    </xf>
    <xf numFmtId="0" fontId="29" fillId="0" borderId="34" xfId="36" applyFont="1" applyBorder="1" applyAlignment="1" applyProtection="1">
      <alignment vertical="center" wrapText="1"/>
      <protection locked="0"/>
    </xf>
    <xf numFmtId="49" fontId="29" fillId="0" borderId="41" xfId="37" applyNumberFormat="1" applyFont="1" applyBorder="1" applyAlignment="1" applyProtection="1">
      <alignment horizontal="center" vertical="center"/>
      <protection locked="0"/>
    </xf>
    <xf numFmtId="0" fontId="6" fillId="0" borderId="97" xfId="37" applyFont="1" applyBorder="1" applyAlignment="1" applyProtection="1">
      <alignment horizontal="left" vertical="center"/>
      <protection locked="0"/>
    </xf>
    <xf numFmtId="0" fontId="14" fillId="0" borderId="17" xfId="37" applyFont="1" applyBorder="1" applyAlignment="1" applyProtection="1">
      <alignment horizontal="left" vertical="center"/>
      <protection locked="0"/>
    </xf>
    <xf numFmtId="0" fontId="29" fillId="0" borderId="41" xfId="36" applyFont="1" applyBorder="1" applyAlignment="1" applyProtection="1">
      <alignment horizontal="center" vertical="center"/>
      <protection locked="0"/>
    </xf>
    <xf numFmtId="49" fontId="6" fillId="0" borderId="97" xfId="36" applyNumberFormat="1" applyFont="1" applyBorder="1" applyAlignment="1" applyProtection="1">
      <alignment horizontal="left" vertical="center"/>
      <protection locked="0"/>
    </xf>
    <xf numFmtId="0" fontId="14" fillId="0" borderId="17" xfId="36" applyFont="1" applyBorder="1" applyAlignment="1" applyProtection="1">
      <alignment horizontal="left" vertical="center"/>
      <protection locked="0"/>
    </xf>
    <xf numFmtId="49" fontId="48" fillId="26" borderId="143" xfId="37" applyNumberFormat="1" applyFont="1" applyFill="1" applyBorder="1" applyAlignment="1" applyProtection="1">
      <alignment horizontal="left" vertical="center"/>
      <protection locked="0"/>
    </xf>
    <xf numFmtId="0" fontId="48" fillId="26" borderId="143" xfId="37" applyFont="1" applyFill="1" applyBorder="1" applyAlignment="1" applyProtection="1">
      <alignment horizontal="left" vertical="center"/>
      <protection locked="0"/>
    </xf>
    <xf numFmtId="0" fontId="49" fillId="26" borderId="143" xfId="37" applyFont="1" applyFill="1" applyBorder="1" applyAlignment="1" applyProtection="1">
      <alignment horizontal="left" vertical="center"/>
      <protection locked="0"/>
    </xf>
    <xf numFmtId="0" fontId="69" fillId="26" borderId="143" xfId="36" applyFont="1" applyFill="1" applyBorder="1" applyAlignment="1" applyProtection="1">
      <alignment horizontal="left" vertical="center"/>
      <protection locked="0"/>
    </xf>
    <xf numFmtId="49" fontId="69" fillId="26" borderId="143" xfId="36" applyNumberFormat="1" applyFont="1" applyFill="1" applyBorder="1" applyAlignment="1" applyProtection="1">
      <alignment horizontal="left" vertical="center"/>
      <protection locked="0"/>
    </xf>
    <xf numFmtId="0" fontId="74" fillId="26" borderId="143" xfId="36" applyFont="1" applyFill="1" applyBorder="1" applyAlignment="1" applyProtection="1">
      <alignment horizontal="left" vertical="center"/>
      <protection locked="0"/>
    </xf>
    <xf numFmtId="0" fontId="6" fillId="0" borderId="35" xfId="36" applyFont="1" applyBorder="1" applyAlignment="1" applyProtection="1">
      <alignment horizontal="center"/>
      <protection locked="0"/>
    </xf>
    <xf numFmtId="0" fontId="6" fillId="0" borderId="35" xfId="36" applyFont="1" applyBorder="1" applyAlignment="1" applyProtection="1">
      <alignment horizontal="center" vertical="top"/>
      <protection locked="0"/>
    </xf>
    <xf numFmtId="49" fontId="29" fillId="0" borderId="35" xfId="36" applyNumberFormat="1" applyFont="1" applyBorder="1" applyAlignment="1" applyProtection="1">
      <alignment horizontal="left" vertical="top" wrapText="1"/>
      <protection locked="0"/>
    </xf>
    <xf numFmtId="0" fontId="12" fillId="0" borderId="35" xfId="36" applyFont="1" applyBorder="1" applyAlignment="1" applyProtection="1">
      <alignment vertical="top" wrapText="1"/>
      <protection locked="0"/>
    </xf>
    <xf numFmtId="0" fontId="99" fillId="0" borderId="35" xfId="36" applyFont="1" applyBorder="1" applyAlignment="1" applyProtection="1">
      <alignment vertical="top" wrapText="1"/>
      <protection locked="0"/>
    </xf>
    <xf numFmtId="0" fontId="78" fillId="0" borderId="35" xfId="36" applyFont="1" applyBorder="1" applyAlignment="1" applyProtection="1">
      <alignment vertical="top" wrapText="1"/>
      <protection locked="0"/>
    </xf>
    <xf numFmtId="0" fontId="77" fillId="0" borderId="59" xfId="0" applyFont="1" applyBorder="1">
      <alignment vertical="center" wrapText="1"/>
    </xf>
    <xf numFmtId="0" fontId="78" fillId="0" borderId="36" xfId="36" applyFont="1" applyBorder="1" applyAlignment="1" applyProtection="1">
      <alignment vertical="top" wrapText="1"/>
      <protection locked="0"/>
    </xf>
    <xf numFmtId="49" fontId="6" fillId="0" borderId="35" xfId="36" applyNumberFormat="1" applyFont="1" applyBorder="1" applyAlignment="1" applyProtection="1">
      <alignment vertical="top" wrapText="1"/>
      <protection locked="0"/>
    </xf>
    <xf numFmtId="49" fontId="6" fillId="0" borderId="35" xfId="37" applyNumberFormat="1" applyFont="1" applyBorder="1" applyAlignment="1" applyProtection="1">
      <alignment horizontal="center" vertical="top"/>
      <protection locked="0"/>
    </xf>
    <xf numFmtId="0" fontId="29" fillId="0" borderId="0" xfId="37" applyFont="1" applyAlignment="1" applyProtection="1">
      <alignment vertical="top"/>
      <protection locked="0"/>
    </xf>
    <xf numFmtId="49" fontId="6" fillId="0" borderId="35" xfId="37" applyNumberFormat="1" applyFont="1" applyBorder="1" applyAlignment="1" applyProtection="1">
      <alignment horizontal="center"/>
      <protection locked="0"/>
    </xf>
    <xf numFmtId="0" fontId="99" fillId="0" borderId="0" xfId="37" applyFont="1" applyAlignment="1" applyProtection="1">
      <alignment horizontal="left" vertical="top" wrapText="1"/>
      <protection locked="0"/>
    </xf>
    <xf numFmtId="0" fontId="6" fillId="0" borderId="0" xfId="37" applyFont="1" applyAlignment="1" applyProtection="1">
      <alignment vertical="top" wrapText="1"/>
      <protection locked="0"/>
    </xf>
    <xf numFmtId="0" fontId="6" fillId="0" borderId="35" xfId="37" applyFont="1" applyBorder="1" applyAlignment="1" applyProtection="1">
      <alignment horizontal="left" vertical="top" wrapText="1"/>
      <protection locked="0"/>
    </xf>
    <xf numFmtId="0" fontId="12" fillId="0" borderId="0" xfId="37" applyFont="1" applyAlignment="1" applyProtection="1">
      <alignment horizontal="left" vertical="top" wrapText="1"/>
      <protection locked="0"/>
    </xf>
    <xf numFmtId="49" fontId="29" fillId="0" borderId="0" xfId="36" applyNumberFormat="1" applyFont="1" applyAlignment="1" applyProtection="1">
      <alignment vertical="top"/>
      <protection locked="0"/>
    </xf>
    <xf numFmtId="0" fontId="6" fillId="0" borderId="35" xfId="36" applyFont="1" applyBorder="1" applyAlignment="1">
      <alignment horizontal="left" vertical="top" wrapText="1"/>
    </xf>
    <xf numFmtId="0" fontId="99" fillId="0" borderId="36" xfId="37" applyFont="1" applyBorder="1" applyAlignment="1">
      <alignment wrapText="1"/>
    </xf>
    <xf numFmtId="0" fontId="0" fillId="0" borderId="59" xfId="0" applyBorder="1">
      <alignment vertical="center" wrapText="1"/>
    </xf>
    <xf numFmtId="49" fontId="12" fillId="0" borderId="35" xfId="36" applyNumberFormat="1" applyFont="1" applyBorder="1" applyAlignment="1" applyProtection="1">
      <alignment horizontal="left" vertical="top" wrapText="1"/>
      <protection locked="0"/>
    </xf>
    <xf numFmtId="49" fontId="6" fillId="0" borderId="35" xfId="36" applyNumberFormat="1" applyFont="1" applyBorder="1" applyAlignment="1">
      <alignment vertical="top" wrapText="1"/>
    </xf>
    <xf numFmtId="49" fontId="6" fillId="0" borderId="35" xfId="36" applyNumberFormat="1" applyFont="1" applyBorder="1"/>
    <xf numFmtId="0" fontId="12" fillId="0" borderId="0" xfId="0" applyFont="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47" fillId="0" borderId="35" xfId="36" applyFont="1" applyBorder="1" applyAlignment="1">
      <alignment vertical="top" wrapText="1"/>
    </xf>
    <xf numFmtId="0" fontId="29" fillId="0" borderId="35" xfId="36" applyFont="1" applyBorder="1" applyAlignment="1">
      <alignment vertical="top" wrapText="1"/>
    </xf>
    <xf numFmtId="2" fontId="4" fillId="0" borderId="35" xfId="36" applyNumberFormat="1" applyFont="1" applyBorder="1" applyAlignment="1">
      <alignment horizontal="center"/>
    </xf>
    <xf numFmtId="0" fontId="99" fillId="0" borderId="35" xfId="36" applyFont="1" applyBorder="1"/>
    <xf numFmtId="49" fontId="6" fillId="0" borderId="0" xfId="53" applyNumberFormat="1" applyFont="1" applyAlignment="1" applyProtection="1">
      <alignment horizontal="center" vertical="top" wrapText="1"/>
      <protection locked="0"/>
    </xf>
    <xf numFmtId="0" fontId="29" fillId="0" borderId="35" xfId="37" applyFont="1" applyBorder="1" applyAlignment="1" applyProtection="1">
      <alignment vertical="top"/>
      <protection locked="0"/>
    </xf>
    <xf numFmtId="0" fontId="6" fillId="0" borderId="35" xfId="37" applyFont="1" applyBorder="1"/>
    <xf numFmtId="49" fontId="29" fillId="0" borderId="35" xfId="37" applyNumberFormat="1" applyFont="1" applyBorder="1" applyAlignment="1" applyProtection="1">
      <alignment horizontal="center"/>
      <protection locked="0"/>
    </xf>
    <xf numFmtId="0" fontId="29" fillId="0" borderId="35" xfId="36" applyFont="1" applyBorder="1" applyAlignment="1" applyProtection="1">
      <alignment horizontal="center"/>
      <protection locked="0"/>
    </xf>
    <xf numFmtId="49" fontId="6" fillId="0" borderId="0" xfId="36" applyNumberFormat="1" applyFont="1"/>
    <xf numFmtId="49" fontId="3" fillId="0" borderId="35" xfId="37" applyNumberFormat="1" applyBorder="1"/>
    <xf numFmtId="0" fontId="3" fillId="0" borderId="35" xfId="36" applyBorder="1"/>
    <xf numFmtId="0" fontId="29" fillId="0" borderId="0" xfId="36" applyFont="1" applyAlignment="1" applyProtection="1">
      <alignment horizontal="center"/>
      <protection locked="0"/>
    </xf>
    <xf numFmtId="0" fontId="6" fillId="0" borderId="36" xfId="36" applyFont="1" applyBorder="1" applyAlignment="1">
      <alignment wrapText="1"/>
    </xf>
    <xf numFmtId="0" fontId="0" fillId="0" borderId="59" xfId="0" applyBorder="1" applyAlignment="1">
      <alignment vertical="top" wrapText="1"/>
    </xf>
    <xf numFmtId="0" fontId="29" fillId="0" borderId="0" xfId="36" applyFont="1" applyAlignment="1" applyProtection="1">
      <alignment vertical="top" wrapText="1"/>
      <protection locked="0"/>
    </xf>
    <xf numFmtId="49" fontId="99" fillId="0" borderId="35" xfId="36" applyNumberFormat="1" applyFont="1" applyBorder="1" applyAlignment="1" applyProtection="1">
      <alignment horizontal="left" vertical="top" wrapText="1"/>
      <protection locked="0"/>
    </xf>
    <xf numFmtId="0" fontId="29" fillId="0" borderId="35" xfId="36" applyFont="1" applyBorder="1" applyAlignment="1" applyProtection="1">
      <alignment vertical="top" wrapText="1"/>
      <protection locked="0"/>
    </xf>
    <xf numFmtId="0" fontId="6" fillId="0" borderId="0" xfId="36" applyFont="1" applyAlignment="1" applyProtection="1">
      <alignment horizontal="center" vertical="top"/>
      <protection locked="0"/>
    </xf>
    <xf numFmtId="49" fontId="34" fillId="0" borderId="35" xfId="37" applyNumberFormat="1" applyFont="1" applyBorder="1" applyAlignment="1" applyProtection="1">
      <alignment horizontal="left" vertical="center"/>
      <protection locked="0"/>
    </xf>
    <xf numFmtId="49" fontId="34" fillId="0" borderId="147" xfId="37" applyNumberFormat="1" applyFont="1" applyBorder="1" applyAlignment="1" applyProtection="1">
      <alignment horizontal="left" vertical="center"/>
      <protection locked="0"/>
    </xf>
    <xf numFmtId="0" fontId="29" fillId="0" borderId="147" xfId="37" applyFont="1" applyBorder="1" applyAlignment="1" applyProtection="1">
      <alignment horizontal="left" vertical="center"/>
      <protection locked="0"/>
    </xf>
    <xf numFmtId="0" fontId="6" fillId="0" borderId="147" xfId="37" applyFont="1" applyBorder="1" applyAlignment="1" applyProtection="1">
      <alignment horizontal="left" vertical="center"/>
      <protection locked="0"/>
    </xf>
    <xf numFmtId="49" fontId="29" fillId="0" borderId="0" xfId="36" applyNumberFormat="1" applyFont="1"/>
    <xf numFmtId="49" fontId="12" fillId="0" borderId="0" xfId="36" applyNumberFormat="1" applyFont="1"/>
    <xf numFmtId="0" fontId="6" fillId="0" borderId="0" xfId="36" applyFont="1" applyAlignment="1">
      <alignment wrapText="1"/>
    </xf>
    <xf numFmtId="49" fontId="34" fillId="0" borderId="36" xfId="37" applyNumberFormat="1" applyFont="1" applyBorder="1" applyAlignment="1" applyProtection="1">
      <alignment horizontal="left" vertical="center"/>
      <protection locked="0"/>
    </xf>
    <xf numFmtId="0" fontId="6" fillId="0" borderId="36" xfId="37" applyFont="1" applyBorder="1" applyAlignment="1" applyProtection="1">
      <alignment horizontal="left" vertical="center"/>
      <protection locked="0"/>
    </xf>
    <xf numFmtId="0" fontId="95" fillId="0" borderId="0" xfId="36" applyFont="1"/>
    <xf numFmtId="49" fontId="6" fillId="0" borderId="0" xfId="36" applyNumberFormat="1" applyFont="1" applyAlignment="1" applyProtection="1">
      <alignment vertical="top"/>
      <protection locked="0"/>
    </xf>
    <xf numFmtId="0" fontId="48" fillId="26" borderId="143" xfId="36" applyFont="1" applyFill="1" applyBorder="1" applyAlignment="1" applyProtection="1">
      <alignment horizontal="left" vertical="center"/>
      <protection locked="0"/>
    </xf>
    <xf numFmtId="0" fontId="75" fillId="0" borderId="0" xfId="35" applyFont="1" applyAlignment="1" applyProtection="1">
      <alignment vertical="top" wrapText="1"/>
      <protection locked="0"/>
    </xf>
    <xf numFmtId="0" fontId="35" fillId="0" borderId="0" xfId="35" applyFont="1" applyAlignment="1" applyProtection="1">
      <alignment horizontal="center" vertical="top" wrapText="1"/>
      <protection locked="0"/>
    </xf>
    <xf numFmtId="0" fontId="100" fillId="0" borderId="0" xfId="35" applyFont="1" applyAlignment="1" applyProtection="1">
      <alignment vertical="top" wrapText="1"/>
      <protection locked="0"/>
    </xf>
    <xf numFmtId="49" fontId="6" fillId="0" borderId="0" xfId="54" applyNumberFormat="1" applyFont="1" applyAlignment="1">
      <alignment horizontal="center" vertical="top" wrapText="1"/>
    </xf>
    <xf numFmtId="49" fontId="6" fillId="0" borderId="0" xfId="54" applyNumberFormat="1" applyFont="1" applyAlignment="1" applyProtection="1">
      <alignment horizontal="center" vertical="top" wrapText="1"/>
      <protection locked="0"/>
    </xf>
    <xf numFmtId="0" fontId="6" fillId="0" borderId="0" xfId="54" applyFont="1" applyAlignment="1">
      <alignment horizontal="left" vertical="top" wrapText="1"/>
    </xf>
    <xf numFmtId="0" fontId="6" fillId="0" borderId="35" xfId="36" applyFont="1" applyBorder="1" applyAlignment="1" applyProtection="1">
      <alignment horizontal="center" wrapText="1"/>
      <protection locked="0"/>
    </xf>
    <xf numFmtId="49" fontId="34" fillId="0" borderId="35" xfId="37" applyNumberFormat="1" applyFont="1" applyBorder="1" applyAlignment="1" applyProtection="1">
      <alignment horizontal="left" vertical="top" wrapText="1"/>
      <protection locked="0"/>
    </xf>
    <xf numFmtId="0" fontId="3" fillId="0" borderId="0" xfId="36" applyAlignment="1">
      <alignment vertical="top" wrapText="1"/>
    </xf>
    <xf numFmtId="0" fontId="0" fillId="0" borderId="0" xfId="0" applyAlignment="1">
      <alignment vertical="top" wrapText="1"/>
    </xf>
    <xf numFmtId="49" fontId="48" fillId="26" borderId="143" xfId="37" applyNumberFormat="1" applyFont="1" applyFill="1" applyBorder="1" applyAlignment="1" applyProtection="1">
      <alignment horizontal="left" vertical="top"/>
      <protection locked="0"/>
    </xf>
    <xf numFmtId="0" fontId="48" fillId="26" borderId="143" xfId="37" applyFont="1" applyFill="1" applyBorder="1" applyAlignment="1" applyProtection="1">
      <alignment horizontal="left" vertical="top"/>
      <protection locked="0"/>
    </xf>
    <xf numFmtId="0" fontId="49" fillId="26" borderId="143" xfId="37" applyFont="1" applyFill="1" applyBorder="1" applyAlignment="1" applyProtection="1">
      <alignment horizontal="left" vertical="top"/>
      <protection locked="0"/>
    </xf>
    <xf numFmtId="0" fontId="69" fillId="26" borderId="143" xfId="36" applyFont="1" applyFill="1" applyBorder="1" applyAlignment="1" applyProtection="1">
      <alignment horizontal="left" vertical="top"/>
      <protection locked="0"/>
    </xf>
    <xf numFmtId="0" fontId="29" fillId="0" borderId="145" xfId="37" applyFont="1" applyBorder="1" applyAlignment="1" applyProtection="1">
      <alignment vertical="top" wrapText="1"/>
      <protection locked="0"/>
    </xf>
    <xf numFmtId="0" fontId="0" fillId="0" borderId="145" xfId="0" applyBorder="1">
      <alignment vertical="center" wrapText="1"/>
    </xf>
    <xf numFmtId="49" fontId="102" fillId="0" borderId="0" xfId="37" applyNumberFormat="1" applyFont="1" applyAlignment="1">
      <alignment vertical="center"/>
    </xf>
    <xf numFmtId="0" fontId="7" fillId="27" borderId="143" xfId="37" applyFont="1" applyFill="1" applyBorder="1" applyAlignment="1">
      <alignment horizontal="center" vertical="center"/>
    </xf>
    <xf numFmtId="0" fontId="0" fillId="0" borderId="0" xfId="36" applyFont="1" applyAlignment="1">
      <alignment vertical="top"/>
    </xf>
    <xf numFmtId="0" fontId="77" fillId="0" borderId="0" xfId="0" applyFont="1" applyAlignment="1">
      <alignment vertical="top" wrapText="1"/>
    </xf>
    <xf numFmtId="0" fontId="77" fillId="0" borderId="59" xfId="0" applyFont="1" applyBorder="1" applyAlignment="1">
      <alignment vertical="top" wrapText="1"/>
    </xf>
    <xf numFmtId="0" fontId="6" fillId="0" borderId="0" xfId="37" applyFont="1" applyAlignment="1">
      <alignment vertical="top"/>
    </xf>
    <xf numFmtId="0" fontId="3" fillId="0" borderId="0" xfId="0" applyFont="1">
      <alignment vertical="center" wrapText="1"/>
    </xf>
    <xf numFmtId="0" fontId="6" fillId="0" borderId="35" xfId="37" applyFont="1" applyBorder="1" applyAlignment="1" applyProtection="1">
      <alignment horizontal="left" vertical="top"/>
      <protection locked="0"/>
    </xf>
    <xf numFmtId="0" fontId="6" fillId="0" borderId="35" xfId="37" applyFont="1" applyBorder="1" applyAlignment="1">
      <alignment horizontal="left" vertical="center" wrapText="1"/>
    </xf>
    <xf numFmtId="0" fontId="6" fillId="0" borderId="35" xfId="37" applyFont="1" applyBorder="1" applyAlignment="1" applyProtection="1">
      <alignment horizontal="left" vertical="center" wrapText="1"/>
      <protection locked="0"/>
    </xf>
    <xf numFmtId="49" fontId="6" fillId="0" borderId="35" xfId="37" applyNumberFormat="1" applyFont="1" applyBorder="1" applyAlignment="1" applyProtection="1">
      <alignment horizontal="left" vertical="top"/>
      <protection locked="0"/>
    </xf>
    <xf numFmtId="0" fontId="29" fillId="0" borderId="35" xfId="37" applyFont="1" applyBorder="1" applyAlignment="1" applyProtection="1">
      <alignment horizontal="left" vertical="top"/>
      <protection locked="0"/>
    </xf>
    <xf numFmtId="49" fontId="48" fillId="26" borderId="143" xfId="37" applyNumberFormat="1" applyFont="1" applyFill="1" applyBorder="1" applyAlignment="1" applyProtection="1">
      <alignment vertical="top"/>
      <protection locked="0"/>
    </xf>
    <xf numFmtId="0" fontId="6" fillId="0" borderId="0" xfId="54" applyFont="1" applyAlignment="1" applyProtection="1">
      <alignment horizontal="center" vertical="top" wrapText="1"/>
      <protection locked="0"/>
    </xf>
    <xf numFmtId="0" fontId="12" fillId="0" borderId="0" xfId="36" applyFont="1" applyAlignment="1" applyProtection="1">
      <alignment vertical="top" wrapText="1"/>
      <protection locked="0"/>
    </xf>
    <xf numFmtId="0" fontId="99" fillId="0" borderId="0" xfId="36" applyFont="1" applyAlignment="1" applyProtection="1">
      <alignment vertical="top" wrapText="1"/>
      <protection locked="0"/>
    </xf>
    <xf numFmtId="0" fontId="85" fillId="0" borderId="0" xfId="35" applyFont="1" applyAlignment="1" applyProtection="1">
      <alignment vertical="top" wrapText="1"/>
      <protection locked="0"/>
    </xf>
    <xf numFmtId="0" fontId="35" fillId="0" borderId="0" xfId="35" applyFont="1" applyAlignment="1" applyProtection="1">
      <alignment vertical="top" wrapText="1"/>
      <protection locked="0"/>
    </xf>
    <xf numFmtId="49" fontId="48" fillId="0" borderId="0" xfId="37" applyNumberFormat="1" applyFont="1" applyAlignment="1" applyProtection="1">
      <alignment horizontal="left" vertical="center"/>
      <protection locked="0"/>
    </xf>
    <xf numFmtId="0" fontId="48" fillId="0" borderId="0" xfId="37" applyFont="1" applyAlignment="1" applyProtection="1">
      <alignment horizontal="left" vertical="center"/>
      <protection locked="0"/>
    </xf>
    <xf numFmtId="0" fontId="49" fillId="0" borderId="0" xfId="37" applyFont="1" applyAlignment="1" applyProtection="1">
      <alignment horizontal="left" vertical="center"/>
      <protection locked="0"/>
    </xf>
    <xf numFmtId="0" fontId="6" fillId="0" borderId="0" xfId="37" applyFont="1" applyAlignment="1" applyProtection="1">
      <alignment horizontal="left" vertical="center"/>
      <protection locked="0"/>
    </xf>
    <xf numFmtId="49" fontId="29" fillId="0" borderId="35" xfId="36" applyNumberFormat="1" applyFont="1" applyBorder="1" applyAlignment="1" applyProtection="1">
      <alignment vertical="center"/>
      <protection locked="0"/>
    </xf>
    <xf numFmtId="0" fontId="6" fillId="0" borderId="35" xfId="37" applyFont="1" applyBorder="1" applyAlignment="1">
      <alignment horizontal="left" vertical="top" wrapText="1"/>
    </xf>
    <xf numFmtId="49" fontId="29" fillId="0" borderId="0" xfId="37" applyNumberFormat="1" applyFont="1" applyAlignment="1" applyProtection="1">
      <alignment horizontal="center"/>
      <protection locked="0"/>
    </xf>
    <xf numFmtId="0" fontId="6" fillId="0" borderId="35" xfId="37" applyFont="1" applyBorder="1" applyAlignment="1">
      <alignment vertical="top" wrapText="1"/>
    </xf>
    <xf numFmtId="0" fontId="6" fillId="0" borderId="35" xfId="37" applyFont="1" applyBorder="1" applyAlignment="1">
      <alignment horizontal="left" vertical="top"/>
    </xf>
    <xf numFmtId="0" fontId="103" fillId="0" borderId="47" xfId="0" applyFont="1" applyBorder="1" applyAlignment="1">
      <alignment horizontal="right" vertical="center" wrapText="1"/>
    </xf>
    <xf numFmtId="0" fontId="103" fillId="0" borderId="27" xfId="0" applyFont="1" applyBorder="1" applyAlignment="1">
      <alignment horizontal="right" vertical="center" wrapText="1"/>
    </xf>
    <xf numFmtId="0" fontId="9" fillId="0" borderId="24" xfId="0" applyFont="1" applyBorder="1" applyAlignment="1">
      <alignment horizontal="center" vertical="center" wrapText="1"/>
    </xf>
    <xf numFmtId="0" fontId="30" fillId="23" borderId="47" xfId="0" applyFont="1" applyFill="1" applyBorder="1" applyAlignment="1">
      <alignment vertical="top"/>
    </xf>
    <xf numFmtId="0" fontId="80" fillId="23" borderId="42" xfId="0" applyFont="1" applyFill="1" applyBorder="1" applyAlignment="1">
      <alignment vertical="top" wrapText="1"/>
    </xf>
    <xf numFmtId="0" fontId="104" fillId="23" borderId="0" xfId="0" applyFont="1" applyFill="1" applyAlignment="1">
      <alignment vertical="top"/>
    </xf>
    <xf numFmtId="0" fontId="80" fillId="23" borderId="16" xfId="0" applyFont="1" applyFill="1" applyBorder="1" applyAlignment="1">
      <alignment vertical="top" wrapText="1"/>
    </xf>
    <xf numFmtId="0" fontId="104" fillId="23" borderId="0" xfId="41" applyFont="1" applyFill="1" applyAlignment="1">
      <alignment vertical="top"/>
    </xf>
    <xf numFmtId="0" fontId="104" fillId="23" borderId="29" xfId="0" applyFont="1" applyFill="1" applyBorder="1" applyAlignment="1">
      <alignment vertical="top"/>
    </xf>
    <xf numFmtId="0" fontId="80" fillId="0" borderId="0" xfId="0" applyFont="1">
      <alignment vertical="center" wrapText="1"/>
    </xf>
    <xf numFmtId="0" fontId="40" fillId="0" borderId="0" xfId="32" applyFont="1" applyAlignment="1" applyProtection="1">
      <alignment vertical="center" wrapText="1"/>
      <protection locked="0"/>
    </xf>
    <xf numFmtId="0" fontId="0" fillId="0" borderId="119" xfId="0" applyBorder="1" applyProtection="1">
      <alignment vertical="center" wrapText="1"/>
      <protection locked="0"/>
    </xf>
    <xf numFmtId="0" fontId="98" fillId="0" borderId="119" xfId="32" applyFont="1" applyBorder="1" applyAlignment="1" applyProtection="1">
      <alignment vertical="center" wrapText="1"/>
      <protection locked="0"/>
    </xf>
    <xf numFmtId="0" fontId="14" fillId="0" borderId="119" xfId="0" applyFont="1" applyBorder="1" applyAlignment="1" applyProtection="1">
      <alignment horizontal="center" vertical="center" wrapText="1"/>
      <protection locked="0"/>
    </xf>
    <xf numFmtId="0" fontId="40" fillId="0" borderId="115" xfId="32" applyFont="1" applyBorder="1" applyAlignment="1" applyProtection="1">
      <alignment vertical="center" wrapText="1"/>
      <protection locked="0"/>
    </xf>
    <xf numFmtId="0" fontId="40" fillId="0" borderId="123" xfId="32" applyFont="1" applyBorder="1" applyAlignment="1" applyProtection="1">
      <alignment vertical="center" wrapText="1"/>
      <protection locked="0"/>
    </xf>
    <xf numFmtId="0" fontId="0" fillId="0" borderId="124" xfId="0" applyBorder="1" applyProtection="1">
      <alignment vertical="center" wrapText="1"/>
      <protection locked="0"/>
    </xf>
    <xf numFmtId="0" fontId="98" fillId="0" borderId="124" xfId="32" applyFont="1" applyBorder="1" applyAlignment="1" applyProtection="1">
      <alignment vertical="center" wrapText="1"/>
      <protection locked="0"/>
    </xf>
    <xf numFmtId="0" fontId="14" fillId="0" borderId="124" xfId="0" applyFont="1" applyBorder="1" applyAlignment="1" applyProtection="1">
      <alignment horizontal="center" vertical="center" wrapText="1"/>
      <protection locked="0"/>
    </xf>
    <xf numFmtId="0" fontId="40" fillId="0" borderId="133" xfId="32" applyFont="1" applyBorder="1" applyAlignment="1" applyProtection="1">
      <alignment vertical="center" wrapText="1"/>
      <protection locked="0"/>
    </xf>
    <xf numFmtId="0" fontId="0" fillId="0" borderId="134" xfId="0" applyBorder="1" applyProtection="1">
      <alignment vertical="center" wrapText="1"/>
      <protection locked="0"/>
    </xf>
    <xf numFmtId="0" fontId="98" fillId="0" borderId="134" xfId="32" applyFont="1" applyBorder="1" applyAlignment="1" applyProtection="1">
      <alignment vertical="center" wrapText="1"/>
      <protection locked="0"/>
    </xf>
    <xf numFmtId="0" fontId="14" fillId="0" borderId="136" xfId="0" applyFont="1" applyBorder="1" applyAlignment="1" applyProtection="1">
      <alignment horizontal="center" vertical="center" wrapText="1"/>
      <protection locked="0"/>
    </xf>
    <xf numFmtId="0" fontId="0" fillId="0" borderId="135" xfId="0" applyBorder="1" applyProtection="1">
      <alignment vertical="center" wrapText="1"/>
      <protection locked="0"/>
    </xf>
    <xf numFmtId="0" fontId="98" fillId="0" borderId="135" xfId="32" applyFont="1" applyBorder="1" applyAlignment="1" applyProtection="1">
      <alignment vertical="center" wrapText="1"/>
      <protection locked="0"/>
    </xf>
    <xf numFmtId="0" fontId="14" fillId="0" borderId="125" xfId="0" applyFont="1" applyBorder="1" applyAlignment="1" applyProtection="1">
      <alignment horizontal="center" vertical="center" wrapText="1"/>
      <protection locked="0"/>
    </xf>
    <xf numFmtId="0" fontId="22" fillId="0" borderId="0" xfId="34" applyAlignment="1">
      <alignment horizontal="center"/>
    </xf>
    <xf numFmtId="0" fontId="19" fillId="0" borderId="0" xfId="0" applyFont="1" applyAlignment="1" applyProtection="1">
      <alignment horizontal="center" vertical="center"/>
      <protection locked="0"/>
    </xf>
    <xf numFmtId="0" fontId="4" fillId="0" borderId="149" xfId="0" applyFont="1" applyBorder="1">
      <alignment vertical="center" wrapText="1"/>
    </xf>
    <xf numFmtId="0" fontId="0" fillId="0" borderId="0" xfId="0" applyAlignment="1">
      <alignment horizontal="left" vertical="center" wrapText="1"/>
    </xf>
    <xf numFmtId="0" fontId="32" fillId="23" borderId="150" xfId="0" applyFont="1" applyFill="1" applyBorder="1" applyAlignment="1">
      <alignment vertical="center"/>
    </xf>
    <xf numFmtId="0" fontId="32" fillId="23" borderId="151" xfId="0" applyFont="1" applyFill="1" applyBorder="1" applyAlignment="1">
      <alignment vertical="top"/>
    </xf>
    <xf numFmtId="0" fontId="32" fillId="23" borderId="152" xfId="0" applyFont="1" applyFill="1" applyBorder="1" applyAlignment="1">
      <alignment vertical="top"/>
    </xf>
    <xf numFmtId="0" fontId="3" fillId="0" borderId="0" xfId="36" applyAlignment="1" applyProtection="1">
      <alignment horizontal="center"/>
      <protection locked="0"/>
    </xf>
    <xf numFmtId="0" fontId="8" fillId="0" borderId="43" xfId="0" applyFont="1" applyBorder="1" applyAlignment="1">
      <alignment horizontal="center" vertical="center" wrapText="1"/>
    </xf>
    <xf numFmtId="0" fontId="8" fillId="0" borderId="0" xfId="39" applyFont="1"/>
    <xf numFmtId="0" fontId="105" fillId="0" borderId="0" xfId="35" applyFont="1" applyAlignment="1" applyProtection="1">
      <alignment vertical="top" wrapText="1"/>
      <protection locked="0"/>
    </xf>
    <xf numFmtId="0" fontId="4" fillId="0" borderId="159" xfId="0" applyFont="1" applyBorder="1">
      <alignment vertical="center" wrapText="1"/>
    </xf>
    <xf numFmtId="0" fontId="88" fillId="0" borderId="159" xfId="0" applyFont="1" applyBorder="1">
      <alignment vertical="center" wrapText="1"/>
    </xf>
    <xf numFmtId="0" fontId="0" fillId="0" borderId="159" xfId="0" applyBorder="1" applyAlignment="1" applyProtection="1">
      <alignment horizontal="center" vertical="center" wrapText="1"/>
      <protection locked="0"/>
    </xf>
    <xf numFmtId="0" fontId="0" fillId="0" borderId="160" xfId="0" applyBorder="1" applyAlignment="1" applyProtection="1">
      <alignment horizontal="center" vertical="center" wrapText="1"/>
      <protection locked="0"/>
    </xf>
    <xf numFmtId="0" fontId="4" fillId="0" borderId="161" xfId="0" applyFont="1" applyBorder="1">
      <alignment vertical="center" wrapText="1"/>
    </xf>
    <xf numFmtId="0" fontId="4" fillId="0" borderId="158" xfId="0" applyFont="1" applyBorder="1">
      <alignment vertical="center" wrapText="1"/>
    </xf>
    <xf numFmtId="0" fontId="3" fillId="0" borderId="11" xfId="59" applyBorder="1" applyAlignment="1">
      <alignment horizontal="left" vertical="top" wrapText="1"/>
    </xf>
    <xf numFmtId="0" fontId="88" fillId="0" borderId="0" xfId="53" applyFont="1" applyAlignment="1" applyProtection="1">
      <alignment horizontal="center" vertical="top"/>
      <protection locked="0"/>
    </xf>
    <xf numFmtId="0" fontId="31" fillId="0" borderId="11" xfId="0" applyFont="1" applyBorder="1" applyAlignment="1">
      <alignment horizontal="center" vertical="center" wrapText="1"/>
    </xf>
    <xf numFmtId="0" fontId="14" fillId="0" borderId="0" xfId="0" applyFont="1">
      <alignment vertical="center" wrapText="1"/>
    </xf>
    <xf numFmtId="0" fontId="106" fillId="0" borderId="0" xfId="0" applyFont="1" applyAlignment="1">
      <alignment vertical="center"/>
    </xf>
    <xf numFmtId="0" fontId="87" fillId="0" borderId="0" xfId="0" applyFont="1">
      <alignment vertical="center" wrapText="1"/>
    </xf>
    <xf numFmtId="0" fontId="31" fillId="0" borderId="127" xfId="0" applyFont="1" applyBorder="1" applyAlignment="1">
      <alignment horizontal="center" vertical="center" wrapText="1"/>
    </xf>
    <xf numFmtId="0" fontId="31" fillId="0" borderId="107" xfId="0" applyFont="1" applyBorder="1" applyAlignment="1">
      <alignment horizontal="justify" vertical="center" wrapText="1"/>
    </xf>
    <xf numFmtId="0" fontId="31" fillId="0" borderId="97" xfId="0" applyFont="1" applyBorder="1" applyAlignment="1">
      <alignment horizontal="center" vertical="center" wrapText="1"/>
    </xf>
    <xf numFmtId="0" fontId="31" fillId="0" borderId="52" xfId="0" applyFont="1" applyBorder="1" applyAlignment="1">
      <alignment horizontal="justify" vertical="center" wrapText="1"/>
    </xf>
    <xf numFmtId="0" fontId="31" fillId="0" borderId="168" xfId="0" applyFont="1" applyBorder="1" applyAlignment="1">
      <alignment horizontal="center" vertical="center" wrapText="1"/>
    </xf>
    <xf numFmtId="0" fontId="31" fillId="0" borderId="52" xfId="0" applyFont="1" applyBorder="1" applyAlignment="1">
      <alignment horizontal="left" vertical="center" wrapText="1"/>
    </xf>
    <xf numFmtId="0" fontId="87" fillId="0" borderId="32" xfId="0" applyFont="1" applyBorder="1" applyAlignment="1">
      <alignment horizontal="center" vertical="center" wrapText="1"/>
    </xf>
    <xf numFmtId="0" fontId="87" fillId="0" borderId="55" xfId="0" applyFont="1" applyBorder="1" applyAlignment="1">
      <alignment horizontal="center" vertical="center" wrapText="1"/>
    </xf>
    <xf numFmtId="0" fontId="31" fillId="0" borderId="171" xfId="0" applyFont="1" applyBorder="1" applyAlignment="1">
      <alignment horizontal="center" vertical="center" wrapText="1"/>
    </xf>
    <xf numFmtId="0" fontId="107" fillId="0" borderId="58" xfId="0" applyFont="1" applyBorder="1" applyAlignment="1">
      <alignment horizontal="justify" vertical="center" wrapText="1"/>
    </xf>
    <xf numFmtId="0" fontId="7" fillId="0" borderId="0" xfId="59" applyFont="1"/>
    <xf numFmtId="0" fontId="3" fillId="0" borderId="0" xfId="59"/>
    <xf numFmtId="0" fontId="8" fillId="0" borderId="0" xfId="59" applyFont="1" applyAlignment="1">
      <alignment vertical="top" wrapText="1"/>
    </xf>
    <xf numFmtId="0" fontId="8" fillId="0" borderId="32" xfId="59" applyFont="1" applyBorder="1" applyAlignment="1">
      <alignment vertical="top" wrapText="1"/>
    </xf>
    <xf numFmtId="0" fontId="30" fillId="0" borderId="162" xfId="59" applyFont="1" applyBorder="1" applyAlignment="1">
      <alignment vertical="top" wrapText="1"/>
    </xf>
    <xf numFmtId="0" fontId="30" fillId="0" borderId="11" xfId="59" applyFont="1" applyBorder="1" applyAlignment="1">
      <alignment vertical="top" wrapText="1"/>
    </xf>
    <xf numFmtId="0" fontId="30" fillId="0" borderId="52" xfId="59" applyFont="1" applyBorder="1" applyAlignment="1">
      <alignment vertical="top" wrapText="1"/>
    </xf>
    <xf numFmtId="0" fontId="30" fillId="0" borderId="166" xfId="0" applyFont="1" applyBorder="1">
      <alignment vertical="center" wrapText="1"/>
    </xf>
    <xf numFmtId="0" fontId="3" fillId="0" borderId="153" xfId="59" applyBorder="1" applyAlignment="1">
      <alignment vertical="top" wrapText="1"/>
    </xf>
    <xf numFmtId="49" fontId="3" fillId="0" borderId="52" xfId="59" applyNumberFormat="1" applyBorder="1" applyAlignment="1">
      <alignment vertical="top" wrapText="1"/>
    </xf>
    <xf numFmtId="0" fontId="3" fillId="0" borderId="153" xfId="59" applyBorder="1" applyAlignment="1">
      <alignment horizontal="left" vertical="top" wrapText="1"/>
    </xf>
    <xf numFmtId="0" fontId="3" fillId="0" borderId="153" xfId="59" applyBorder="1" applyAlignment="1">
      <alignment vertical="top"/>
    </xf>
    <xf numFmtId="0" fontId="3" fillId="0" borderId="11" xfId="59" applyBorder="1" applyAlignment="1">
      <alignment vertical="top" wrapText="1"/>
    </xf>
    <xf numFmtId="0" fontId="3" fillId="0" borderId="153" xfId="59" applyBorder="1" applyAlignment="1">
      <alignment vertical="center" wrapText="1"/>
    </xf>
    <xf numFmtId="49" fontId="3" fillId="0" borderId="52" xfId="59" applyNumberFormat="1" applyBorder="1" applyAlignment="1">
      <alignment vertical="center" wrapText="1"/>
    </xf>
    <xf numFmtId="0" fontId="77" fillId="0" borderId="0" xfId="36" applyFont="1" applyAlignment="1">
      <alignment vertical="top"/>
    </xf>
    <xf numFmtId="0" fontId="92" fillId="0" borderId="0" xfId="0" applyFont="1" applyAlignment="1">
      <alignment vertical="center"/>
    </xf>
    <xf numFmtId="0" fontId="4" fillId="0" borderId="179" xfId="0" applyFont="1" applyBorder="1">
      <alignment vertical="center" wrapText="1"/>
    </xf>
    <xf numFmtId="0" fontId="8" fillId="40" borderId="0" xfId="0" applyFont="1" applyFill="1" applyAlignment="1">
      <alignment horizontal="center" vertical="center" wrapText="1"/>
    </xf>
    <xf numFmtId="0" fontId="0" fillId="0" borderId="0" xfId="0" applyAlignment="1" applyProtection="1">
      <alignment horizontal="center" vertical="center" wrapText="1"/>
      <protection locked="0"/>
    </xf>
    <xf numFmtId="0" fontId="0" fillId="0" borderId="153" xfId="59" applyFont="1" applyBorder="1" applyAlignment="1">
      <alignment vertical="top" wrapText="1"/>
    </xf>
    <xf numFmtId="0" fontId="0" fillId="23" borderId="34" xfId="0" applyFill="1" applyBorder="1">
      <alignment vertical="center" wrapText="1"/>
    </xf>
    <xf numFmtId="0" fontId="14" fillId="23" borderId="189" xfId="0" applyFont="1" applyFill="1" applyBorder="1" applyAlignment="1">
      <alignment horizontal="center" vertical="top"/>
    </xf>
    <xf numFmtId="0" fontId="80" fillId="23" borderId="190" xfId="0" applyFont="1" applyFill="1" applyBorder="1" applyAlignment="1">
      <alignment vertical="top" wrapText="1"/>
    </xf>
    <xf numFmtId="0" fontId="4" fillId="23" borderId="187" xfId="0" applyFont="1" applyFill="1" applyBorder="1" applyAlignment="1" applyProtection="1">
      <alignment horizontal="center" vertical="top" wrapText="1"/>
      <protection locked="0"/>
    </xf>
    <xf numFmtId="0" fontId="0" fillId="23" borderId="157" xfId="0" applyFill="1" applyBorder="1">
      <alignment vertical="center" wrapText="1"/>
    </xf>
    <xf numFmtId="0" fontId="4" fillId="23" borderId="187" xfId="0" applyFont="1" applyFill="1" applyBorder="1" applyAlignment="1">
      <alignment horizontal="left" vertical="top" wrapText="1"/>
    </xf>
    <xf numFmtId="0" fontId="4" fillId="23" borderId="186" xfId="41" applyFont="1" applyFill="1" applyBorder="1" applyAlignment="1">
      <alignment horizontal="left" vertical="top" wrapText="1"/>
    </xf>
    <xf numFmtId="0" fontId="4" fillId="23" borderId="191" xfId="0" applyFont="1" applyFill="1" applyBorder="1" applyAlignment="1">
      <alignment horizontal="left" vertical="top" wrapText="1"/>
    </xf>
    <xf numFmtId="0" fontId="4" fillId="23" borderId="192" xfId="0" applyFont="1" applyFill="1" applyBorder="1" applyAlignment="1">
      <alignment horizontal="left" vertical="top" wrapText="1"/>
    </xf>
    <xf numFmtId="0" fontId="4" fillId="23" borderId="194" xfId="0" applyFont="1" applyFill="1" applyBorder="1" applyAlignment="1">
      <alignment horizontal="left" vertical="top" wrapText="1"/>
    </xf>
    <xf numFmtId="0" fontId="4" fillId="23" borderId="187" xfId="41" applyFont="1" applyFill="1" applyBorder="1" applyAlignment="1" applyProtection="1">
      <alignment horizontal="center" vertical="top" wrapText="1"/>
      <protection locked="0"/>
    </xf>
    <xf numFmtId="14" fontId="4" fillId="23" borderId="187" xfId="41" applyNumberFormat="1" applyFont="1" applyFill="1" applyBorder="1" applyAlignment="1" applyProtection="1">
      <alignment horizontal="center" vertical="top" wrapText="1"/>
      <protection locked="0"/>
    </xf>
    <xf numFmtId="0" fontId="4" fillId="23" borderId="187" xfId="41" applyFont="1" applyFill="1" applyBorder="1" applyAlignment="1">
      <alignment vertical="top" wrapText="1"/>
    </xf>
    <xf numFmtId="0" fontId="4" fillId="23" borderId="187" xfId="41" applyFont="1" applyFill="1" applyBorder="1" applyAlignment="1">
      <alignment horizontal="center" vertical="top" wrapText="1"/>
    </xf>
    <xf numFmtId="49" fontId="4" fillId="23" borderId="187" xfId="41" applyNumberFormat="1" applyFont="1" applyFill="1" applyBorder="1" applyAlignment="1">
      <alignment vertical="top" wrapText="1"/>
    </xf>
    <xf numFmtId="1" fontId="4" fillId="23" borderId="187" xfId="41" applyNumberFormat="1" applyFont="1" applyFill="1" applyBorder="1" applyAlignment="1" applyProtection="1">
      <alignment horizontal="center" vertical="top" wrapText="1"/>
      <protection locked="0"/>
    </xf>
    <xf numFmtId="14" fontId="4" fillId="23" borderId="187" xfId="0" applyNumberFormat="1" applyFont="1" applyFill="1" applyBorder="1" applyAlignment="1" applyProtection="1">
      <alignment horizontal="center" vertical="top" wrapText="1"/>
      <protection locked="0"/>
    </xf>
    <xf numFmtId="0" fontId="4" fillId="23" borderId="187" xfId="0" applyFont="1" applyFill="1" applyBorder="1" applyAlignment="1">
      <alignment vertical="top" wrapText="1"/>
    </xf>
    <xf numFmtId="0" fontId="4" fillId="23" borderId="187" xfId="0" applyFont="1" applyFill="1" applyBorder="1" applyAlignment="1">
      <alignment horizontal="center" vertical="top" wrapText="1"/>
    </xf>
    <xf numFmtId="0" fontId="4" fillId="23" borderId="186" xfId="0" applyFont="1" applyFill="1" applyBorder="1" applyAlignment="1">
      <alignment horizontal="left" vertical="top" wrapText="1"/>
    </xf>
    <xf numFmtId="0" fontId="8" fillId="31" borderId="187" xfId="0" applyFont="1" applyFill="1" applyBorder="1" applyAlignment="1">
      <alignment horizontal="left" vertical="center"/>
    </xf>
    <xf numFmtId="0" fontId="5" fillId="31" borderId="186" xfId="0" applyFont="1" applyFill="1" applyBorder="1" applyAlignment="1">
      <alignment horizontal="left" vertical="center"/>
    </xf>
    <xf numFmtId="0" fontId="5" fillId="31" borderId="187" xfId="0" applyFont="1" applyFill="1" applyBorder="1" applyAlignment="1" applyProtection="1">
      <alignment horizontal="center" vertical="center" wrapText="1"/>
      <protection locked="0"/>
    </xf>
    <xf numFmtId="0" fontId="29" fillId="31" borderId="187" xfId="0" applyFont="1" applyFill="1" applyBorder="1" applyAlignment="1">
      <alignment horizontal="center" vertical="center" wrapText="1"/>
    </xf>
    <xf numFmtId="49" fontId="4" fillId="23" borderId="187" xfId="0" applyNumberFormat="1" applyFont="1" applyFill="1" applyBorder="1" applyAlignment="1">
      <alignment vertical="top" wrapText="1"/>
    </xf>
    <xf numFmtId="49" fontId="4" fillId="23" borderId="187" xfId="0" applyNumberFormat="1" applyFont="1" applyFill="1" applyBorder="1" applyAlignment="1">
      <alignment horizontal="center" vertical="top" wrapText="1"/>
    </xf>
    <xf numFmtId="49" fontId="4" fillId="23" borderId="187" xfId="0" applyNumberFormat="1" applyFont="1" applyFill="1" applyBorder="1" applyAlignment="1" applyProtection="1">
      <alignment horizontal="center" vertical="top" wrapText="1"/>
      <protection locked="0"/>
    </xf>
    <xf numFmtId="0" fontId="8" fillId="34" borderId="187" xfId="0" applyFont="1" applyFill="1" applyBorder="1" applyAlignment="1">
      <alignment horizontal="left" vertical="center"/>
    </xf>
    <xf numFmtId="0" fontId="5" fillId="34" borderId="186" xfId="0" applyFont="1" applyFill="1" applyBorder="1" applyAlignment="1">
      <alignment horizontal="left" vertical="center"/>
    </xf>
    <xf numFmtId="14" fontId="5" fillId="34" borderId="187" xfId="0" applyNumberFormat="1" applyFont="1" applyFill="1" applyBorder="1" applyAlignment="1" applyProtection="1">
      <alignment horizontal="center" vertical="center" wrapText="1"/>
      <protection locked="0"/>
    </xf>
    <xf numFmtId="0" fontId="29" fillId="34" borderId="187" xfId="0" applyFont="1" applyFill="1" applyBorder="1" applyAlignment="1">
      <alignment horizontal="center" vertical="center" wrapText="1"/>
    </xf>
    <xf numFmtId="0" fontId="29" fillId="34" borderId="187" xfId="0" applyFont="1" applyFill="1" applyBorder="1" applyAlignment="1" applyProtection="1">
      <alignment horizontal="center" vertical="center" wrapText="1"/>
      <protection locked="0"/>
    </xf>
    <xf numFmtId="0" fontId="11" fillId="23" borderId="187" xfId="0" applyFont="1" applyFill="1" applyBorder="1" applyAlignment="1">
      <alignment horizontal="center" vertical="top" wrapText="1"/>
    </xf>
    <xf numFmtId="0" fontId="4" fillId="23" borderId="187" xfId="0" applyFont="1" applyFill="1" applyBorder="1" applyAlignment="1" applyProtection="1">
      <alignment vertical="top" wrapText="1"/>
      <protection locked="0"/>
    </xf>
    <xf numFmtId="1" fontId="4" fillId="23" borderId="187" xfId="0" applyNumberFormat="1" applyFont="1" applyFill="1" applyBorder="1" applyAlignment="1" applyProtection="1">
      <alignment horizontal="center" vertical="top" wrapText="1"/>
      <protection locked="0"/>
    </xf>
    <xf numFmtId="0" fontId="32" fillId="23" borderId="180" xfId="0" applyFont="1" applyFill="1" applyBorder="1" applyAlignment="1">
      <alignment vertical="top"/>
    </xf>
    <xf numFmtId="0" fontId="40" fillId="23" borderId="195" xfId="32" applyFont="1" applyFill="1" applyBorder="1" applyAlignment="1" applyProtection="1">
      <alignment horizontal="center" vertical="center"/>
    </xf>
    <xf numFmtId="0" fontId="32" fillId="23" borderId="196" xfId="0" applyFont="1" applyFill="1" applyBorder="1" applyAlignment="1">
      <alignment vertical="top"/>
    </xf>
    <xf numFmtId="0" fontId="32" fillId="23" borderId="197" xfId="0" applyFont="1" applyFill="1" applyBorder="1" applyAlignment="1">
      <alignment vertical="top"/>
    </xf>
    <xf numFmtId="0" fontId="32" fillId="23" borderId="190" xfId="0" applyFont="1" applyFill="1" applyBorder="1" applyAlignment="1">
      <alignment vertical="top"/>
    </xf>
    <xf numFmtId="0" fontId="30" fillId="23" borderId="190" xfId="0" applyFont="1" applyFill="1" applyBorder="1" applyAlignment="1">
      <alignment vertical="top"/>
    </xf>
    <xf numFmtId="0" fontId="32" fillId="23" borderId="190" xfId="0" applyFont="1" applyFill="1" applyBorder="1" applyAlignment="1">
      <alignment horizontal="center" vertical="top"/>
    </xf>
    <xf numFmtId="0" fontId="4" fillId="23" borderId="198" xfId="0" applyFont="1" applyFill="1" applyBorder="1" applyAlignment="1">
      <alignment horizontal="left" vertical="top" wrapText="1"/>
    </xf>
    <xf numFmtId="0" fontId="32" fillId="23" borderId="199" xfId="0" applyFont="1" applyFill="1" applyBorder="1" applyAlignment="1">
      <alignment vertical="top"/>
    </xf>
    <xf numFmtId="0" fontId="4" fillId="23" borderId="200" xfId="0" applyFont="1" applyFill="1" applyBorder="1" applyAlignment="1">
      <alignment horizontal="left" vertical="top" wrapText="1"/>
    </xf>
    <xf numFmtId="49" fontId="6" fillId="0" borderId="0" xfId="35" applyNumberFormat="1" applyFont="1" applyAlignment="1" applyProtection="1">
      <alignment vertical="top" wrapText="1"/>
      <protection locked="0"/>
    </xf>
    <xf numFmtId="0" fontId="3" fillId="0" borderId="187" xfId="59" applyBorder="1" applyAlignment="1">
      <alignment vertical="center" wrapText="1"/>
    </xf>
    <xf numFmtId="0" fontId="3" fillId="0" borderId="177" xfId="59" applyBorder="1" applyAlignment="1">
      <alignment vertical="center" wrapText="1"/>
    </xf>
    <xf numFmtId="0" fontId="3" fillId="0" borderId="201" xfId="59" applyBorder="1" applyAlignment="1">
      <alignment horizontal="left" vertical="top" wrapText="1"/>
    </xf>
    <xf numFmtId="49" fontId="6" fillId="0" borderId="26" xfId="0" applyNumberFormat="1" applyFont="1" applyBorder="1" applyAlignment="1">
      <alignment horizontal="left" vertical="top" wrapText="1"/>
    </xf>
    <xf numFmtId="0" fontId="3" fillId="0" borderId="173" xfId="59" applyBorder="1" applyAlignment="1">
      <alignment vertical="top"/>
    </xf>
    <xf numFmtId="0" fontId="3" fillId="0" borderId="169" xfId="59" applyBorder="1" applyAlignment="1">
      <alignment vertical="top" wrapText="1"/>
    </xf>
    <xf numFmtId="0" fontId="87" fillId="0" borderId="203" xfId="0" applyFont="1" applyBorder="1" applyAlignment="1">
      <alignment horizontal="center" vertical="center" wrapText="1"/>
    </xf>
    <xf numFmtId="0" fontId="31" fillId="0" borderId="204" xfId="0" applyFont="1" applyBorder="1" applyAlignment="1">
      <alignment horizontal="center" vertical="center" wrapText="1"/>
    </xf>
    <xf numFmtId="0" fontId="31" fillId="0" borderId="205" xfId="0" applyFont="1" applyBorder="1" applyAlignment="1">
      <alignment horizontal="left" vertical="center" wrapText="1"/>
    </xf>
    <xf numFmtId="0" fontId="0" fillId="0" borderId="201" xfId="59" applyFont="1" applyBorder="1" applyAlignment="1">
      <alignment horizontal="left" vertical="top" wrapText="1"/>
    </xf>
    <xf numFmtId="0" fontId="32" fillId="23" borderId="208" xfId="0" applyFont="1" applyFill="1" applyBorder="1" applyAlignment="1">
      <alignment vertical="top"/>
    </xf>
    <xf numFmtId="0" fontId="32" fillId="23" borderId="209" xfId="0" applyFont="1" applyFill="1" applyBorder="1" applyAlignment="1">
      <alignment vertical="top"/>
    </xf>
    <xf numFmtId="0" fontId="32" fillId="23" borderId="210" xfId="0" applyFont="1" applyFill="1" applyBorder="1" applyAlignment="1">
      <alignment vertical="top"/>
    </xf>
    <xf numFmtId="0" fontId="14" fillId="23" borderId="189" xfId="41" applyFont="1" applyFill="1" applyBorder="1" applyAlignment="1">
      <alignment horizontal="center" vertical="top"/>
    </xf>
    <xf numFmtId="0" fontId="4" fillId="23" borderId="185" xfId="0" applyFont="1" applyFill="1" applyBorder="1" applyAlignment="1">
      <alignment horizontal="left" vertical="top" wrapText="1"/>
    </xf>
    <xf numFmtId="0" fontId="4" fillId="23" borderId="212" xfId="0" applyFont="1" applyFill="1" applyBorder="1" applyAlignment="1">
      <alignment horizontal="left" vertical="top" wrapText="1"/>
    </xf>
    <xf numFmtId="0" fontId="32" fillId="23" borderId="196" xfId="41" applyFont="1" applyFill="1" applyBorder="1" applyAlignment="1">
      <alignment vertical="center"/>
    </xf>
    <xf numFmtId="0" fontId="32" fillId="23" borderId="197" xfId="41" applyFont="1" applyFill="1" applyBorder="1" applyAlignment="1">
      <alignment vertical="top"/>
    </xf>
    <xf numFmtId="0" fontId="32" fillId="23" borderId="213" xfId="41" applyFont="1" applyFill="1" applyBorder="1" applyAlignment="1">
      <alignment vertical="top"/>
    </xf>
    <xf numFmtId="0" fontId="4" fillId="23" borderId="214" xfId="0" applyFont="1" applyFill="1" applyBorder="1" applyAlignment="1">
      <alignment horizontal="left" vertical="top" wrapText="1"/>
    </xf>
    <xf numFmtId="0" fontId="32" fillId="23" borderId="215" xfId="41" applyFont="1" applyFill="1" applyBorder="1" applyAlignment="1">
      <alignment vertical="top"/>
    </xf>
    <xf numFmtId="0" fontId="14" fillId="23" borderId="207" xfId="41" applyFont="1" applyFill="1" applyBorder="1" applyAlignment="1">
      <alignment horizontal="center" vertical="top"/>
    </xf>
    <xf numFmtId="0" fontId="19" fillId="23" borderId="216" xfId="41" applyFill="1" applyBorder="1">
      <alignment vertical="center" wrapText="1"/>
    </xf>
    <xf numFmtId="0" fontId="19" fillId="23" borderId="217" xfId="41" applyFill="1" applyBorder="1">
      <alignment vertical="center" wrapText="1"/>
    </xf>
    <xf numFmtId="0" fontId="34" fillId="0" borderId="187" xfId="0" applyFont="1" applyBorder="1" applyAlignment="1">
      <alignment horizontal="center" vertical="center" wrapText="1"/>
    </xf>
    <xf numFmtId="0" fontId="5" fillId="34" borderId="187" xfId="0" applyFont="1" applyFill="1" applyBorder="1" applyAlignment="1">
      <alignment horizontal="left" vertical="center"/>
    </xf>
    <xf numFmtId="0" fontId="4" fillId="23" borderId="187" xfId="61" applyFont="1" applyFill="1" applyBorder="1" applyAlignment="1">
      <alignment vertical="top" wrapText="1"/>
    </xf>
    <xf numFmtId="49" fontId="4" fillId="23" borderId="187" xfId="61" applyNumberFormat="1" applyFont="1" applyFill="1" applyBorder="1" applyAlignment="1">
      <alignment vertical="top" wrapText="1"/>
    </xf>
    <xf numFmtId="0" fontId="4" fillId="23" borderId="186" xfId="61" applyFont="1" applyFill="1" applyBorder="1" applyAlignment="1">
      <alignment horizontal="left" vertical="top" wrapText="1"/>
    </xf>
    <xf numFmtId="0" fontId="4" fillId="23" borderId="218" xfId="0" applyFont="1" applyFill="1" applyBorder="1">
      <alignment vertical="center" wrapText="1"/>
    </xf>
    <xf numFmtId="0" fontId="4" fillId="23" borderId="202" xfId="0" applyFont="1" applyFill="1" applyBorder="1" applyAlignment="1">
      <alignment horizontal="left" vertical="top" wrapText="1"/>
    </xf>
    <xf numFmtId="0" fontId="4" fillId="23" borderId="191" xfId="0" applyFont="1" applyFill="1" applyBorder="1" applyAlignment="1">
      <alignment horizontal="left" vertical="center" wrapText="1"/>
    </xf>
    <xf numFmtId="0" fontId="36" fillId="0" borderId="47" xfId="0" applyFont="1" applyBorder="1" applyAlignment="1">
      <alignment horizontal="left" vertical="center" wrapText="1"/>
    </xf>
    <xf numFmtId="0" fontId="0" fillId="0" borderId="27" xfId="0" applyBorder="1" applyAlignment="1">
      <alignment horizontal="left" vertical="center" wrapText="1"/>
    </xf>
    <xf numFmtId="0" fontId="32" fillId="23" borderId="47" xfId="0" applyFont="1" applyFill="1" applyBorder="1" applyAlignment="1">
      <alignment horizontal="left" vertical="top"/>
    </xf>
    <xf numFmtId="0" fontId="32" fillId="23" borderId="0" xfId="0" applyFont="1" applyFill="1" applyAlignment="1">
      <alignment horizontal="left" vertical="top"/>
    </xf>
    <xf numFmtId="0" fontId="32" fillId="23" borderId="190" xfId="0" applyFont="1" applyFill="1" applyBorder="1" applyAlignment="1">
      <alignment horizontal="left" vertical="top"/>
    </xf>
    <xf numFmtId="0" fontId="32" fillId="23" borderId="49" xfId="0" applyFont="1" applyFill="1" applyBorder="1" applyAlignment="1">
      <alignment horizontal="left" vertical="top"/>
    </xf>
    <xf numFmtId="0" fontId="32" fillId="23" borderId="42" xfId="0" applyFont="1" applyFill="1" applyBorder="1" applyAlignment="1">
      <alignment horizontal="left" vertical="top"/>
    </xf>
    <xf numFmtId="0" fontId="32" fillId="23" borderId="0" xfId="41" applyFont="1" applyFill="1" applyAlignment="1">
      <alignment horizontal="left" vertical="top"/>
    </xf>
    <xf numFmtId="0" fontId="4" fillId="0" borderId="0" xfId="0" applyFont="1" applyAlignment="1">
      <alignment horizontal="left" vertical="center" wrapText="1"/>
    </xf>
    <xf numFmtId="0" fontId="0" fillId="0" borderId="18" xfId="39" applyFont="1" applyBorder="1" applyAlignment="1">
      <alignment vertical="center"/>
    </xf>
    <xf numFmtId="0" fontId="3" fillId="0" borderId="163" xfId="39" applyBorder="1" applyAlignment="1">
      <alignment horizontal="center"/>
    </xf>
    <xf numFmtId="0" fontId="3" fillId="0" borderId="187" xfId="39" applyBorder="1" applyAlignment="1">
      <alignment horizontal="center"/>
    </xf>
    <xf numFmtId="0" fontId="0" fillId="0" borderId="187" xfId="0" applyBorder="1" applyAlignment="1">
      <alignment horizontal="center" vertical="center" wrapText="1"/>
    </xf>
    <xf numFmtId="0" fontId="3" fillId="0" borderId="186" xfId="39" applyBorder="1" applyAlignment="1">
      <alignment horizontal="center"/>
    </xf>
    <xf numFmtId="0" fontId="36" fillId="0" borderId="177" xfId="32" applyFont="1" applyBorder="1" applyAlignment="1" applyProtection="1">
      <alignment vertical="center" wrapText="1"/>
    </xf>
    <xf numFmtId="0" fontId="0" fillId="0" borderId="189" xfId="39" applyFont="1" applyBorder="1" applyAlignment="1">
      <alignment vertical="center"/>
    </xf>
    <xf numFmtId="0" fontId="31" fillId="0" borderId="0" xfId="0" applyFont="1" applyAlignment="1">
      <alignment horizontal="justify" vertical="center"/>
    </xf>
    <xf numFmtId="0" fontId="31" fillId="0" borderId="0" xfId="39" applyFont="1" applyAlignment="1">
      <alignment vertical="top" wrapText="1"/>
    </xf>
    <xf numFmtId="0" fontId="31" fillId="0" borderId="34" xfId="0" applyFont="1" applyBorder="1" applyAlignment="1">
      <alignment horizontal="left" vertical="center"/>
    </xf>
    <xf numFmtId="0" fontId="31" fillId="0" borderId="154" xfId="0" applyFont="1" applyBorder="1" applyAlignment="1">
      <alignment horizontal="justify" vertical="center"/>
    </xf>
    <xf numFmtId="0" fontId="36" fillId="0" borderId="120" xfId="32" applyFont="1" applyFill="1" applyBorder="1" applyAlignment="1" applyProtection="1">
      <alignment horizontal="left"/>
    </xf>
    <xf numFmtId="0" fontId="36" fillId="0" borderId="62" xfId="32" applyFont="1" applyFill="1" applyBorder="1" applyAlignment="1" applyProtection="1">
      <alignment horizontal="left"/>
    </xf>
    <xf numFmtId="0" fontId="36" fillId="0" borderId="120" xfId="32" applyFont="1" applyFill="1" applyBorder="1" applyAlignment="1" applyProtection="1">
      <alignment horizontal="center"/>
    </xf>
    <xf numFmtId="0" fontId="36" fillId="0" borderId="119" xfId="32" applyFont="1" applyFill="1" applyBorder="1" applyAlignment="1" applyProtection="1">
      <alignment horizontal="center"/>
    </xf>
    <xf numFmtId="0" fontId="8" fillId="0" borderId="0" xfId="0" applyFont="1" applyAlignment="1">
      <alignment horizontal="center" vertical="top" wrapText="1"/>
    </xf>
    <xf numFmtId="0" fontId="8" fillId="0" borderId="211" xfId="0" applyFont="1" applyBorder="1" applyAlignment="1">
      <alignment horizontal="center" vertical="center" wrapText="1"/>
    </xf>
    <xf numFmtId="0" fontId="6" fillId="0" borderId="39" xfId="0" applyFont="1" applyBorder="1" applyAlignment="1">
      <alignment horizontal="left" vertical="center" wrapText="1"/>
    </xf>
    <xf numFmtId="0" fontId="47" fillId="0" borderId="11" xfId="0" applyFont="1" applyBorder="1" applyAlignment="1">
      <alignment horizontal="left" vertical="center" wrapText="1"/>
    </xf>
    <xf numFmtId="0" fontId="6" fillId="0" borderId="0" xfId="0" applyFont="1" applyAlignment="1">
      <alignment horizontal="left" vertical="center" wrapText="1"/>
    </xf>
    <xf numFmtId="0" fontId="9" fillId="0" borderId="83" xfId="0" applyFont="1" applyBorder="1" applyAlignment="1">
      <alignment horizontal="left" vertical="center" wrapText="1"/>
    </xf>
    <xf numFmtId="0" fontId="3" fillId="0" borderId="201" xfId="59" applyBorder="1" applyAlignment="1">
      <alignment horizontal="left" vertical="center" wrapText="1"/>
    </xf>
    <xf numFmtId="49" fontId="3" fillId="0" borderId="201" xfId="59" applyNumberFormat="1" applyBorder="1" applyAlignment="1">
      <alignment horizontal="left" vertical="center" wrapText="1"/>
    </xf>
    <xf numFmtId="0" fontId="0" fillId="0" borderId="201" xfId="59" applyFont="1" applyBorder="1" applyAlignment="1">
      <alignment horizontal="left" vertical="center" wrapText="1"/>
    </xf>
    <xf numFmtId="49" fontId="0" fillId="0" borderId="201" xfId="59" applyNumberFormat="1" applyFont="1" applyBorder="1" applyAlignment="1">
      <alignment horizontal="left" vertical="center" wrapText="1"/>
    </xf>
    <xf numFmtId="0" fontId="8" fillId="0" borderId="0" xfId="0" applyFont="1" applyAlignment="1">
      <alignment horizontal="center" vertical="center" wrapText="1"/>
    </xf>
    <xf numFmtId="49" fontId="0" fillId="0" borderId="201" xfId="0" applyNumberFormat="1" applyBorder="1">
      <alignment vertical="center" wrapText="1"/>
    </xf>
    <xf numFmtId="0" fontId="0" fillId="0" borderId="201" xfId="0" applyBorder="1">
      <alignment vertical="center" wrapText="1"/>
    </xf>
    <xf numFmtId="0" fontId="14" fillId="0" borderId="201" xfId="59" applyFont="1" applyBorder="1" applyAlignment="1">
      <alignment horizontal="left" vertical="center" wrapText="1"/>
    </xf>
    <xf numFmtId="0" fontId="0" fillId="0" borderId="201" xfId="0" applyBorder="1" applyAlignment="1">
      <alignment horizontal="center" vertical="center" wrapText="1"/>
    </xf>
    <xf numFmtId="0" fontId="14" fillId="32" borderId="189" xfId="0" applyFont="1" applyFill="1" applyBorder="1" applyAlignment="1">
      <alignment horizontal="center" vertical="center"/>
    </xf>
    <xf numFmtId="0" fontId="4" fillId="0" borderId="201" xfId="0" applyFont="1" applyBorder="1">
      <alignment vertical="center" wrapText="1"/>
    </xf>
    <xf numFmtId="0" fontId="0" fillId="0" borderId="201" xfId="0" applyBorder="1" applyAlignment="1">
      <alignment horizontal="left" vertical="center" wrapText="1"/>
    </xf>
    <xf numFmtId="0" fontId="3" fillId="0" borderId="201" xfId="59" applyBorder="1" applyAlignment="1">
      <alignment horizontal="left" vertical="top"/>
    </xf>
    <xf numFmtId="0" fontId="0" fillId="0" borderId="201" xfId="59" applyFont="1" applyBorder="1" applyAlignment="1">
      <alignment horizontal="left" vertical="center"/>
    </xf>
    <xf numFmtId="0" fontId="3" fillId="0" borderId="201" xfId="59" applyBorder="1" applyAlignment="1">
      <alignment vertical="top" wrapText="1"/>
    </xf>
    <xf numFmtId="0" fontId="3" fillId="0" borderId="201" xfId="0" applyFont="1" applyBorder="1" applyAlignment="1">
      <alignment horizontal="left" vertical="center" wrapText="1"/>
    </xf>
    <xf numFmtId="0" fontId="4" fillId="0" borderId="201" xfId="0" applyFont="1" applyBorder="1" applyAlignment="1">
      <alignment horizontal="left" vertical="center" wrapText="1"/>
    </xf>
    <xf numFmtId="0" fontId="0" fillId="0" borderId="201" xfId="60" applyFont="1" applyBorder="1" applyAlignment="1">
      <alignment horizontal="left" vertical="center" wrapText="1"/>
    </xf>
    <xf numFmtId="0" fontId="14" fillId="32" borderId="201" xfId="0" applyFont="1" applyFill="1" applyBorder="1" applyAlignment="1">
      <alignment horizontal="center" vertical="center"/>
    </xf>
    <xf numFmtId="0" fontId="3" fillId="0" borderId="201" xfId="59" applyBorder="1" applyAlignment="1">
      <alignment vertical="top"/>
    </xf>
    <xf numFmtId="0" fontId="3" fillId="0" borderId="201" xfId="60" applyBorder="1" applyAlignment="1">
      <alignment horizontal="left" vertical="center" wrapText="1"/>
    </xf>
    <xf numFmtId="0" fontId="0" fillId="0" borderId="201" xfId="59" applyFont="1" applyBorder="1" applyAlignment="1">
      <alignment vertical="top"/>
    </xf>
    <xf numFmtId="0" fontId="77" fillId="0" borderId="201" xfId="59" applyFont="1" applyBorder="1" applyAlignment="1">
      <alignment horizontal="left" vertical="center" wrapText="1"/>
    </xf>
    <xf numFmtId="0" fontId="15" fillId="0" borderId="219" xfId="0" applyFont="1" applyBorder="1" applyAlignment="1">
      <alignment horizontal="center" vertical="center" wrapText="1"/>
    </xf>
    <xf numFmtId="0" fontId="4" fillId="0" borderId="220" xfId="0" applyFont="1" applyBorder="1">
      <alignment vertical="center" wrapText="1"/>
    </xf>
    <xf numFmtId="0" fontId="31" fillId="0" borderId="221" xfId="0" applyFont="1" applyBorder="1" applyAlignment="1">
      <alignment horizontal="center" vertical="center" wrapText="1"/>
    </xf>
    <xf numFmtId="0" fontId="31" fillId="0" borderId="205" xfId="0" applyFont="1" applyBorder="1" applyAlignment="1">
      <alignment horizontal="justify" vertical="center" wrapText="1"/>
    </xf>
    <xf numFmtId="0" fontId="0" fillId="0" borderId="0" xfId="0" applyAlignment="1">
      <alignment horizontal="left" vertical="center"/>
    </xf>
    <xf numFmtId="0" fontId="0" fillId="0" borderId="221" xfId="59" applyFont="1" applyBorder="1" applyAlignment="1">
      <alignment horizontal="left" vertical="top" wrapText="1"/>
    </xf>
    <xf numFmtId="0" fontId="3" fillId="0" borderId="221" xfId="59" applyBorder="1" applyAlignment="1">
      <alignment horizontal="left" vertical="top" wrapText="1"/>
    </xf>
    <xf numFmtId="0" fontId="4" fillId="0" borderId="0" xfId="0" applyFont="1" applyAlignment="1">
      <alignment horizontal="right" vertical="center" wrapText="1"/>
    </xf>
    <xf numFmtId="0" fontId="3" fillId="0" borderId="33" xfId="59" applyBorder="1" applyAlignment="1">
      <alignment vertical="center" wrapText="1"/>
    </xf>
    <xf numFmtId="0" fontId="3" fillId="0" borderId="32" xfId="59" applyBorder="1" applyAlignment="1">
      <alignment vertical="center" wrapText="1"/>
    </xf>
    <xf numFmtId="0" fontId="3" fillId="0" borderId="11" xfId="59" applyBorder="1" applyAlignment="1">
      <alignment vertical="center" wrapText="1"/>
    </xf>
    <xf numFmtId="0" fontId="3" fillId="0" borderId="11" xfId="59" applyBorder="1" applyAlignment="1">
      <alignment vertical="center"/>
    </xf>
    <xf numFmtId="0" fontId="3" fillId="0" borderId="52" xfId="59" applyBorder="1" applyAlignment="1">
      <alignment vertical="center" wrapText="1"/>
    </xf>
    <xf numFmtId="0" fontId="32" fillId="23" borderId="181" xfId="0" applyFont="1" applyFill="1" applyBorder="1" applyAlignment="1">
      <alignment vertical="top"/>
    </xf>
    <xf numFmtId="0" fontId="32" fillId="23" borderId="193" xfId="0" applyFont="1" applyFill="1" applyBorder="1" applyAlignment="1">
      <alignment vertical="top"/>
    </xf>
    <xf numFmtId="49" fontId="48" fillId="0" borderId="0" xfId="37" applyNumberFormat="1" applyFont="1" applyAlignment="1">
      <alignment horizontal="left" vertical="center"/>
    </xf>
    <xf numFmtId="0" fontId="32" fillId="23" borderId="224" xfId="0" applyFont="1" applyFill="1" applyBorder="1" applyAlignment="1">
      <alignment vertical="top"/>
    </xf>
    <xf numFmtId="0" fontId="32" fillId="23" borderId="225" xfId="0" applyFont="1" applyFill="1" applyBorder="1" applyAlignment="1">
      <alignment vertical="top"/>
    </xf>
    <xf numFmtId="0" fontId="32" fillId="23" borderId="213" xfId="0" applyFont="1" applyFill="1" applyBorder="1" applyAlignment="1">
      <alignment vertical="top"/>
    </xf>
    <xf numFmtId="0" fontId="4" fillId="23" borderId="221" xfId="0" applyFont="1" applyFill="1" applyBorder="1" applyAlignment="1">
      <alignment vertical="top" wrapText="1"/>
    </xf>
    <xf numFmtId="0" fontId="4" fillId="23" borderId="221" xfId="0" applyFont="1" applyFill="1" applyBorder="1" applyAlignment="1">
      <alignment horizontal="left" vertical="top" wrapText="1"/>
    </xf>
    <xf numFmtId="0" fontId="34" fillId="0" borderId="202" xfId="0" applyFont="1" applyBorder="1" applyAlignment="1">
      <alignment horizontal="center" vertical="center" wrapText="1"/>
    </xf>
    <xf numFmtId="11" fontId="3" fillId="0" borderId="0" xfId="36" applyNumberFormat="1"/>
    <xf numFmtId="0" fontId="0" fillId="0" borderId="133" xfId="0" applyBorder="1">
      <alignment vertical="center" wrapText="1"/>
    </xf>
    <xf numFmtId="0" fontId="0" fillId="0" borderId="221" xfId="59" applyFont="1" applyBorder="1" applyAlignment="1">
      <alignment horizontal="left" vertical="center" wrapText="1"/>
    </xf>
    <xf numFmtId="0" fontId="0" fillId="0" borderId="221" xfId="59" applyFont="1" applyBorder="1" applyAlignment="1">
      <alignment horizontal="left" vertical="center"/>
    </xf>
    <xf numFmtId="0" fontId="3" fillId="0" borderId="221" xfId="59" applyBorder="1" applyAlignment="1">
      <alignment horizontal="left" vertical="center" wrapText="1"/>
    </xf>
    <xf numFmtId="49" fontId="0" fillId="0" borderId="221" xfId="59" applyNumberFormat="1" applyFont="1" applyBorder="1" applyAlignment="1">
      <alignment horizontal="left" vertical="center" wrapText="1"/>
    </xf>
    <xf numFmtId="49" fontId="0" fillId="0" borderId="221" xfId="59" applyNumberFormat="1" applyFont="1" applyBorder="1" applyAlignment="1">
      <alignment horizontal="left" vertical="top" wrapText="1"/>
    </xf>
    <xf numFmtId="0" fontId="0" fillId="0" borderId="221" xfId="0" applyBorder="1" applyAlignment="1">
      <alignment horizontal="left" vertical="center" wrapText="1"/>
    </xf>
    <xf numFmtId="0" fontId="0" fillId="0" borderId="135" xfId="0" applyBorder="1" applyAlignment="1">
      <alignment horizontal="left" vertical="center" wrapText="1"/>
    </xf>
    <xf numFmtId="0" fontId="3" fillId="0" borderId="201" xfId="59" applyBorder="1" applyAlignment="1">
      <alignment vertical="center" wrapText="1"/>
    </xf>
    <xf numFmtId="0" fontId="4" fillId="23" borderId="202" xfId="0" applyFont="1" applyFill="1" applyBorder="1" applyAlignment="1">
      <alignment horizontal="left" vertical="center" wrapText="1"/>
    </xf>
    <xf numFmtId="0" fontId="0" fillId="0" borderId="221" xfId="59" applyFont="1" applyBorder="1" applyAlignment="1">
      <alignment horizontal="left" vertical="top"/>
    </xf>
    <xf numFmtId="0" fontId="0" fillId="0" borderId="228" xfId="0" applyBorder="1">
      <alignment vertical="center" wrapText="1"/>
    </xf>
    <xf numFmtId="0" fontId="4" fillId="0" borderId="176" xfId="0" applyFont="1" applyBorder="1">
      <alignment vertical="center" wrapText="1"/>
    </xf>
    <xf numFmtId="0" fontId="4" fillId="23" borderId="221" xfId="61" applyFont="1" applyFill="1" applyBorder="1" applyAlignment="1">
      <alignment vertical="top" wrapText="1"/>
    </xf>
    <xf numFmtId="49" fontId="4" fillId="23" borderId="221" xfId="61" applyNumberFormat="1" applyFont="1" applyFill="1" applyBorder="1" applyAlignment="1">
      <alignment vertical="top" wrapText="1"/>
    </xf>
    <xf numFmtId="0" fontId="4" fillId="23" borderId="221" xfId="0" applyFont="1" applyFill="1" applyBorder="1">
      <alignment vertical="center" wrapText="1"/>
    </xf>
    <xf numFmtId="0" fontId="29" fillId="34" borderId="0" xfId="0" applyFont="1" applyFill="1" applyAlignment="1">
      <alignment horizontal="center" vertical="center" wrapText="1"/>
    </xf>
    <xf numFmtId="0" fontId="29" fillId="31" borderId="0" xfId="0" applyFont="1" applyFill="1" applyAlignment="1">
      <alignment horizontal="center" vertical="center" wrapText="1"/>
    </xf>
    <xf numFmtId="0" fontId="4" fillId="23" borderId="0" xfId="61" applyFont="1" applyFill="1" applyAlignment="1">
      <alignment vertical="top" wrapText="1"/>
    </xf>
    <xf numFmtId="49" fontId="4" fillId="0" borderId="0" xfId="54" applyNumberFormat="1" applyFont="1" applyAlignment="1" applyProtection="1">
      <alignment horizontal="left" vertical="top" wrapText="1"/>
      <protection locked="0"/>
    </xf>
    <xf numFmtId="0" fontId="4" fillId="23" borderId="228" xfId="0" applyFont="1" applyFill="1" applyBorder="1" applyAlignment="1">
      <alignment horizontal="left" vertical="top" wrapText="1"/>
    </xf>
    <xf numFmtId="0" fontId="80" fillId="23" borderId="204" xfId="0" applyFont="1" applyFill="1" applyBorder="1" applyAlignment="1">
      <alignment vertical="top" wrapText="1"/>
    </xf>
    <xf numFmtId="0" fontId="4" fillId="23" borderId="228" xfId="0" applyFont="1" applyFill="1" applyBorder="1" applyAlignment="1">
      <alignment horizontal="center" vertical="top" wrapText="1"/>
    </xf>
    <xf numFmtId="0" fontId="4" fillId="23" borderId="227" xfId="0" applyFont="1" applyFill="1" applyBorder="1" applyAlignment="1" applyProtection="1">
      <alignment horizontal="center" vertical="top" wrapText="1"/>
      <protection locked="0"/>
    </xf>
    <xf numFmtId="0" fontId="4" fillId="23" borderId="231" xfId="0" applyFont="1" applyFill="1" applyBorder="1" applyAlignment="1">
      <alignment horizontal="left" vertical="top" wrapText="1"/>
    </xf>
    <xf numFmtId="0" fontId="4" fillId="23" borderId="232" xfId="0" applyFont="1" applyFill="1" applyBorder="1" applyAlignment="1">
      <alignment horizontal="left" vertical="top" wrapText="1"/>
    </xf>
    <xf numFmtId="0" fontId="4" fillId="23" borderId="221" xfId="0" applyFont="1" applyFill="1" applyBorder="1" applyAlignment="1" applyProtection="1">
      <alignment horizontal="center" vertical="top" wrapText="1"/>
      <protection locked="0"/>
    </xf>
    <xf numFmtId="0" fontId="4" fillId="23" borderId="221" xfId="0" applyFont="1" applyFill="1" applyBorder="1" applyAlignment="1">
      <alignment horizontal="center" vertical="top" wrapText="1"/>
    </xf>
    <xf numFmtId="0" fontId="14" fillId="23" borderId="0" xfId="0" applyFont="1" applyFill="1" applyAlignment="1">
      <alignment horizontal="center" vertical="top"/>
    </xf>
    <xf numFmtId="0" fontId="36" fillId="23" borderId="189" xfId="0" applyFont="1" applyFill="1" applyBorder="1" applyAlignment="1">
      <alignment horizontal="center" vertical="top"/>
    </xf>
    <xf numFmtId="0" fontId="36" fillId="23" borderId="0" xfId="0" applyFont="1" applyFill="1" applyAlignment="1">
      <alignment horizontal="center" vertical="top"/>
    </xf>
    <xf numFmtId="0" fontId="80" fillId="23" borderId="221" xfId="0" applyFont="1" applyFill="1" applyBorder="1" applyAlignment="1">
      <alignment vertical="top" wrapText="1"/>
    </xf>
    <xf numFmtId="0" fontId="36" fillId="23" borderId="211" xfId="0" applyFont="1" applyFill="1" applyBorder="1" applyAlignment="1">
      <alignment horizontal="center" vertical="top"/>
    </xf>
    <xf numFmtId="0" fontId="36" fillId="23" borderId="233" xfId="0" applyFont="1" applyFill="1" applyBorder="1" applyAlignment="1">
      <alignment horizontal="center" vertical="top"/>
    </xf>
    <xf numFmtId="0" fontId="36" fillId="23" borderId="34" xfId="0" applyFont="1" applyFill="1" applyBorder="1" applyAlignment="1">
      <alignment horizontal="center" vertical="top"/>
    </xf>
    <xf numFmtId="0" fontId="4" fillId="23" borderId="221" xfId="41" applyFont="1" applyFill="1" applyBorder="1" applyAlignment="1" applyProtection="1">
      <alignment horizontal="center" vertical="top" wrapText="1"/>
      <protection locked="0"/>
    </xf>
    <xf numFmtId="0" fontId="36" fillId="23" borderId="189" xfId="41" applyFont="1" applyFill="1" applyBorder="1" applyAlignment="1">
      <alignment horizontal="center" vertical="top"/>
    </xf>
    <xf numFmtId="0" fontId="4" fillId="23" borderId="221" xfId="41" applyFont="1" applyFill="1" applyBorder="1" applyAlignment="1">
      <alignment horizontal="center" vertical="top" wrapText="1"/>
    </xf>
    <xf numFmtId="0" fontId="36" fillId="23" borderId="0" xfId="41" applyFont="1" applyFill="1" applyAlignment="1">
      <alignment horizontal="center" vertical="top"/>
    </xf>
    <xf numFmtId="0" fontId="14" fillId="43" borderId="221" xfId="32" applyFont="1" applyFill="1" applyBorder="1" applyAlignment="1" applyProtection="1">
      <alignment horizontal="center" vertical="center" wrapText="1"/>
    </xf>
    <xf numFmtId="0" fontId="109" fillId="43" borderId="186" xfId="32" applyFont="1" applyFill="1" applyBorder="1" applyAlignment="1" applyProtection="1">
      <alignment horizontal="center" vertical="center" wrapText="1"/>
    </xf>
    <xf numFmtId="165" fontId="3" fillId="0" borderId="0" xfId="62" applyAlignment="1">
      <alignment horizontal="center" vertical="top" wrapText="1"/>
    </xf>
    <xf numFmtId="49" fontId="112" fillId="0" borderId="0" xfId="62" applyNumberFormat="1" applyFont="1" applyAlignment="1">
      <alignment vertical="top" wrapText="1"/>
    </xf>
    <xf numFmtId="165" fontId="116" fillId="0" borderId="0" xfId="62" applyFont="1" applyAlignment="1">
      <alignment vertical="center"/>
    </xf>
    <xf numFmtId="49" fontId="3" fillId="0" borderId="0" xfId="62" applyNumberFormat="1">
      <alignment vertical="center" wrapText="1"/>
    </xf>
    <xf numFmtId="49" fontId="3" fillId="0" borderId="0" xfId="62" applyNumberFormat="1" applyAlignment="1">
      <alignment horizontal="center" vertical="center" wrapText="1"/>
    </xf>
    <xf numFmtId="165" fontId="112" fillId="0" borderId="0" xfId="62" applyFont="1">
      <alignment vertical="center" wrapText="1"/>
    </xf>
    <xf numFmtId="49" fontId="113" fillId="0" borderId="0" xfId="62" applyNumberFormat="1" applyFont="1" applyAlignment="1">
      <alignment horizontal="left" vertical="center" wrapText="1" indent="2"/>
    </xf>
    <xf numFmtId="49" fontId="113" fillId="0" borderId="0" xfId="62" applyNumberFormat="1" applyFont="1" applyAlignment="1">
      <alignment horizontal="left" vertical="center" wrapText="1" indent="3"/>
    </xf>
    <xf numFmtId="49" fontId="117" fillId="0" borderId="0" xfId="62" applyNumberFormat="1" applyFont="1" applyAlignment="1">
      <alignment horizontal="left" vertical="center" wrapText="1" indent="2"/>
    </xf>
    <xf numFmtId="49" fontId="117" fillId="0" borderId="0" xfId="62" applyNumberFormat="1" applyFont="1" applyAlignment="1">
      <alignment horizontal="left" vertical="center" wrapText="1" indent="3"/>
    </xf>
    <xf numFmtId="49" fontId="113" fillId="0" borderId="0" xfId="62" applyNumberFormat="1" applyFont="1" applyAlignment="1">
      <alignment horizontal="left" vertical="top" wrapText="1" indent="2"/>
    </xf>
    <xf numFmtId="165" fontId="113" fillId="0" borderId="0" xfId="62" applyFont="1" applyAlignment="1">
      <alignment vertical="center"/>
    </xf>
    <xf numFmtId="165" fontId="3" fillId="0" borderId="0" xfId="62">
      <alignment vertical="center" wrapText="1"/>
    </xf>
    <xf numFmtId="49" fontId="113" fillId="0" borderId="0" xfId="62" applyNumberFormat="1" applyFont="1" applyAlignment="1">
      <alignment horizontal="left" vertical="center" wrapText="1" indent="4"/>
    </xf>
    <xf numFmtId="49" fontId="113" fillId="0" borderId="0" xfId="62" applyNumberFormat="1" applyFont="1" applyAlignment="1">
      <alignment horizontal="left" vertical="top" wrapText="1" indent="4"/>
    </xf>
    <xf numFmtId="49" fontId="3" fillId="0" borderId="0" xfId="62" applyNumberFormat="1" applyAlignment="1">
      <alignment horizontal="left" vertical="center" wrapText="1" indent="2"/>
    </xf>
    <xf numFmtId="165" fontId="3" fillId="0" borderId="0" xfId="62" applyAlignment="1">
      <alignment vertical="top" wrapText="1"/>
    </xf>
    <xf numFmtId="49" fontId="3" fillId="0" borderId="0" xfId="62" applyNumberFormat="1" applyAlignment="1">
      <alignment vertical="top" wrapText="1"/>
    </xf>
    <xf numFmtId="165" fontId="14" fillId="0" borderId="0" xfId="62" applyFont="1" applyAlignment="1">
      <alignment horizontal="center" vertical="top" wrapText="1"/>
    </xf>
    <xf numFmtId="49" fontId="112" fillId="0" borderId="0" xfId="62" applyNumberFormat="1" applyFont="1" applyAlignment="1">
      <alignment horizontal="left" vertical="top" wrapText="1"/>
    </xf>
    <xf numFmtId="49" fontId="112" fillId="0" borderId="0" xfId="62" applyNumberFormat="1" applyFont="1" applyAlignment="1">
      <alignment horizontal="left" vertical="center" wrapText="1"/>
    </xf>
    <xf numFmtId="49" fontId="3" fillId="0" borderId="0" xfId="62" applyNumberFormat="1" applyAlignment="1">
      <alignment horizontal="left" vertical="center" wrapText="1" indent="1"/>
    </xf>
    <xf numFmtId="49" fontId="113" fillId="0" borderId="0" xfId="62" applyNumberFormat="1" applyFont="1" applyAlignment="1">
      <alignment horizontal="left" vertical="top" wrapText="1"/>
    </xf>
    <xf numFmtId="49" fontId="3" fillId="0" borderId="0" xfId="62" applyNumberFormat="1" applyAlignment="1">
      <alignment horizontal="left" vertical="top" wrapText="1"/>
    </xf>
    <xf numFmtId="14" fontId="5" fillId="34" borderId="187" xfId="0" applyNumberFormat="1" applyFont="1" applyFill="1" applyBorder="1" applyAlignment="1">
      <alignment horizontal="center" vertical="center" wrapText="1"/>
    </xf>
    <xf numFmtId="0" fontId="0" fillId="0" borderId="188" xfId="0" applyBorder="1" applyAlignment="1">
      <alignment horizontal="center" vertical="center" wrapText="1"/>
    </xf>
    <xf numFmtId="0" fontId="5" fillId="31" borderId="0" xfId="0" applyFont="1" applyFill="1" applyAlignment="1" applyProtection="1">
      <alignment horizontal="center" vertical="center" wrapText="1"/>
      <protection locked="0"/>
    </xf>
    <xf numFmtId="0" fontId="5" fillId="34" borderId="186" xfId="0" applyFont="1" applyFill="1" applyBorder="1" applyAlignment="1" applyProtection="1">
      <alignment horizontal="left" vertical="center"/>
      <protection locked="0"/>
    </xf>
    <xf numFmtId="0" fontId="5" fillId="31" borderId="186" xfId="0" applyFont="1" applyFill="1" applyBorder="1" applyAlignment="1" applyProtection="1">
      <alignment horizontal="left" vertical="center"/>
      <protection locked="0"/>
    </xf>
    <xf numFmtId="0" fontId="0" fillId="0" borderId="0" xfId="0" applyProtection="1">
      <alignment vertical="center" wrapText="1"/>
      <protection locked="0"/>
    </xf>
    <xf numFmtId="0" fontId="14" fillId="0" borderId="0" xfId="0" applyFont="1" applyAlignment="1" applyProtection="1">
      <alignment horizontal="center" vertical="center" wrapText="1"/>
      <protection locked="0"/>
    </xf>
    <xf numFmtId="0" fontId="40" fillId="0" borderId="0" xfId="32" applyFont="1" applyAlignment="1" applyProtection="1">
      <alignment vertical="center" wrapText="1"/>
    </xf>
    <xf numFmtId="0" fontId="98" fillId="0" borderId="0" xfId="32" applyFont="1" applyAlignment="1" applyProtection="1">
      <alignment vertical="center" wrapText="1"/>
    </xf>
    <xf numFmtId="0" fontId="0" fillId="0" borderId="120" xfId="0" applyBorder="1" applyAlignment="1" applyProtection="1">
      <alignment horizontal="center" vertical="center" wrapText="1"/>
      <protection locked="0"/>
    </xf>
    <xf numFmtId="0" fontId="0" fillId="0" borderId="125" xfId="0"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0" borderId="124" xfId="0" applyBorder="1" applyAlignment="1" applyProtection="1">
      <alignment horizontal="center" vertical="center" wrapText="1"/>
      <protection locked="0"/>
    </xf>
    <xf numFmtId="0" fontId="23" fillId="27" borderId="235" xfId="34" applyFont="1" applyFill="1" applyBorder="1" applyAlignment="1">
      <alignment horizontal="center" vertical="center"/>
    </xf>
    <xf numFmtId="0" fontId="23" fillId="27" borderId="236" xfId="34" applyFont="1" applyFill="1" applyBorder="1" applyAlignment="1">
      <alignment horizontal="center" vertical="top"/>
    </xf>
    <xf numFmtId="0" fontId="24" fillId="18" borderId="113" xfId="34" applyFont="1" applyFill="1" applyBorder="1" applyAlignment="1">
      <alignment horizontal="center" vertical="center" wrapText="1"/>
    </xf>
    <xf numFmtId="0" fontId="24" fillId="18" borderId="114" xfId="34" applyFont="1" applyFill="1" applyBorder="1" applyAlignment="1">
      <alignment horizontal="center" vertical="center" wrapText="1"/>
    </xf>
    <xf numFmtId="0" fontId="14" fillId="40" borderId="114" xfId="34" applyFont="1" applyFill="1" applyBorder="1" applyAlignment="1">
      <alignment horizontal="center" vertical="center"/>
    </xf>
    <xf numFmtId="0" fontId="24" fillId="18" borderId="237" xfId="34" applyFont="1" applyFill="1" applyBorder="1" applyAlignment="1">
      <alignment horizontal="center" vertical="center" wrapText="1"/>
    </xf>
    <xf numFmtId="0" fontId="24" fillId="18" borderId="202" xfId="34" applyFont="1" applyFill="1" applyBorder="1" applyAlignment="1">
      <alignment horizontal="center" vertical="center"/>
    </xf>
    <xf numFmtId="0" fontId="14" fillId="40" borderId="223" xfId="34" applyFont="1" applyFill="1" applyBorder="1" applyAlignment="1">
      <alignment horizontal="center" vertical="center" textRotation="90"/>
    </xf>
    <xf numFmtId="0" fontId="24" fillId="18" borderId="61" xfId="34" applyFont="1" applyFill="1" applyBorder="1" applyAlignment="1">
      <alignment horizontal="center" vertical="center" wrapText="1"/>
    </xf>
    <xf numFmtId="0" fontId="24" fillId="18" borderId="227" xfId="34" applyFont="1" applyFill="1" applyBorder="1" applyAlignment="1">
      <alignment horizontal="center" vertical="center"/>
    </xf>
    <xf numFmtId="0" fontId="14" fillId="40" borderId="227" xfId="34" applyFont="1" applyFill="1" applyBorder="1" applyAlignment="1">
      <alignment horizontal="center" vertical="center"/>
    </xf>
    <xf numFmtId="0" fontId="24" fillId="18" borderId="234" xfId="34" applyFont="1" applyFill="1" applyBorder="1" applyAlignment="1">
      <alignment horizontal="center" vertical="center" wrapText="1"/>
    </xf>
    <xf numFmtId="0" fontId="24" fillId="18" borderId="235" xfId="34" applyFont="1" applyFill="1" applyBorder="1" applyAlignment="1">
      <alignment horizontal="center" vertical="center" wrapText="1"/>
    </xf>
    <xf numFmtId="0" fontId="24" fillId="18" borderId="240" xfId="34" applyFont="1" applyFill="1" applyBorder="1" applyAlignment="1">
      <alignment horizontal="center" vertical="center" wrapText="1"/>
    </xf>
    <xf numFmtId="0" fontId="6" fillId="19" borderId="61" xfId="34" applyFont="1" applyFill="1" applyBorder="1" applyAlignment="1">
      <alignment horizontal="right" vertical="top" wrapText="1"/>
    </xf>
    <xf numFmtId="0" fontId="6" fillId="19" borderId="236" xfId="34" applyFont="1" applyFill="1" applyBorder="1" applyAlignment="1">
      <alignment vertical="top" wrapText="1"/>
    </xf>
    <xf numFmtId="0" fontId="3" fillId="19" borderId="202" xfId="34" applyFont="1" applyFill="1" applyBorder="1" applyAlignment="1">
      <alignment horizontal="center" vertical="top" wrapText="1"/>
    </xf>
    <xf numFmtId="0" fontId="25" fillId="19" borderId="234" xfId="34" applyFont="1" applyFill="1" applyBorder="1" applyAlignment="1">
      <alignment horizontal="center" vertical="top"/>
    </xf>
    <xf numFmtId="0" fontId="25" fillId="19" borderId="177" xfId="34" applyFont="1" applyFill="1" applyBorder="1" applyAlignment="1">
      <alignment horizontal="center" vertical="top"/>
    </xf>
    <xf numFmtId="0" fontId="10" fillId="27" borderId="61" xfId="34" applyFont="1" applyFill="1" applyBorder="1" applyAlignment="1">
      <alignment vertical="top" wrapText="1"/>
    </xf>
    <xf numFmtId="0" fontId="6" fillId="27" borderId="236" xfId="34" applyFont="1" applyFill="1" applyBorder="1" applyAlignment="1">
      <alignment vertical="top" wrapText="1"/>
    </xf>
    <xf numFmtId="0" fontId="23" fillId="27" borderId="234" xfId="34" applyFont="1" applyFill="1" applyBorder="1" applyAlignment="1">
      <alignment horizontal="center" vertical="top"/>
    </xf>
    <xf numFmtId="0" fontId="23" fillId="27" borderId="177" xfId="34" applyFont="1" applyFill="1" applyBorder="1" applyAlignment="1">
      <alignment horizontal="center" vertical="top"/>
    </xf>
    <xf numFmtId="0" fontId="6" fillId="28" borderId="241" xfId="34" applyFont="1" applyFill="1" applyBorder="1" applyAlignment="1" applyProtection="1">
      <alignment vertical="center" wrapText="1"/>
      <protection locked="0"/>
    </xf>
    <xf numFmtId="0" fontId="6" fillId="27" borderId="236" xfId="34" applyFont="1" applyFill="1" applyBorder="1" applyAlignment="1" applyProtection="1">
      <alignment vertical="top" wrapText="1"/>
      <protection locked="0"/>
    </xf>
    <xf numFmtId="0" fontId="3" fillId="40" borderId="227" xfId="34" applyFont="1" applyFill="1" applyBorder="1" applyAlignment="1" applyProtection="1">
      <alignment horizontal="center" vertical="center"/>
      <protection locked="0"/>
    </xf>
    <xf numFmtId="1" fontId="3" fillId="27" borderId="234" xfId="34" applyNumberFormat="1" applyFont="1" applyFill="1" applyBorder="1" applyAlignment="1" applyProtection="1">
      <alignment horizontal="center" vertical="top"/>
      <protection locked="0"/>
    </xf>
    <xf numFmtId="1" fontId="3" fillId="27" borderId="177" xfId="34" applyNumberFormat="1" applyFont="1" applyFill="1" applyBorder="1" applyAlignment="1" applyProtection="1">
      <alignment horizontal="center" vertical="top"/>
      <protection locked="0"/>
    </xf>
    <xf numFmtId="0" fontId="6" fillId="27" borderId="61" xfId="34" applyFont="1" applyFill="1" applyBorder="1" applyAlignment="1" applyProtection="1">
      <alignment vertical="top" wrapText="1"/>
      <protection locked="0"/>
    </xf>
    <xf numFmtId="0" fontId="6" fillId="28" borderId="241" xfId="34" applyFont="1" applyFill="1" applyBorder="1" applyAlignment="1" applyProtection="1">
      <alignment vertical="top" wrapText="1"/>
      <protection locked="0"/>
    </xf>
    <xf numFmtId="0" fontId="10" fillId="27" borderId="61" xfId="34" applyFont="1" applyFill="1" applyBorder="1" applyAlignment="1" applyProtection="1">
      <alignment vertical="top" wrapText="1"/>
      <protection locked="0"/>
    </xf>
    <xf numFmtId="0" fontId="23" fillId="27" borderId="133" xfId="34" applyFont="1" applyFill="1" applyBorder="1" applyAlignment="1" applyProtection="1">
      <alignment vertical="top"/>
      <protection locked="0"/>
    </xf>
    <xf numFmtId="0" fontId="28" fillId="27" borderId="133" xfId="34" applyFont="1" applyFill="1" applyBorder="1" applyAlignment="1">
      <alignment vertical="center"/>
    </xf>
    <xf numFmtId="0" fontId="23" fillId="27" borderId="239" xfId="34" applyFont="1" applyFill="1" applyBorder="1" applyAlignment="1">
      <alignment vertical="center"/>
    </xf>
    <xf numFmtId="0" fontId="28" fillId="27" borderId="132" xfId="34" applyFont="1" applyFill="1" applyBorder="1" applyAlignment="1">
      <alignment vertical="center" wrapText="1"/>
    </xf>
    <xf numFmtId="0" fontId="23" fillId="27" borderId="112" xfId="34" applyFont="1" applyFill="1" applyBorder="1" applyAlignment="1">
      <alignment vertical="top"/>
    </xf>
    <xf numFmtId="1" fontId="3" fillId="27" borderId="124" xfId="34" applyNumberFormat="1" applyFont="1" applyFill="1" applyBorder="1" applyAlignment="1" applyProtection="1">
      <alignment horizontal="center" vertical="top"/>
      <protection locked="0"/>
    </xf>
    <xf numFmtId="1" fontId="3" fillId="27" borderId="125" xfId="34" applyNumberFormat="1" applyFont="1" applyFill="1" applyBorder="1" applyAlignment="1" applyProtection="1">
      <alignment horizontal="center" vertical="top"/>
      <protection locked="0"/>
    </xf>
    <xf numFmtId="0" fontId="24" fillId="18" borderId="242" xfId="34" applyFont="1" applyFill="1" applyBorder="1" applyAlignment="1">
      <alignment horizontal="center" vertical="center"/>
    </xf>
    <xf numFmtId="0" fontId="24" fillId="18" borderId="127" xfId="34" applyFont="1" applyFill="1" applyBorder="1" applyAlignment="1">
      <alignment horizontal="center" vertical="center" wrapText="1"/>
    </xf>
    <xf numFmtId="0" fontId="25" fillId="42" borderId="234" xfId="34" applyFont="1" applyFill="1" applyBorder="1" applyAlignment="1">
      <alignment horizontal="center" vertical="center" wrapText="1"/>
    </xf>
    <xf numFmtId="0" fontId="25" fillId="42" borderId="177" xfId="34" applyFont="1" applyFill="1" applyBorder="1" applyAlignment="1">
      <alignment horizontal="center" vertical="center" wrapText="1"/>
    </xf>
    <xf numFmtId="0" fontId="24" fillId="42" borderId="234" xfId="34" applyFont="1" applyFill="1" applyBorder="1" applyAlignment="1">
      <alignment horizontal="center" vertical="center" wrapText="1"/>
    </xf>
    <xf numFmtId="0" fontId="24" fillId="42" borderId="177" xfId="34" applyFont="1" applyFill="1" applyBorder="1" applyAlignment="1">
      <alignment horizontal="center" vertical="center" wrapText="1"/>
    </xf>
    <xf numFmtId="0" fontId="6" fillId="27" borderId="61" xfId="34" applyFont="1" applyFill="1" applyBorder="1" applyAlignment="1">
      <alignment vertical="top" wrapText="1"/>
    </xf>
    <xf numFmtId="0" fontId="6" fillId="0" borderId="234" xfId="34" applyFont="1" applyBorder="1" applyAlignment="1">
      <alignment vertical="top" wrapText="1"/>
    </xf>
    <xf numFmtId="0" fontId="3" fillId="42" borderId="234" xfId="34" applyFont="1" applyFill="1" applyBorder="1" applyAlignment="1">
      <alignment horizontal="center" vertical="center"/>
    </xf>
    <xf numFmtId="0" fontId="23" fillId="27" borderId="234" xfId="34" applyFont="1" applyFill="1" applyBorder="1" applyAlignment="1">
      <alignment vertical="top" wrapText="1"/>
    </xf>
    <xf numFmtId="0" fontId="23" fillId="27" borderId="223" xfId="34" applyFont="1" applyFill="1" applyBorder="1" applyAlignment="1">
      <alignment vertical="top"/>
    </xf>
    <xf numFmtId="0" fontId="23" fillId="27" borderId="124" xfId="34" applyFont="1" applyFill="1" applyBorder="1" applyAlignment="1">
      <alignment vertical="top" wrapText="1"/>
    </xf>
    <xf numFmtId="0" fontId="23" fillId="27" borderId="121" xfId="34" applyFont="1" applyFill="1" applyBorder="1" applyAlignment="1">
      <alignment vertical="top"/>
    </xf>
    <xf numFmtId="0" fontId="14" fillId="40" borderId="114" xfId="39" applyFont="1" applyFill="1" applyBorder="1" applyAlignment="1">
      <alignment horizontal="center" vertical="center" wrapText="1"/>
    </xf>
    <xf numFmtId="0" fontId="14" fillId="40" borderId="107" xfId="39" applyFont="1" applyFill="1" applyBorder="1" applyAlignment="1">
      <alignment horizontal="center" vertical="center" wrapText="1"/>
    </xf>
    <xf numFmtId="0" fontId="26" fillId="22" borderId="245" xfId="39" applyFont="1" applyFill="1" applyBorder="1" applyAlignment="1" applyProtection="1">
      <alignment horizontal="left" vertical="center"/>
      <protection locked="0"/>
    </xf>
    <xf numFmtId="0" fontId="26" fillId="22" borderId="239" xfId="39" applyFont="1" applyFill="1" applyBorder="1" applyAlignment="1" applyProtection="1">
      <alignment horizontal="left" vertical="center"/>
      <protection locked="0"/>
    </xf>
    <xf numFmtId="0" fontId="26" fillId="22" borderId="234" xfId="39" applyFont="1" applyFill="1" applyBorder="1" applyAlignment="1" applyProtection="1">
      <alignment horizontal="center" vertical="center"/>
      <protection locked="0"/>
    </xf>
    <xf numFmtId="0" fontId="26" fillId="22" borderId="238" xfId="39" applyFont="1" applyFill="1" applyBorder="1" applyAlignment="1" applyProtection="1">
      <alignment horizontal="center" vertical="center"/>
      <protection locked="0"/>
    </xf>
    <xf numFmtId="0" fontId="3" fillId="0" borderId="246" xfId="39" applyBorder="1" applyAlignment="1">
      <alignment vertical="top"/>
    </xf>
    <xf numFmtId="0" fontId="3" fillId="0" borderId="247" xfId="39" applyBorder="1"/>
    <xf numFmtId="0" fontId="8" fillId="0" borderId="238" xfId="39" applyFont="1" applyBorder="1"/>
    <xf numFmtId="0" fontId="3" fillId="0" borderId="177" xfId="39" applyBorder="1"/>
    <xf numFmtId="0" fontId="3" fillId="0" borderId="235" xfId="39" applyBorder="1" applyAlignment="1" applyProtection="1">
      <alignment vertical="top"/>
      <protection locked="0"/>
    </xf>
    <xf numFmtId="0" fontId="8" fillId="0" borderId="189" xfId="39" applyFont="1" applyBorder="1" applyAlignment="1">
      <alignment horizontal="left"/>
    </xf>
    <xf numFmtId="0" fontId="3" fillId="0" borderId="125" xfId="39" applyBorder="1"/>
    <xf numFmtId="0" fontId="0" fillId="0" borderId="126" xfId="0" applyBorder="1">
      <alignment vertical="center" wrapText="1"/>
    </xf>
    <xf numFmtId="0" fontId="0" fillId="0" borderId="238" xfId="0" applyBorder="1">
      <alignment vertical="center" wrapText="1"/>
    </xf>
    <xf numFmtId="0" fontId="0" fillId="0" borderId="238" xfId="0" applyBorder="1" applyAlignment="1">
      <alignment horizontal="justify" vertical="center"/>
    </xf>
    <xf numFmtId="0" fontId="3" fillId="21" borderId="238" xfId="39" applyFill="1" applyBorder="1" applyAlignment="1">
      <alignment horizontal="center" vertical="center"/>
    </xf>
    <xf numFmtId="0" fontId="3" fillId="0" borderId="133" xfId="39" applyBorder="1" applyAlignment="1" applyProtection="1">
      <alignment horizontal="center" vertical="center"/>
      <protection locked="0"/>
    </xf>
    <xf numFmtId="0" fontId="0" fillId="0" borderId="238" xfId="0" applyBorder="1" applyAlignment="1">
      <alignment horizontal="justify" vertical="center" wrapText="1"/>
    </xf>
    <xf numFmtId="0" fontId="0" fillId="0" borderId="238" xfId="0" applyBorder="1" applyAlignment="1">
      <alignment horizontal="left" vertical="center" wrapText="1"/>
    </xf>
    <xf numFmtId="0" fontId="0" fillId="0" borderId="138" xfId="0" applyBorder="1" applyAlignment="1">
      <alignment horizontal="justify" vertical="center" wrapText="1"/>
    </xf>
    <xf numFmtId="0" fontId="0" fillId="0" borderId="138" xfId="0" applyBorder="1">
      <alignment vertical="center" wrapText="1"/>
    </xf>
    <xf numFmtId="0" fontId="3" fillId="0" borderId="123" xfId="39" applyBorder="1" applyAlignment="1" applyProtection="1">
      <alignment horizontal="center" vertical="center"/>
      <protection locked="0"/>
    </xf>
    <xf numFmtId="0" fontId="17" fillId="0" borderId="113" xfId="39" applyFont="1" applyBorder="1" applyAlignment="1">
      <alignment vertical="center"/>
    </xf>
    <xf numFmtId="0" fontId="17" fillId="0" borderId="133" xfId="39" applyFont="1" applyBorder="1" applyAlignment="1">
      <alignment vertical="center"/>
    </xf>
    <xf numFmtId="0" fontId="8" fillId="0" borderId="189" xfId="39" applyFont="1" applyBorder="1" applyAlignment="1">
      <alignment horizontal="left" vertical="center"/>
    </xf>
    <xf numFmtId="0" fontId="3" fillId="0" borderId="251" xfId="39" applyBorder="1" applyAlignment="1">
      <alignment vertical="top"/>
    </xf>
    <xf numFmtId="0" fontId="3" fillId="0" borderId="62" xfId="39" applyBorder="1"/>
    <xf numFmtId="0" fontId="17" fillId="0" borderId="123" xfId="39" applyFont="1" applyBorder="1" applyAlignment="1">
      <alignment vertical="center"/>
    </xf>
    <xf numFmtId="0" fontId="4" fillId="0" borderId="0" xfId="53" applyFont="1" applyAlignment="1" applyProtection="1">
      <alignment horizontal="center"/>
      <protection locked="0"/>
    </xf>
    <xf numFmtId="0" fontId="3" fillId="0" borderId="0" xfId="35" applyAlignment="1" applyProtection="1">
      <alignment horizontal="center" vertical="top"/>
      <protection locked="0"/>
    </xf>
    <xf numFmtId="49" fontId="6" fillId="0" borderId="35" xfId="36" applyNumberFormat="1" applyFont="1" applyBorder="1" applyAlignment="1">
      <alignment horizontal="left" vertical="center" wrapText="1"/>
    </xf>
    <xf numFmtId="0" fontId="6" fillId="26" borderId="23" xfId="37" applyFont="1" applyFill="1" applyBorder="1" applyAlignment="1">
      <alignment horizontal="left" vertical="center"/>
    </xf>
    <xf numFmtId="0" fontId="6" fillId="0" borderId="36" xfId="36" applyFont="1" applyBorder="1" applyAlignment="1">
      <alignment vertical="top" wrapText="1"/>
    </xf>
    <xf numFmtId="0" fontId="6" fillId="26" borderId="23" xfId="36" applyFont="1" applyFill="1" applyBorder="1" applyAlignment="1" applyProtection="1">
      <alignment horizontal="left" vertical="center"/>
      <protection locked="0"/>
    </xf>
    <xf numFmtId="0" fontId="48" fillId="26" borderId="215" xfId="37" applyFont="1" applyFill="1" applyBorder="1" applyAlignment="1">
      <alignment horizontal="left" vertical="center"/>
    </xf>
    <xf numFmtId="0" fontId="6" fillId="26" borderId="215" xfId="37" applyFont="1" applyFill="1" applyBorder="1" applyAlignment="1">
      <alignment horizontal="left" vertical="center"/>
    </xf>
    <xf numFmtId="164" fontId="71" fillId="26" borderId="215" xfId="37" applyNumberFormat="1" applyFont="1" applyFill="1" applyBorder="1" applyAlignment="1" applyProtection="1">
      <alignment horizontal="center" vertical="center" wrapText="1"/>
      <protection locked="0"/>
    </xf>
    <xf numFmtId="0" fontId="48" fillId="26" borderId="97" xfId="37" applyFont="1" applyFill="1" applyBorder="1" applyAlignment="1">
      <alignment horizontal="left" vertical="center"/>
    </xf>
    <xf numFmtId="0" fontId="6" fillId="26" borderId="97" xfId="37" applyFont="1" applyFill="1" applyBorder="1" applyAlignment="1">
      <alignment horizontal="left" vertical="center"/>
    </xf>
    <xf numFmtId="164" fontId="71" fillId="26" borderId="97" xfId="37" applyNumberFormat="1" applyFont="1" applyFill="1" applyBorder="1" applyAlignment="1" applyProtection="1">
      <alignment horizontal="center" vertical="center" wrapText="1"/>
      <protection locked="0"/>
    </xf>
    <xf numFmtId="49" fontId="6" fillId="0" borderId="0" xfId="36" applyNumberFormat="1" applyFont="1" applyAlignment="1" applyProtection="1">
      <alignment horizontal="left" vertical="top"/>
      <protection locked="0"/>
    </xf>
    <xf numFmtId="0" fontId="0" fillId="0" borderId="166" xfId="0" applyBorder="1" applyAlignment="1" applyProtection="1">
      <alignment horizontal="center" vertical="center" wrapText="1"/>
      <protection locked="0"/>
    </xf>
    <xf numFmtId="0" fontId="0" fillId="0" borderId="167" xfId="0" applyBorder="1" applyAlignment="1" applyProtection="1">
      <alignment horizontal="center" vertical="center" wrapText="1"/>
      <protection locked="0"/>
    </xf>
    <xf numFmtId="0" fontId="0" fillId="0" borderId="206" xfId="0" applyBorder="1" applyAlignment="1" applyProtection="1">
      <alignment horizontal="center" vertical="center" wrapText="1"/>
      <protection locked="0"/>
    </xf>
    <xf numFmtId="0" fontId="0" fillId="0" borderId="172" xfId="0" applyBorder="1" applyAlignment="1" applyProtection="1">
      <alignment horizontal="center" vertical="center" wrapText="1"/>
      <protection locked="0"/>
    </xf>
    <xf numFmtId="0" fontId="119" fillId="0" borderId="0" xfId="0" applyFont="1" applyAlignment="1">
      <alignment horizontal="center" vertical="top" wrapText="1"/>
    </xf>
    <xf numFmtId="0" fontId="92" fillId="0" borderId="0" xfId="0" applyFont="1" applyAlignment="1">
      <alignment horizontal="center" vertical="center" wrapText="1"/>
    </xf>
    <xf numFmtId="0" fontId="92" fillId="0" borderId="0" xfId="0" applyFont="1" applyAlignment="1">
      <alignment horizontal="center" vertical="top" wrapText="1"/>
    </xf>
    <xf numFmtId="0" fontId="3" fillId="0" borderId="0" xfId="36" applyAlignment="1" applyProtection="1">
      <alignment horizontal="center" vertical="top"/>
      <protection locked="0"/>
    </xf>
    <xf numFmtId="0" fontId="4" fillId="23" borderId="252" xfId="0" applyFont="1" applyFill="1" applyBorder="1" applyAlignment="1">
      <alignment horizontal="left" vertical="center" wrapText="1"/>
    </xf>
    <xf numFmtId="0" fontId="4" fillId="23" borderId="253" xfId="0" applyFont="1" applyFill="1" applyBorder="1" applyAlignment="1">
      <alignment horizontal="left" vertical="center" wrapText="1"/>
    </xf>
    <xf numFmtId="0" fontId="4" fillId="23" borderId="234" xfId="0" applyFont="1" applyFill="1" applyBorder="1" applyAlignment="1">
      <alignment vertical="top" wrapText="1"/>
    </xf>
    <xf numFmtId="0" fontId="8" fillId="31" borderId="234" xfId="0" applyFont="1" applyFill="1" applyBorder="1" applyAlignment="1">
      <alignment horizontal="left" vertical="center"/>
    </xf>
    <xf numFmtId="0" fontId="5" fillId="31" borderId="238" xfId="0" applyFont="1" applyFill="1" applyBorder="1" applyAlignment="1">
      <alignment horizontal="left" vertical="center"/>
    </xf>
    <xf numFmtId="0" fontId="29" fillId="31" borderId="234" xfId="0" applyFont="1" applyFill="1" applyBorder="1" applyAlignment="1">
      <alignment horizontal="center" vertical="center" wrapText="1"/>
    </xf>
    <xf numFmtId="49" fontId="4" fillId="23" borderId="234" xfId="0" applyNumberFormat="1" applyFont="1" applyFill="1" applyBorder="1" applyAlignment="1">
      <alignment vertical="top" wrapText="1"/>
    </xf>
    <xf numFmtId="0" fontId="4" fillId="23" borderId="234" xfId="41" applyFont="1" applyFill="1" applyBorder="1" applyAlignment="1" applyProtection="1">
      <alignment horizontal="center" vertical="top" wrapText="1"/>
      <protection locked="0"/>
    </xf>
    <xf numFmtId="14" fontId="4" fillId="23" borderId="234" xfId="41" applyNumberFormat="1" applyFont="1" applyFill="1" applyBorder="1" applyAlignment="1" applyProtection="1">
      <alignment horizontal="center" vertical="top" wrapText="1"/>
      <protection locked="0"/>
    </xf>
    <xf numFmtId="14" fontId="4" fillId="23" borderId="234" xfId="0" applyNumberFormat="1" applyFont="1" applyFill="1" applyBorder="1" applyAlignment="1" applyProtection="1">
      <alignment horizontal="center" vertical="top" wrapText="1"/>
      <protection locked="0"/>
    </xf>
    <xf numFmtId="0" fontId="4" fillId="23" borderId="234" xfId="0" applyFont="1" applyFill="1" applyBorder="1" applyAlignment="1">
      <alignment horizontal="center" vertical="top" wrapText="1"/>
    </xf>
    <xf numFmtId="0" fontId="4" fillId="23" borderId="234" xfId="0" applyFont="1" applyFill="1" applyBorder="1" applyAlignment="1" applyProtection="1">
      <alignment horizontal="center" vertical="top" wrapText="1"/>
      <protection locked="0"/>
    </xf>
    <xf numFmtId="0" fontId="8" fillId="0" borderId="155" xfId="0" applyFont="1" applyBorder="1" applyAlignment="1">
      <alignment horizontal="center" vertical="top" wrapText="1"/>
    </xf>
    <xf numFmtId="0" fontId="8" fillId="0" borderId="43" xfId="0" applyFont="1" applyBorder="1" applyAlignment="1">
      <alignment horizontal="center" vertical="top" wrapText="1"/>
    </xf>
    <xf numFmtId="0" fontId="4" fillId="23" borderId="191" xfId="61" applyFont="1" applyFill="1" applyBorder="1" applyAlignment="1">
      <alignment horizontal="left" vertical="center" wrapText="1"/>
    </xf>
    <xf numFmtId="0" fontId="14" fillId="23" borderId="14" xfId="32" applyFont="1" applyFill="1" applyBorder="1" applyAlignment="1" applyProtection="1">
      <alignment vertical="center" wrapText="1"/>
    </xf>
    <xf numFmtId="0" fontId="0" fillId="27" borderId="253" xfId="0" applyFill="1" applyBorder="1">
      <alignment vertical="center" wrapText="1"/>
    </xf>
    <xf numFmtId="0" fontId="0" fillId="35" borderId="157" xfId="0" applyFill="1" applyBorder="1">
      <alignment vertical="center" wrapText="1"/>
    </xf>
    <xf numFmtId="0" fontId="14" fillId="35" borderId="234" xfId="32" applyFont="1" applyFill="1" applyBorder="1" applyAlignment="1" applyProtection="1">
      <alignment vertical="center"/>
    </xf>
    <xf numFmtId="0" fontId="92" fillId="0" borderId="0" xfId="0" applyFont="1" applyAlignment="1" applyProtection="1">
      <alignment horizontal="center" vertical="center" wrapText="1"/>
      <protection locked="0"/>
    </xf>
    <xf numFmtId="1" fontId="3" fillId="27" borderId="234" xfId="34" applyNumberFormat="1" applyFont="1" applyFill="1" applyBorder="1" applyAlignment="1">
      <alignment horizontal="center" vertical="center"/>
    </xf>
    <xf numFmtId="0" fontId="8" fillId="0" borderId="238" xfId="39" applyFont="1" applyBorder="1" applyAlignment="1">
      <alignment horizontal="left"/>
    </xf>
    <xf numFmtId="0" fontId="8" fillId="0" borderId="239" xfId="39" applyFont="1" applyBorder="1" applyAlignment="1">
      <alignment horizontal="left"/>
    </xf>
    <xf numFmtId="1" fontId="3" fillId="27" borderId="254" xfId="34" applyNumberFormat="1" applyFont="1" applyFill="1" applyBorder="1" applyAlignment="1">
      <alignment horizontal="center" vertical="center"/>
    </xf>
    <xf numFmtId="1" fontId="3" fillId="27" borderId="255" xfId="34" applyNumberFormat="1" applyFont="1" applyFill="1" applyBorder="1" applyAlignment="1">
      <alignment horizontal="center" vertical="center"/>
    </xf>
    <xf numFmtId="0" fontId="34" fillId="0" borderId="0" xfId="35" applyFont="1" applyAlignment="1" applyProtection="1">
      <alignment horizontal="center" vertical="center"/>
      <protection locked="0"/>
    </xf>
    <xf numFmtId="0" fontId="34" fillId="0" borderId="0" xfId="35" applyFont="1" applyAlignment="1" applyProtection="1">
      <alignment horizontal="left" vertical="center"/>
      <protection locked="0"/>
    </xf>
    <xf numFmtId="0" fontId="29" fillId="0" borderId="179" xfId="53" applyFont="1" applyBorder="1" applyAlignment="1" applyProtection="1">
      <alignment vertical="center"/>
      <protection locked="0"/>
    </xf>
    <xf numFmtId="0" fontId="29" fillId="0" borderId="0" xfId="35" applyFont="1" applyAlignment="1">
      <alignment horizontal="center" vertical="center" wrapText="1"/>
    </xf>
    <xf numFmtId="0" fontId="14" fillId="0" borderId="0" xfId="35" applyFont="1" applyAlignment="1">
      <alignment horizontal="left" vertical="top" wrapText="1"/>
    </xf>
    <xf numFmtId="0" fontId="3" fillId="0" borderId="199" xfId="35" applyBorder="1" applyAlignment="1" applyProtection="1">
      <alignment horizontal="left" vertical="top" wrapText="1"/>
      <protection locked="0"/>
    </xf>
    <xf numFmtId="0" fontId="6" fillId="0" borderId="199" xfId="35" applyFont="1" applyBorder="1" applyAlignment="1">
      <alignment horizontal="center" vertical="top" wrapText="1"/>
    </xf>
    <xf numFmtId="0" fontId="10" fillId="0" borderId="0" xfId="35" applyFont="1" applyAlignment="1" applyProtection="1">
      <alignment horizontal="left" vertical="top" wrapText="1"/>
      <protection locked="0"/>
    </xf>
    <xf numFmtId="0" fontId="10" fillId="0" borderId="0" xfId="35" applyFont="1" applyAlignment="1" applyProtection="1">
      <alignment vertical="top" wrapText="1"/>
      <protection locked="0"/>
    </xf>
    <xf numFmtId="0" fontId="7" fillId="0" borderId="0" xfId="53" applyFont="1" applyAlignment="1">
      <alignment vertical="center"/>
    </xf>
    <xf numFmtId="0" fontId="7" fillId="0" borderId="0" xfId="53" applyFont="1"/>
    <xf numFmtId="0" fontId="7" fillId="0" borderId="0" xfId="53" applyFont="1" applyAlignment="1">
      <alignment horizontal="center"/>
    </xf>
    <xf numFmtId="0" fontId="34" fillId="0" borderId="0" xfId="53" applyFont="1" applyAlignment="1" applyProtection="1">
      <alignment horizontal="center" vertical="center"/>
      <protection locked="0"/>
    </xf>
    <xf numFmtId="0" fontId="9" fillId="0" borderId="0" xfId="53" applyFont="1" applyAlignment="1">
      <alignment horizontal="center" vertical="top" wrapText="1"/>
    </xf>
    <xf numFmtId="0" fontId="32" fillId="0" borderId="0" xfId="53" applyFont="1" applyAlignment="1">
      <alignment horizontal="center"/>
    </xf>
    <xf numFmtId="0" fontId="32" fillId="0" borderId="0" xfId="53" applyFont="1" applyAlignment="1">
      <alignment horizontal="left"/>
    </xf>
    <xf numFmtId="49" fontId="29" fillId="0" borderId="0" xfId="36" applyNumberFormat="1" applyFont="1" applyAlignment="1">
      <alignment horizontal="center" vertical="top"/>
    </xf>
    <xf numFmtId="0" fontId="3" fillId="0" borderId="0" xfId="53" applyAlignment="1">
      <alignment horizontal="center"/>
    </xf>
    <xf numFmtId="0" fontId="4" fillId="0" borderId="0" xfId="53" applyFont="1" applyAlignment="1">
      <alignment vertical="top"/>
    </xf>
    <xf numFmtId="49" fontId="6" fillId="0" borderId="0" xfId="36" applyNumberFormat="1" applyFont="1" applyAlignment="1">
      <alignment horizontal="center" vertical="top"/>
    </xf>
    <xf numFmtId="0" fontId="6" fillId="0" borderId="0" xfId="36" applyFont="1" applyAlignment="1">
      <alignment horizontal="center" vertical="top"/>
    </xf>
    <xf numFmtId="0" fontId="3" fillId="0" borderId="0" xfId="53" applyAlignment="1">
      <alignment horizontal="center" vertical="center"/>
    </xf>
    <xf numFmtId="0" fontId="14" fillId="0" borderId="0" xfId="53" applyFont="1" applyAlignment="1">
      <alignment horizontal="center" vertical="center"/>
    </xf>
    <xf numFmtId="0" fontId="29" fillId="0" borderId="0" xfId="35" applyFont="1" applyAlignment="1" applyProtection="1">
      <alignment horizontal="center" vertical="center"/>
      <protection locked="0"/>
    </xf>
    <xf numFmtId="1" fontId="49" fillId="0" borderId="0" xfId="35" applyNumberFormat="1" applyFont="1" applyAlignment="1">
      <alignment horizontal="center" vertical="center" wrapText="1"/>
    </xf>
    <xf numFmtId="0" fontId="14" fillId="28" borderId="256" xfId="35" applyFont="1" applyFill="1" applyBorder="1" applyAlignment="1">
      <alignment horizontal="left" vertical="top" wrapText="1"/>
    </xf>
    <xf numFmtId="0" fontId="14" fillId="28" borderId="257" xfId="35" applyFont="1" applyFill="1" applyBorder="1" applyAlignment="1">
      <alignment horizontal="left" vertical="top" wrapText="1"/>
    </xf>
    <xf numFmtId="0" fontId="81" fillId="0" borderId="199" xfId="53" applyFont="1" applyBorder="1" applyProtection="1">
      <protection locked="0"/>
    </xf>
    <xf numFmtId="0" fontId="10" fillId="0" borderId="99" xfId="35" applyFont="1" applyBorder="1" applyAlignment="1" applyProtection="1">
      <alignment horizontal="left" vertical="top" wrapText="1"/>
      <protection locked="0"/>
    </xf>
    <xf numFmtId="0" fontId="10" fillId="0" borderId="26" xfId="35" applyFont="1" applyBorder="1" applyAlignment="1" applyProtection="1">
      <alignment vertical="top" wrapText="1"/>
      <protection locked="0"/>
    </xf>
    <xf numFmtId="49" fontId="14" fillId="0" borderId="0" xfId="35" applyNumberFormat="1" applyFont="1" applyAlignment="1">
      <alignment horizontal="left" vertical="top"/>
    </xf>
    <xf numFmtId="49" fontId="14" fillId="0" borderId="0" xfId="35" applyNumberFormat="1" applyFont="1" applyAlignment="1">
      <alignment vertical="top"/>
    </xf>
    <xf numFmtId="0" fontId="120" fillId="0" borderId="0" xfId="53" applyFont="1" applyAlignment="1" applyProtection="1">
      <alignment horizontal="center" vertical="top"/>
      <protection locked="0"/>
    </xf>
    <xf numFmtId="0" fontId="73" fillId="0" borderId="0" xfId="35" applyFont="1" applyAlignment="1">
      <alignment horizontal="center" vertical="top" wrapText="1"/>
    </xf>
    <xf numFmtId="0" fontId="34" fillId="0" borderId="0" xfId="35" applyFont="1" applyAlignment="1">
      <alignment horizontal="center" vertical="top"/>
    </xf>
    <xf numFmtId="0" fontId="34" fillId="0" borderId="0" xfId="35" applyFont="1" applyAlignment="1">
      <alignment horizontal="left" vertical="top"/>
    </xf>
    <xf numFmtId="0" fontId="3" fillId="0" borderId="0" xfId="35" applyAlignment="1">
      <alignment horizontal="center" vertical="top" wrapText="1"/>
    </xf>
    <xf numFmtId="0" fontId="29" fillId="0" borderId="0" xfId="35" applyFont="1" applyAlignment="1" applyProtection="1">
      <alignment horizontal="center" vertical="center" wrapText="1"/>
      <protection locked="0"/>
    </xf>
    <xf numFmtId="0" fontId="3" fillId="0" borderId="0" xfId="53" applyAlignment="1">
      <alignment horizontal="center" vertical="top"/>
    </xf>
    <xf numFmtId="0" fontId="34" fillId="0" borderId="0" xfId="54" applyFont="1" applyAlignment="1">
      <alignment horizontal="center" vertical="center" wrapText="1"/>
    </xf>
    <xf numFmtId="0" fontId="34" fillId="0" borderId="0" xfId="54" applyFont="1" applyAlignment="1">
      <alignment horizontal="left" vertical="center" wrapText="1"/>
    </xf>
    <xf numFmtId="0" fontId="14" fillId="0" borderId="0" xfId="35" applyFont="1" applyAlignment="1">
      <alignment vertical="top" wrapText="1"/>
    </xf>
    <xf numFmtId="0" fontId="3" fillId="0" borderId="0" xfId="53" applyAlignment="1" applyProtection="1">
      <alignment horizontal="center"/>
      <protection locked="0"/>
    </xf>
    <xf numFmtId="0" fontId="105" fillId="0" borderId="0" xfId="35" applyFont="1" applyAlignment="1" applyProtection="1">
      <alignment horizontal="center" vertical="top" wrapText="1"/>
      <protection locked="0"/>
    </xf>
    <xf numFmtId="1" fontId="6" fillId="0" borderId="0" xfId="35" applyNumberFormat="1" applyFont="1" applyAlignment="1">
      <alignment horizontal="center" vertical="top" wrapText="1"/>
    </xf>
    <xf numFmtId="0" fontId="25" fillId="0" borderId="0" xfId="54" applyFont="1" applyAlignment="1" applyProtection="1">
      <alignment horizontal="center" vertical="top" wrapText="1"/>
      <protection locked="0"/>
    </xf>
    <xf numFmtId="0" fontId="10" fillId="0" borderId="0" xfId="54" applyFont="1" applyAlignment="1" applyProtection="1">
      <alignment horizontal="left" vertical="top" wrapText="1"/>
      <protection locked="0"/>
    </xf>
    <xf numFmtId="0" fontId="10" fillId="0" borderId="0" xfId="54" applyFont="1" applyAlignment="1" applyProtection="1">
      <alignment vertical="top" wrapText="1"/>
      <protection locked="0"/>
    </xf>
    <xf numFmtId="0" fontId="35" fillId="0" borderId="0" xfId="54" applyFont="1" applyAlignment="1">
      <alignment horizontal="center" vertical="top" wrapText="1"/>
    </xf>
    <xf numFmtId="0" fontId="6" fillId="0" borderId="0" xfId="54" applyFont="1" applyAlignment="1">
      <alignment horizontal="center" vertical="top"/>
    </xf>
    <xf numFmtId="0" fontId="14" fillId="0" borderId="0" xfId="57" applyFont="1" applyAlignment="1" applyProtection="1">
      <alignment horizontal="center" vertical="center"/>
      <protection locked="0"/>
    </xf>
    <xf numFmtId="0" fontId="3" fillId="0" borderId="0" xfId="57" applyAlignment="1">
      <alignment horizontal="center" vertical="center"/>
    </xf>
    <xf numFmtId="49" fontId="14" fillId="0" borderId="98" xfId="36" applyNumberFormat="1" applyFont="1" applyBorder="1" applyAlignment="1" applyProtection="1">
      <alignment horizontal="left" vertical="top"/>
      <protection locked="0"/>
    </xf>
    <xf numFmtId="0" fontId="6" fillId="0" borderId="0" xfId="53" applyFont="1" applyAlignment="1" applyProtection="1">
      <alignment horizontal="center" vertical="top"/>
      <protection locked="0"/>
    </xf>
    <xf numFmtId="0" fontId="0" fillId="0" borderId="0" xfId="53" applyFont="1" applyAlignment="1" applyProtection="1">
      <alignment horizontal="center" vertical="top"/>
      <protection locked="0"/>
    </xf>
    <xf numFmtId="0" fontId="10" fillId="0" borderId="0" xfId="36" applyFont="1" applyAlignment="1" applyProtection="1">
      <alignment horizontal="left" vertical="top"/>
      <protection locked="0"/>
    </xf>
    <xf numFmtId="0" fontId="10" fillId="0" borderId="0" xfId="36" applyFont="1" applyAlignment="1" applyProtection="1">
      <alignment vertical="top" wrapText="1"/>
      <protection locked="0"/>
    </xf>
    <xf numFmtId="1" fontId="3" fillId="0" borderId="0" xfId="36" applyNumberFormat="1" applyProtection="1">
      <protection locked="0"/>
    </xf>
    <xf numFmtId="49" fontId="14" fillId="0" borderId="35" xfId="36" applyNumberFormat="1" applyFont="1" applyBorder="1" applyAlignment="1" applyProtection="1">
      <alignment vertical="top"/>
      <protection locked="0"/>
    </xf>
    <xf numFmtId="49" fontId="14" fillId="0" borderId="35" xfId="36" applyNumberFormat="1" applyFont="1" applyBorder="1" applyAlignment="1" applyProtection="1">
      <alignment horizontal="left" vertical="top"/>
      <protection locked="0"/>
    </xf>
    <xf numFmtId="49" fontId="10" fillId="0" borderId="35" xfId="36" applyNumberFormat="1" applyFont="1" applyBorder="1" applyAlignment="1" applyProtection="1">
      <alignment vertical="top"/>
      <protection locked="0"/>
    </xf>
    <xf numFmtId="49" fontId="10" fillId="0" borderId="35" xfId="36" applyNumberFormat="1" applyFont="1" applyBorder="1" applyAlignment="1" applyProtection="1">
      <alignment vertical="top" wrapText="1"/>
      <protection locked="0"/>
    </xf>
    <xf numFmtId="49" fontId="6" fillId="0" borderId="0" xfId="36" applyNumberFormat="1" applyFont="1" applyAlignment="1">
      <alignment horizontal="left" vertical="top" wrapText="1"/>
    </xf>
    <xf numFmtId="0" fontId="3" fillId="0" borderId="0" xfId="37" applyAlignment="1">
      <alignment horizontal="center"/>
    </xf>
    <xf numFmtId="0" fontId="14" fillId="0" borderId="0" xfId="36" applyFont="1" applyAlignment="1">
      <alignment horizontal="center"/>
    </xf>
    <xf numFmtId="0" fontId="3" fillId="0" borderId="0" xfId="36" applyAlignment="1">
      <alignment horizontal="center"/>
    </xf>
    <xf numFmtId="0" fontId="32" fillId="0" borderId="0" xfId="53" applyFont="1" applyAlignment="1">
      <alignment horizontal="center" vertical="center"/>
    </xf>
    <xf numFmtId="0" fontId="4" fillId="0" borderId="0" xfId="53" applyFont="1" applyAlignment="1">
      <alignment vertical="center"/>
    </xf>
    <xf numFmtId="0" fontId="6" fillId="0" borderId="0" xfId="36" applyFont="1" applyAlignment="1">
      <alignment horizontal="center" vertical="center"/>
    </xf>
    <xf numFmtId="0" fontId="14" fillId="0" borderId="0" xfId="37" applyFont="1" applyAlignment="1" applyProtection="1">
      <alignment horizontal="center" vertical="top"/>
      <protection locked="0"/>
    </xf>
    <xf numFmtId="0" fontId="29" fillId="0" borderId="0" xfId="35" applyFont="1" applyAlignment="1" applyProtection="1">
      <alignment horizontal="center" vertical="top" wrapText="1"/>
      <protection locked="0"/>
    </xf>
    <xf numFmtId="0" fontId="6" fillId="0" borderId="0" xfId="37" applyFont="1" applyAlignment="1">
      <alignment horizontal="center" vertical="top"/>
    </xf>
    <xf numFmtId="0" fontId="29" fillId="0" borderId="179" xfId="53" applyFont="1" applyBorder="1" applyAlignment="1" applyProtection="1">
      <alignment horizontal="center" vertical="center"/>
      <protection locked="0"/>
    </xf>
    <xf numFmtId="0" fontId="29" fillId="0" borderId="179" xfId="53" applyFont="1" applyBorder="1" applyAlignment="1">
      <alignment horizontal="center" vertical="center"/>
    </xf>
    <xf numFmtId="0" fontId="6" fillId="0" borderId="0" xfId="35" applyFont="1" applyAlignment="1">
      <alignment horizontal="center" vertical="top"/>
    </xf>
    <xf numFmtId="0" fontId="3" fillId="0" borderId="0" xfId="35" applyAlignment="1">
      <alignment horizontal="center" vertical="top"/>
    </xf>
    <xf numFmtId="0" fontId="0" fillId="0" borderId="0" xfId="53" applyFont="1" applyAlignment="1" applyProtection="1">
      <alignment horizontal="center"/>
      <protection locked="0"/>
    </xf>
    <xf numFmtId="0" fontId="34" fillId="0" borderId="0" xfId="35" applyFont="1" applyAlignment="1" applyProtection="1">
      <alignment horizontal="center" vertical="top"/>
      <protection locked="0"/>
    </xf>
    <xf numFmtId="0" fontId="34" fillId="0" borderId="0" xfId="35" applyFont="1" applyAlignment="1" applyProtection="1">
      <alignment horizontal="left" vertical="top"/>
      <protection locked="0"/>
    </xf>
    <xf numFmtId="0" fontId="29" fillId="0" borderId="179" xfId="53" applyFont="1" applyBorder="1" applyAlignment="1" applyProtection="1">
      <alignment horizontal="center" vertical="top"/>
      <protection locked="0"/>
    </xf>
    <xf numFmtId="0" fontId="81" fillId="0" borderId="0" xfId="53" applyFont="1" applyAlignment="1" applyProtection="1">
      <alignment horizontal="center" vertical="top"/>
      <protection locked="0"/>
    </xf>
    <xf numFmtId="0" fontId="81" fillId="0" borderId="0" xfId="58" applyFont="1" applyAlignment="1" applyProtection="1">
      <alignment horizontal="center" vertical="top"/>
      <protection locked="0"/>
    </xf>
    <xf numFmtId="0" fontId="34" fillId="0" borderId="0" xfId="35" applyFont="1" applyAlignment="1">
      <alignment horizontal="center"/>
    </xf>
    <xf numFmtId="0" fontId="3" fillId="0" borderId="0" xfId="35" applyAlignment="1">
      <alignment horizontal="center"/>
    </xf>
    <xf numFmtId="0" fontId="3" fillId="0" borderId="0" xfId="35" applyAlignment="1" applyProtection="1">
      <alignment horizontal="center" vertical="center" wrapText="1"/>
      <protection locked="0"/>
    </xf>
    <xf numFmtId="0" fontId="6" fillId="0" borderId="0" xfId="35" applyFont="1" applyAlignment="1" applyProtection="1">
      <alignment horizontal="center" vertical="center" wrapText="1"/>
      <protection locked="0"/>
    </xf>
    <xf numFmtId="0" fontId="4" fillId="0" borderId="0" xfId="53" applyFont="1" applyAlignment="1" applyProtection="1">
      <alignment vertical="top"/>
      <protection locked="0"/>
    </xf>
    <xf numFmtId="0" fontId="6" fillId="0" borderId="0" xfId="36" applyFont="1" applyProtection="1">
      <protection locked="0"/>
    </xf>
    <xf numFmtId="0" fontId="4" fillId="0" borderId="0" xfId="53" applyFont="1" applyAlignment="1" applyProtection="1">
      <alignment vertical="center"/>
      <protection locked="0"/>
    </xf>
    <xf numFmtId="0" fontId="6" fillId="0" borderId="0" xfId="36" applyFont="1" applyAlignment="1" applyProtection="1">
      <alignment vertical="center"/>
      <protection locked="0"/>
    </xf>
    <xf numFmtId="0" fontId="25" fillId="18" borderId="238" xfId="34" applyFont="1" applyFill="1" applyBorder="1" applyAlignment="1">
      <alignment horizontal="center" vertical="center" wrapText="1"/>
    </xf>
    <xf numFmtId="0" fontId="25" fillId="18" borderId="239" xfId="34" applyFont="1" applyFill="1" applyBorder="1" applyAlignment="1">
      <alignment horizontal="center" vertical="center" wrapText="1"/>
    </xf>
    <xf numFmtId="0" fontId="17" fillId="0" borderId="235" xfId="39" applyFont="1" applyBorder="1" applyAlignment="1">
      <alignment horizontal="center" vertical="center" wrapText="1"/>
    </xf>
    <xf numFmtId="0" fontId="17" fillId="0" borderId="239" xfId="39" applyFont="1" applyBorder="1" applyAlignment="1">
      <alignment horizontal="center" vertical="center" wrapText="1"/>
    </xf>
    <xf numFmtId="0" fontId="23" fillId="0" borderId="0" xfId="34" applyFont="1" applyAlignment="1">
      <alignment vertical="top" wrapText="1"/>
    </xf>
    <xf numFmtId="0" fontId="0" fillId="0" borderId="0" xfId="0">
      <alignment vertical="center" wrapText="1"/>
    </xf>
    <xf numFmtId="0" fontId="24" fillId="18" borderId="126" xfId="34" applyFont="1" applyFill="1" applyBorder="1" applyAlignment="1">
      <alignment horizontal="center" vertical="center" wrapText="1"/>
    </xf>
    <xf numFmtId="0" fontId="24" fillId="18" borderId="127" xfId="34" applyFont="1" applyFill="1" applyBorder="1" applyAlignment="1">
      <alignment horizontal="center" vertical="center" wrapText="1"/>
    </xf>
    <xf numFmtId="0" fontId="3" fillId="0" borderId="127" xfId="39" applyBorder="1"/>
    <xf numFmtId="0" fontId="3" fillId="0" borderId="128" xfId="39" applyBorder="1"/>
    <xf numFmtId="0" fontId="17" fillId="0" borderId="240" xfId="39" applyFont="1" applyBorder="1" applyAlignment="1">
      <alignment horizontal="center" vertical="center" wrapText="1"/>
    </xf>
    <xf numFmtId="0" fontId="0" fillId="23" borderId="38" xfId="0" applyFill="1" applyBorder="1">
      <alignment vertical="center" wrapText="1"/>
    </xf>
    <xf numFmtId="0" fontId="0" fillId="23" borderId="0" xfId="0" applyFill="1">
      <alignment vertical="center" wrapText="1"/>
    </xf>
    <xf numFmtId="0" fontId="0" fillId="23" borderId="97" xfId="0" applyFill="1" applyBorder="1">
      <alignment vertical="center" wrapText="1"/>
    </xf>
    <xf numFmtId="0" fontId="75" fillId="27" borderId="0" xfId="0" applyFont="1" applyFill="1" applyAlignment="1">
      <alignment horizontal="center" vertical="top" wrapText="1"/>
    </xf>
    <xf numFmtId="0" fontId="0" fillId="27" borderId="0" xfId="0" applyFill="1" applyAlignment="1">
      <alignment vertical="top"/>
    </xf>
    <xf numFmtId="0" fontId="7" fillId="27" borderId="0" xfId="0" applyFont="1" applyFill="1" applyAlignment="1">
      <alignment horizontal="center" vertical="top" wrapText="1"/>
    </xf>
    <xf numFmtId="0" fontId="14" fillId="37" borderId="14" xfId="0" applyFont="1" applyFill="1" applyBorder="1" applyAlignment="1">
      <alignment horizontal="left" vertical="center" wrapText="1"/>
    </xf>
    <xf numFmtId="0" fontId="0" fillId="0" borderId="16" xfId="0" applyBorder="1" applyAlignment="1">
      <alignment horizontal="left" vertical="center" wrapText="1"/>
    </xf>
    <xf numFmtId="0" fontId="14" fillId="20" borderId="14" xfId="0" applyFont="1" applyFill="1" applyBorder="1">
      <alignment vertical="center" wrapText="1"/>
    </xf>
    <xf numFmtId="0" fontId="14" fillId="20" borderId="16" xfId="0" applyFont="1" applyFill="1" applyBorder="1">
      <alignment vertical="center" wrapText="1"/>
    </xf>
    <xf numFmtId="0" fontId="31" fillId="0" borderId="11" xfId="0" applyFont="1" applyBorder="1" applyAlignment="1">
      <alignment horizontal="center" vertical="center" wrapText="1"/>
    </xf>
    <xf numFmtId="0" fontId="32" fillId="0" borderId="11" xfId="0" applyFont="1" applyBorder="1" applyAlignment="1">
      <alignment horizontal="center" vertical="center" wrapText="1"/>
    </xf>
    <xf numFmtId="0" fontId="0" fillId="37" borderId="39" xfId="0" applyFill="1" applyBorder="1">
      <alignment vertical="center" wrapText="1"/>
    </xf>
    <xf numFmtId="0" fontId="0" fillId="37" borderId="34" xfId="0" applyFill="1" applyBorder="1">
      <alignment vertical="center" wrapText="1"/>
    </xf>
    <xf numFmtId="0" fontId="0" fillId="37" borderId="17" xfId="0" applyFill="1" applyBorder="1">
      <alignment vertical="center" wrapText="1"/>
    </xf>
    <xf numFmtId="0" fontId="0" fillId="35" borderId="117" xfId="0" applyFill="1" applyBorder="1">
      <alignment vertical="center" wrapText="1"/>
    </xf>
    <xf numFmtId="0" fontId="0" fillId="35" borderId="0" xfId="0" applyFill="1">
      <alignment vertical="center" wrapText="1"/>
    </xf>
    <xf numFmtId="0" fontId="0" fillId="35" borderId="42" xfId="0" applyFill="1" applyBorder="1">
      <alignment vertical="center" wrapText="1"/>
    </xf>
    <xf numFmtId="0" fontId="14" fillId="36" borderId="14" xfId="0" applyFont="1" applyFill="1" applyBorder="1" applyAlignment="1">
      <alignment horizontal="left" vertical="center" wrapText="1"/>
    </xf>
    <xf numFmtId="0" fontId="0" fillId="0" borderId="16" xfId="0" applyBorder="1">
      <alignment vertical="center" wrapText="1"/>
    </xf>
    <xf numFmtId="0" fontId="14" fillId="23" borderId="14" xfId="32" applyFont="1" applyFill="1" applyBorder="1" applyAlignment="1" applyProtection="1">
      <alignment vertical="center" wrapText="1"/>
    </xf>
    <xf numFmtId="0" fontId="14" fillId="0" borderId="16" xfId="0" applyFont="1" applyBorder="1">
      <alignment vertical="center" wrapText="1"/>
    </xf>
    <xf numFmtId="0" fontId="0" fillId="23" borderId="37" xfId="0" applyFill="1" applyBorder="1">
      <alignment vertical="center" wrapText="1"/>
    </xf>
    <xf numFmtId="0" fontId="0" fillId="23" borderId="40" xfId="0" applyFill="1" applyBorder="1">
      <alignment vertical="center" wrapText="1"/>
    </xf>
    <xf numFmtId="0" fontId="0" fillId="23" borderId="41" xfId="0" applyFill="1" applyBorder="1">
      <alignment vertical="center" wrapText="1"/>
    </xf>
    <xf numFmtId="0" fontId="0" fillId="23" borderId="39" xfId="0" applyFill="1" applyBorder="1">
      <alignment vertical="center" wrapText="1"/>
    </xf>
    <xf numFmtId="0" fontId="0" fillId="23" borderId="34" xfId="0" applyFill="1" applyBorder="1">
      <alignment vertical="center" wrapText="1"/>
    </xf>
    <xf numFmtId="0" fontId="0" fillId="23" borderId="17" xfId="0" applyFill="1" applyBorder="1">
      <alignment vertical="center" wrapText="1"/>
    </xf>
    <xf numFmtId="0" fontId="40" fillId="35" borderId="14" xfId="32" applyFont="1" applyFill="1" applyBorder="1" applyAlignment="1" applyProtection="1">
      <alignment vertical="center"/>
    </xf>
    <xf numFmtId="0" fontId="3" fillId="35" borderId="16" xfId="0" applyFont="1" applyFill="1" applyBorder="1">
      <alignment vertical="center" wrapText="1"/>
    </xf>
    <xf numFmtId="0" fontId="0" fillId="20" borderId="37" xfId="0" applyFill="1" applyBorder="1">
      <alignment vertical="center" wrapText="1"/>
    </xf>
    <xf numFmtId="0" fontId="0" fillId="20" borderId="40" xfId="0" applyFill="1" applyBorder="1">
      <alignment vertical="center" wrapText="1"/>
    </xf>
    <xf numFmtId="0" fontId="0" fillId="20" borderId="41" xfId="0" applyFill="1" applyBorder="1">
      <alignment vertical="center" wrapText="1"/>
    </xf>
    <xf numFmtId="0" fontId="0" fillId="20" borderId="38" xfId="0" applyFill="1" applyBorder="1">
      <alignment vertical="center" wrapText="1"/>
    </xf>
    <xf numFmtId="0" fontId="0" fillId="20" borderId="0" xfId="0" applyFill="1">
      <alignment vertical="center" wrapText="1"/>
    </xf>
    <xf numFmtId="0" fontId="0" fillId="20" borderId="97" xfId="0" applyFill="1" applyBorder="1">
      <alignment vertical="center" wrapText="1"/>
    </xf>
    <xf numFmtId="0" fontId="0" fillId="20" borderId="39" xfId="0" applyFill="1" applyBorder="1">
      <alignment vertical="center" wrapText="1"/>
    </xf>
    <xf numFmtId="0" fontId="0" fillId="20" borderId="34" xfId="0" applyFill="1" applyBorder="1">
      <alignment vertical="center" wrapText="1"/>
    </xf>
    <xf numFmtId="0" fontId="0" fillId="20" borderId="17" xfId="0" applyFill="1" applyBorder="1">
      <alignment vertical="center" wrapText="1"/>
    </xf>
    <xf numFmtId="0" fontId="0" fillId="37" borderId="37" xfId="0" applyFill="1" applyBorder="1">
      <alignment vertical="center" wrapText="1"/>
    </xf>
    <xf numFmtId="0" fontId="0" fillId="37" borderId="40" xfId="0" applyFill="1" applyBorder="1">
      <alignment vertical="center" wrapText="1"/>
    </xf>
    <xf numFmtId="0" fontId="0" fillId="37" borderId="41" xfId="0" applyFill="1" applyBorder="1">
      <alignment vertical="center" wrapText="1"/>
    </xf>
    <xf numFmtId="0" fontId="0" fillId="37" borderId="38" xfId="0" applyFill="1" applyBorder="1">
      <alignment vertical="center" wrapText="1"/>
    </xf>
    <xf numFmtId="0" fontId="0" fillId="37" borderId="0" xfId="0" applyFill="1">
      <alignment vertical="center" wrapText="1"/>
    </xf>
    <xf numFmtId="0" fontId="0" fillId="37" borderId="97" xfId="0" applyFill="1" applyBorder="1">
      <alignment vertical="center" wrapText="1"/>
    </xf>
    <xf numFmtId="0" fontId="0" fillId="36" borderId="38" xfId="0" applyFill="1" applyBorder="1">
      <alignment vertical="center" wrapText="1"/>
    </xf>
    <xf numFmtId="0" fontId="0" fillId="36" borderId="0" xfId="0" applyFill="1">
      <alignment vertical="center" wrapText="1"/>
    </xf>
    <xf numFmtId="0" fontId="0" fillId="36" borderId="97" xfId="0" applyFill="1" applyBorder="1">
      <alignment vertical="center" wrapText="1"/>
    </xf>
    <xf numFmtId="0" fontId="0" fillId="36" borderId="37" xfId="0" applyFill="1" applyBorder="1">
      <alignment vertical="center" wrapText="1"/>
    </xf>
    <xf numFmtId="0" fontId="3" fillId="36" borderId="40" xfId="0" applyFont="1" applyFill="1" applyBorder="1">
      <alignment vertical="center" wrapText="1"/>
    </xf>
    <xf numFmtId="0" fontId="3" fillId="36" borderId="41" xfId="0" applyFont="1" applyFill="1" applyBorder="1">
      <alignment vertical="center" wrapText="1"/>
    </xf>
    <xf numFmtId="0" fontId="0" fillId="35" borderId="116" xfId="0" applyFill="1" applyBorder="1">
      <alignment vertical="center" wrapText="1"/>
    </xf>
    <xf numFmtId="0" fontId="0" fillId="35" borderId="253" xfId="0" applyFill="1" applyBorder="1">
      <alignment vertical="center" wrapText="1"/>
    </xf>
    <xf numFmtId="0" fontId="0" fillId="35" borderId="40" xfId="0" applyFill="1" applyBorder="1">
      <alignment vertical="center" wrapText="1"/>
    </xf>
    <xf numFmtId="0" fontId="0" fillId="35" borderId="41" xfId="0" applyFill="1" applyBorder="1">
      <alignment vertical="center" wrapText="1"/>
    </xf>
    <xf numFmtId="49" fontId="3" fillId="0" borderId="0" xfId="62" applyNumberFormat="1" applyAlignment="1">
      <alignment vertical="top" wrapText="1"/>
    </xf>
    <xf numFmtId="165" fontId="110" fillId="0" borderId="0" xfId="62" applyFont="1" applyAlignment="1">
      <alignment horizontal="center" vertical="top" wrapText="1"/>
    </xf>
    <xf numFmtId="165" fontId="111" fillId="0" borderId="0" xfId="62" applyFont="1" applyAlignment="1">
      <alignment horizontal="center" vertical="center" wrapText="1"/>
    </xf>
    <xf numFmtId="165" fontId="3" fillId="0" borderId="0" xfId="62" applyAlignment="1">
      <alignment horizontal="left" vertical="top" wrapText="1"/>
    </xf>
    <xf numFmtId="49" fontId="14" fillId="0" borderId="0" xfId="62" applyNumberFormat="1" applyFont="1">
      <alignment vertical="center" wrapText="1"/>
    </xf>
    <xf numFmtId="165" fontId="113" fillId="0" borderId="0" xfId="62" applyFont="1" applyAlignment="1">
      <alignment vertical="top" wrapText="1"/>
    </xf>
    <xf numFmtId="165" fontId="3" fillId="0" borderId="0" xfId="62" applyAlignment="1">
      <alignment vertical="top" wrapText="1"/>
    </xf>
    <xf numFmtId="0" fontId="91" fillId="0" borderId="0" xfId="0" applyFont="1" applyAlignment="1">
      <alignment horizontal="center" vertical="center" wrapText="1"/>
    </xf>
    <xf numFmtId="0" fontId="14" fillId="42" borderId="127" xfId="39" applyFont="1" applyFill="1" applyBorder="1" applyAlignment="1">
      <alignment horizontal="center"/>
    </xf>
    <xf numFmtId="0" fontId="14" fillId="0" borderId="128" xfId="0" applyFont="1" applyBorder="1" applyAlignment="1">
      <alignment horizontal="center"/>
    </xf>
    <xf numFmtId="0" fontId="0" fillId="0" borderId="38" xfId="0" applyBorder="1">
      <alignment vertical="center" wrapText="1"/>
    </xf>
    <xf numFmtId="0" fontId="0" fillId="0" borderId="145" xfId="0" applyBorder="1">
      <alignment vertical="center" wrapText="1"/>
    </xf>
    <xf numFmtId="0" fontId="25" fillId="42" borderId="238" xfId="34" applyFont="1" applyFill="1" applyBorder="1" applyAlignment="1">
      <alignment horizontal="center" vertical="center" wrapText="1"/>
    </xf>
    <xf numFmtId="0" fontId="25" fillId="42" borderId="239" xfId="34" applyFont="1" applyFill="1" applyBorder="1" applyAlignment="1">
      <alignment horizontal="center" vertical="center" wrapText="1"/>
    </xf>
    <xf numFmtId="0" fontId="0" fillId="0" borderId="235" xfId="0" applyBorder="1" applyAlignment="1">
      <alignment horizontal="center" vertical="center" wrapText="1"/>
    </xf>
    <xf numFmtId="0" fontId="8" fillId="0" borderId="246" xfId="39" applyFont="1" applyBorder="1" applyAlignment="1">
      <alignment horizontal="left"/>
    </xf>
    <xf numFmtId="0" fontId="8" fillId="0" borderId="248" xfId="39" applyFont="1" applyBorder="1" applyAlignment="1">
      <alignment horizontal="left"/>
    </xf>
    <xf numFmtId="0" fontId="7" fillId="27" borderId="243" xfId="39" applyFont="1" applyFill="1" applyBorder="1" applyAlignment="1">
      <alignment horizontal="center" vertical="center"/>
    </xf>
    <xf numFmtId="0" fontId="7" fillId="27" borderId="127" xfId="39" applyFont="1" applyFill="1" applyBorder="1" applyAlignment="1">
      <alignment horizontal="center" vertical="center"/>
    </xf>
    <xf numFmtId="0" fontId="7" fillId="27" borderId="244" xfId="39" applyFont="1" applyFill="1" applyBorder="1" applyAlignment="1">
      <alignment horizontal="center" vertical="center"/>
    </xf>
    <xf numFmtId="0" fontId="3" fillId="0" borderId="0" xfId="39" applyAlignment="1">
      <alignment horizontal="left" wrapText="1"/>
    </xf>
    <xf numFmtId="0" fontId="34" fillId="0" borderId="0" xfId="35" applyFont="1" applyAlignment="1">
      <alignment horizontal="left" vertical="center" wrapText="1"/>
    </xf>
    <xf numFmtId="0" fontId="34" fillId="0" borderId="0" xfId="35" applyFont="1" applyAlignment="1" applyProtection="1">
      <alignment horizontal="left" vertical="center" wrapText="1"/>
      <protection locked="0"/>
    </xf>
    <xf numFmtId="0" fontId="34" fillId="0" borderId="258" xfId="35" applyFont="1" applyBorder="1" applyAlignment="1" applyProtection="1">
      <alignment horizontal="left" vertical="center" wrapText="1"/>
      <protection locked="0"/>
    </xf>
    <xf numFmtId="0" fontId="34" fillId="0" borderId="0" xfId="35" applyFont="1" applyAlignment="1">
      <alignment vertical="center" wrapText="1"/>
    </xf>
    <xf numFmtId="49" fontId="29" fillId="0" borderId="0" xfId="54" applyNumberFormat="1" applyFont="1" applyAlignment="1">
      <alignment horizontal="left" wrapText="1"/>
    </xf>
    <xf numFmtId="0" fontId="48" fillId="26" borderId="35" xfId="37" applyFont="1" applyFill="1" applyBorder="1" applyAlignment="1">
      <alignment horizontal="left" vertical="center"/>
    </xf>
    <xf numFmtId="0" fontId="0" fillId="0" borderId="35" xfId="0" applyBorder="1" applyAlignment="1">
      <alignment vertical="center"/>
    </xf>
    <xf numFmtId="0" fontId="4" fillId="0" borderId="182" xfId="0" applyFont="1" applyBorder="1">
      <alignment vertical="center" wrapText="1"/>
    </xf>
    <xf numFmtId="0" fontId="0" fillId="0" borderId="165" xfId="0" applyBorder="1">
      <alignment vertical="center" wrapText="1"/>
    </xf>
    <xf numFmtId="0" fontId="0" fillId="0" borderId="249" xfId="0" applyBorder="1">
      <alignment vertical="center" wrapText="1"/>
    </xf>
    <xf numFmtId="0" fontId="4" fillId="0" borderId="176" xfId="0" applyFont="1" applyBorder="1">
      <alignment vertical="center" wrapText="1"/>
    </xf>
    <xf numFmtId="0" fontId="0" fillId="0" borderId="229" xfId="0" applyBorder="1">
      <alignment vertical="center" wrapText="1"/>
    </xf>
    <xf numFmtId="0" fontId="0" fillId="0" borderId="250" xfId="0" applyBorder="1">
      <alignment vertical="center" wrapText="1"/>
    </xf>
    <xf numFmtId="0" fontId="90" fillId="41" borderId="88" xfId="0" applyFont="1" applyFill="1" applyBorder="1" applyAlignment="1">
      <alignment horizontal="left" vertical="top"/>
    </xf>
    <xf numFmtId="0" fontId="77" fillId="41" borderId="89" xfId="0" applyFont="1" applyFill="1" applyBorder="1">
      <alignment vertical="center" wrapText="1"/>
    </xf>
    <xf numFmtId="0" fontId="77" fillId="41" borderId="90" xfId="0" applyFont="1" applyFill="1" applyBorder="1">
      <alignment vertical="center" wrapText="1"/>
    </xf>
    <xf numFmtId="0" fontId="4" fillId="0" borderId="24" xfId="0" applyFont="1" applyBorder="1">
      <alignment vertical="center" wrapText="1"/>
    </xf>
    <xf numFmtId="0" fontId="4" fillId="0" borderId="229" xfId="0" applyFont="1" applyBorder="1">
      <alignment vertical="center" wrapText="1"/>
    </xf>
    <xf numFmtId="0" fontId="4" fillId="0" borderId="73" xfId="0" applyFont="1" applyBorder="1">
      <alignment vertical="center" wrapText="1"/>
    </xf>
    <xf numFmtId="0" fontId="0" fillId="0" borderId="73" xfId="0" applyBorder="1">
      <alignment vertical="center" wrapText="1"/>
    </xf>
    <xf numFmtId="0" fontId="0" fillId="0" borderId="25" xfId="0" applyBorder="1">
      <alignment vertical="center" wrapText="1"/>
    </xf>
    <xf numFmtId="0" fontId="4" fillId="0" borderId="25" xfId="0" applyFont="1" applyBorder="1">
      <alignment vertical="center" wrapText="1"/>
    </xf>
    <xf numFmtId="0" fontId="4" fillId="0" borderId="78" xfId="0" applyFont="1" applyBorder="1">
      <alignment vertical="center" wrapText="1"/>
    </xf>
    <xf numFmtId="0" fontId="4" fillId="0" borderId="165" xfId="0" applyFont="1" applyBorder="1">
      <alignment vertical="center" wrapText="1"/>
    </xf>
    <xf numFmtId="0" fontId="4" fillId="0" borderId="87" xfId="0" applyFont="1" applyBorder="1">
      <alignment vertical="center" wrapText="1"/>
    </xf>
    <xf numFmtId="0" fontId="0" fillId="0" borderId="87" xfId="0" applyBorder="1">
      <alignment vertical="center" wrapText="1"/>
    </xf>
    <xf numFmtId="0" fontId="4" fillId="0" borderId="79" xfId="0" applyFont="1" applyBorder="1">
      <alignment vertical="center" wrapText="1"/>
    </xf>
    <xf numFmtId="0" fontId="0" fillId="0" borderId="79" xfId="0" applyBorder="1">
      <alignment vertical="center" wrapText="1"/>
    </xf>
    <xf numFmtId="0" fontId="4" fillId="0" borderId="176" xfId="0" applyFont="1" applyBorder="1" applyAlignment="1">
      <alignment horizontal="center" vertical="center" wrapText="1"/>
    </xf>
    <xf numFmtId="0" fontId="4" fillId="0" borderId="73" xfId="0" applyFont="1" applyBorder="1" applyAlignment="1">
      <alignment horizontal="center" vertical="center" wrapText="1"/>
    </xf>
    <xf numFmtId="0" fontId="4" fillId="0" borderId="183" xfId="0" applyFont="1" applyBorder="1" applyAlignment="1">
      <alignment horizontal="center" vertical="center" wrapText="1"/>
    </xf>
    <xf numFmtId="0" fontId="4" fillId="0" borderId="182" xfId="0" applyFont="1" applyBorder="1" applyAlignment="1">
      <alignment horizontal="left" vertical="center" wrapText="1"/>
    </xf>
    <xf numFmtId="0" fontId="4" fillId="0" borderId="165" xfId="0" applyFont="1" applyBorder="1" applyAlignment="1">
      <alignment horizontal="left" vertical="center" wrapText="1"/>
    </xf>
    <xf numFmtId="0" fontId="4" fillId="0" borderId="184" xfId="0" applyFont="1" applyBorder="1" applyAlignment="1">
      <alignment horizontal="left" vertical="center" wrapText="1"/>
    </xf>
    <xf numFmtId="0" fontId="83" fillId="0" borderId="0" xfId="0" applyFont="1" applyAlignment="1">
      <alignment horizontal="center" textRotation="90" wrapText="1"/>
    </xf>
    <xf numFmtId="0" fontId="92" fillId="0" borderId="0" xfId="0" applyFont="1" applyAlignment="1">
      <alignment horizontal="center" vertical="center" wrapText="1"/>
    </xf>
    <xf numFmtId="0" fontId="13" fillId="0" borderId="0" xfId="0" applyFont="1" applyAlignment="1">
      <alignment horizontal="center" textRotation="90" wrapText="1"/>
    </xf>
    <xf numFmtId="0" fontId="15" fillId="0" borderId="0" xfId="0" applyFont="1">
      <alignment vertical="center" wrapText="1"/>
    </xf>
    <xf numFmtId="0" fontId="15" fillId="0" borderId="0" xfId="0" applyFont="1" applyAlignment="1">
      <alignment horizontal="center" vertical="center" wrapText="1"/>
    </xf>
    <xf numFmtId="0" fontId="5" fillId="0" borderId="0" xfId="0" applyFont="1" applyAlignment="1">
      <alignment horizontal="center" textRotation="90" wrapText="1"/>
    </xf>
    <xf numFmtId="0" fontId="0" fillId="0" borderId="0" xfId="0" applyAlignment="1">
      <alignment horizontal="center" vertical="center" wrapText="1"/>
    </xf>
    <xf numFmtId="0" fontId="29" fillId="0" borderId="11" xfId="40" applyFont="1" applyBorder="1" applyAlignment="1">
      <alignment horizontal="center" vertical="top" wrapText="1"/>
    </xf>
    <xf numFmtId="49" fontId="29" fillId="27" borderId="12" xfId="40" applyNumberFormat="1" applyFont="1" applyFill="1" applyBorder="1" applyAlignment="1">
      <alignment horizontal="center" vertical="center" wrapText="1"/>
    </xf>
    <xf numFmtId="49" fontId="29" fillId="27" borderId="15" xfId="40" applyNumberFormat="1" applyFont="1" applyFill="1" applyBorder="1" applyAlignment="1">
      <alignment horizontal="center" vertical="center" wrapText="1"/>
    </xf>
    <xf numFmtId="0" fontId="29" fillId="27" borderId="12" xfId="40" applyFont="1" applyFill="1" applyBorder="1" applyAlignment="1">
      <alignment horizontal="center" vertical="center" wrapText="1"/>
    </xf>
    <xf numFmtId="0" fontId="29" fillId="27" borderId="15" xfId="40" applyFont="1" applyFill="1" applyBorder="1" applyAlignment="1">
      <alignment horizontal="center" vertical="center" wrapText="1"/>
    </xf>
    <xf numFmtId="0" fontId="83" fillId="0" borderId="13" xfId="0" applyFont="1" applyBorder="1" applyAlignment="1">
      <alignment horizontal="center" textRotation="90"/>
    </xf>
    <xf numFmtId="0" fontId="92" fillId="0" borderId="13" xfId="0" applyFont="1" applyBorder="1" applyAlignment="1">
      <alignment horizontal="center" vertical="center" textRotation="90"/>
    </xf>
    <xf numFmtId="0" fontId="5" fillId="0" borderId="34" xfId="0" applyFont="1" applyBorder="1" applyAlignment="1">
      <alignment horizontal="center" textRotation="90" wrapText="1"/>
    </xf>
    <xf numFmtId="0" fontId="0" fillId="0" borderId="34" xfId="0" applyBorder="1" applyAlignment="1">
      <alignment horizontal="center" vertical="center" wrapText="1"/>
    </xf>
    <xf numFmtId="0" fontId="32" fillId="32" borderId="201" xfId="0" applyFont="1" applyFill="1" applyBorder="1" applyAlignment="1">
      <alignment horizontal="left" vertical="center"/>
    </xf>
    <xf numFmtId="0" fontId="32" fillId="32" borderId="201" xfId="0" applyFont="1" applyFill="1" applyBorder="1" applyAlignment="1">
      <alignment horizontal="left" vertical="top"/>
    </xf>
    <xf numFmtId="0" fontId="0" fillId="0" borderId="40" xfId="0" applyBorder="1" applyAlignment="1">
      <alignment horizontal="center" vertical="center" wrapText="1"/>
    </xf>
    <xf numFmtId="0" fontId="8" fillId="0" borderId="91" xfId="0" applyFont="1" applyBorder="1" applyAlignment="1">
      <alignment horizontal="center" vertical="top" wrapText="1"/>
    </xf>
    <xf numFmtId="0" fontId="0" fillId="0" borderId="43" xfId="0" applyBorder="1" applyAlignment="1">
      <alignment vertical="top" wrapText="1"/>
    </xf>
    <xf numFmtId="0" fontId="8" fillId="0" borderId="176" xfId="0" applyFont="1" applyBorder="1" applyAlignment="1">
      <alignment horizontal="center" vertical="center" textRotation="90" wrapText="1"/>
    </xf>
    <xf numFmtId="0" fontId="8" fillId="0" borderId="156" xfId="0" applyFont="1" applyBorder="1" applyAlignment="1">
      <alignment horizontal="center" vertical="center" textRotation="90" wrapText="1"/>
    </xf>
    <xf numFmtId="0" fontId="8" fillId="0" borderId="178" xfId="0" applyFont="1" applyBorder="1" applyAlignment="1">
      <alignment horizontal="center" vertical="center" textRotation="90" wrapText="1"/>
    </xf>
    <xf numFmtId="0" fontId="8" fillId="0" borderId="81" xfId="0" applyFont="1" applyBorder="1" applyAlignment="1">
      <alignment horizontal="center" vertical="center" textRotation="90" wrapText="1"/>
    </xf>
    <xf numFmtId="0" fontId="8" fillId="0" borderId="182" xfId="0" applyFont="1" applyBorder="1" applyAlignment="1">
      <alignment horizontal="center" vertical="center" textRotation="90" wrapText="1"/>
    </xf>
    <xf numFmtId="0" fontId="8" fillId="0" borderId="79" xfId="0" applyFont="1" applyBorder="1" applyAlignment="1">
      <alignment horizontal="center" vertical="center" textRotation="90" wrapText="1"/>
    </xf>
    <xf numFmtId="0" fontId="32" fillId="32" borderId="0" xfId="0" applyFont="1" applyFill="1" applyAlignment="1">
      <alignment horizontal="left" vertical="top"/>
    </xf>
    <xf numFmtId="0" fontId="32" fillId="32" borderId="157" xfId="0" applyFont="1" applyFill="1" applyBorder="1" applyAlignment="1">
      <alignment horizontal="left" vertical="top"/>
    </xf>
    <xf numFmtId="0" fontId="87" fillId="0" borderId="113" xfId="0" applyFont="1" applyBorder="1" applyAlignment="1">
      <alignment horizontal="center" vertical="center" wrapText="1"/>
    </xf>
    <xf numFmtId="0" fontId="87" fillId="0" borderId="164" xfId="0" applyFont="1" applyBorder="1" applyAlignment="1">
      <alignment horizontal="center" vertical="center" wrapText="1"/>
    </xf>
    <xf numFmtId="0" fontId="87" fillId="0" borderId="32" xfId="0" applyFont="1" applyBorder="1" applyAlignment="1">
      <alignment horizontal="center" vertical="center" wrapText="1"/>
    </xf>
    <xf numFmtId="0" fontId="87" fillId="0" borderId="169" xfId="0" applyFont="1" applyBorder="1" applyAlignment="1">
      <alignment horizontal="center" vertical="center" wrapText="1"/>
    </xf>
    <xf numFmtId="0" fontId="87" fillId="0" borderId="170" xfId="0" applyFont="1" applyBorder="1" applyAlignment="1">
      <alignment horizontal="center" vertical="center" wrapText="1"/>
    </xf>
    <xf numFmtId="0" fontId="87" fillId="0" borderId="61" xfId="0" applyFont="1" applyBorder="1" applyAlignment="1">
      <alignment horizontal="center" vertical="center" wrapText="1"/>
    </xf>
    <xf numFmtId="0" fontId="3" fillId="0" borderId="173" xfId="59" applyBorder="1" applyAlignment="1">
      <alignment vertical="top"/>
    </xf>
    <xf numFmtId="0" fontId="3" fillId="0" borderId="174" xfId="59" applyBorder="1" applyAlignment="1">
      <alignment vertical="top"/>
    </xf>
    <xf numFmtId="0" fontId="3" fillId="0" borderId="175" xfId="59" applyBorder="1" applyAlignment="1">
      <alignment vertical="top"/>
    </xf>
    <xf numFmtId="0" fontId="3" fillId="0" borderId="169" xfId="59" applyBorder="1" applyAlignment="1">
      <alignment vertical="top" wrapText="1"/>
    </xf>
    <xf numFmtId="0" fontId="3" fillId="0" borderId="170" xfId="59" applyBorder="1" applyAlignment="1">
      <alignment vertical="top" wrapText="1"/>
    </xf>
    <xf numFmtId="0" fontId="3" fillId="0" borderId="61" xfId="59" applyBorder="1" applyAlignment="1">
      <alignment vertical="top" wrapText="1"/>
    </xf>
    <xf numFmtId="0" fontId="3" fillId="0" borderId="0" xfId="59" applyAlignment="1">
      <alignment horizontal="center"/>
    </xf>
    <xf numFmtId="0" fontId="8" fillId="0" borderId="97" xfId="59" applyFont="1" applyBorder="1" applyAlignment="1">
      <alignment horizontal="left" vertical="top" wrapText="1"/>
    </xf>
    <xf numFmtId="0" fontId="3" fillId="0" borderId="97" xfId="59" applyBorder="1"/>
    <xf numFmtId="0" fontId="3" fillId="0" borderId="173" xfId="59" applyBorder="1" applyAlignment="1">
      <alignment horizontal="left" vertical="top"/>
    </xf>
    <xf numFmtId="0" fontId="3" fillId="0" borderId="174" xfId="59" applyBorder="1" applyAlignment="1">
      <alignment horizontal="left" vertical="top"/>
    </xf>
    <xf numFmtId="0" fontId="3" fillId="0" borderId="169" xfId="59" applyBorder="1" applyAlignment="1">
      <alignment horizontal="left" vertical="top" wrapText="1"/>
    </xf>
    <xf numFmtId="0" fontId="3" fillId="0" borderId="170" xfId="59" applyBorder="1" applyAlignment="1">
      <alignment horizontal="left" vertical="top" wrapText="1"/>
    </xf>
    <xf numFmtId="0" fontId="3" fillId="0" borderId="164" xfId="59" applyBorder="1" applyAlignment="1">
      <alignment horizontal="left" vertical="top" wrapText="1"/>
    </xf>
    <xf numFmtId="0" fontId="0" fillId="0" borderId="0" xfId="39" applyFont="1" applyAlignment="1">
      <alignment horizontal="center" wrapText="1"/>
    </xf>
    <xf numFmtId="0" fontId="3" fillId="0" borderId="0" xfId="39" applyAlignment="1">
      <alignment horizontal="center" wrapText="1"/>
    </xf>
    <xf numFmtId="0" fontId="34" fillId="27" borderId="84" xfId="39" applyFont="1" applyFill="1" applyBorder="1" applyAlignment="1">
      <alignment horizontal="center" vertical="center"/>
    </xf>
    <xf numFmtId="0" fontId="34" fillId="27" borderId="85" xfId="39" applyFont="1" applyFill="1" applyBorder="1" applyAlignment="1">
      <alignment horizontal="center" vertical="center"/>
    </xf>
    <xf numFmtId="0" fontId="34" fillId="27" borderId="86" xfId="39" applyFont="1" applyFill="1" applyBorder="1" applyAlignment="1">
      <alignment horizontal="center" vertical="center"/>
    </xf>
    <xf numFmtId="0" fontId="34" fillId="27" borderId="92" xfId="39" applyFont="1" applyFill="1" applyBorder="1" applyAlignment="1">
      <alignment horizontal="center" vertical="center"/>
    </xf>
    <xf numFmtId="0" fontId="34" fillId="27" borderId="93" xfId="39" applyFont="1" applyFill="1" applyBorder="1" applyAlignment="1">
      <alignment horizontal="center" vertical="center"/>
    </xf>
    <xf numFmtId="0" fontId="34" fillId="27" borderId="105" xfId="39" applyFont="1" applyFill="1" applyBorder="1" applyAlignment="1">
      <alignment horizontal="center" vertical="center"/>
    </xf>
    <xf numFmtId="0" fontId="3" fillId="31" borderId="104" xfId="39" applyFill="1" applyBorder="1" applyProtection="1">
      <protection locked="0"/>
    </xf>
    <xf numFmtId="0" fontId="0" fillId="31" borderId="104" xfId="0" applyFill="1" applyBorder="1" applyAlignment="1" applyProtection="1">
      <protection locked="0"/>
    </xf>
    <xf numFmtId="0" fontId="3" fillId="31" borderId="19" xfId="39" applyFill="1" applyBorder="1" applyAlignment="1">
      <alignment horizontal="center"/>
    </xf>
    <xf numFmtId="0" fontId="0" fillId="31" borderId="0" xfId="39" applyFont="1" applyFill="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0" fillId="31" borderId="0" xfId="39" applyFont="1" applyFill="1" applyAlignment="1">
      <alignment horizontal="center" vertical="top" wrapText="1"/>
    </xf>
    <xf numFmtId="0" fontId="0" fillId="0" borderId="0" xfId="0" applyAlignment="1">
      <alignment horizontal="center" vertical="top" wrapText="1"/>
    </xf>
    <xf numFmtId="0" fontId="0" fillId="0" borderId="19" xfId="0" applyBorder="1" applyAlignment="1">
      <alignment horizontal="center" vertical="top" wrapText="1"/>
    </xf>
    <xf numFmtId="14" fontId="0" fillId="34" borderId="112" xfId="0" applyNumberFormat="1" applyFill="1" applyBorder="1" applyAlignment="1" applyProtection="1">
      <alignment horizontal="center" vertical="top" wrapText="1"/>
      <protection locked="0"/>
    </xf>
    <xf numFmtId="14" fontId="0" fillId="0" borderId="112" xfId="0" applyNumberFormat="1" applyBorder="1" applyAlignment="1" applyProtection="1">
      <alignment horizontal="center" vertical="top" wrapText="1"/>
      <protection locked="0"/>
    </xf>
    <xf numFmtId="0" fontId="7" fillId="27" borderId="84" xfId="39" applyFont="1" applyFill="1" applyBorder="1" applyAlignment="1">
      <alignment horizontal="center" vertical="center"/>
    </xf>
    <xf numFmtId="0" fontId="7" fillId="27" borderId="85" xfId="39" applyFont="1" applyFill="1" applyBorder="1" applyAlignment="1">
      <alignment horizontal="center" vertical="center"/>
    </xf>
    <xf numFmtId="0" fontId="14" fillId="31" borderId="102" xfId="39" applyFont="1" applyFill="1" applyBorder="1" applyAlignment="1">
      <alignment horizontal="center" vertical="center" wrapText="1"/>
    </xf>
    <xf numFmtId="0" fontId="14" fillId="31" borderId="110" xfId="39" applyFont="1" applyFill="1" applyBorder="1" applyAlignment="1">
      <alignment horizontal="center" vertical="center" wrapText="1"/>
    </xf>
    <xf numFmtId="0" fontId="14" fillId="31" borderId="103" xfId="39" applyFont="1" applyFill="1" applyBorder="1" applyAlignment="1">
      <alignment horizontal="center" vertical="center" wrapText="1"/>
    </xf>
    <xf numFmtId="0" fontId="14" fillId="31" borderId="104" xfId="39" applyFont="1" applyFill="1" applyBorder="1" applyAlignment="1">
      <alignment horizontal="center" vertical="center" wrapText="1"/>
    </xf>
    <xf numFmtId="0" fontId="14" fillId="31" borderId="0" xfId="39" applyFont="1" applyFill="1" applyAlignment="1">
      <alignment horizontal="center" vertical="center" wrapText="1"/>
    </xf>
    <xf numFmtId="0" fontId="14" fillId="31" borderId="19" xfId="39" applyFont="1" applyFill="1" applyBorder="1" applyAlignment="1">
      <alignment horizontal="center" vertical="center" wrapText="1"/>
    </xf>
    <xf numFmtId="0" fontId="0" fillId="31" borderId="19" xfId="39" applyFont="1" applyFill="1" applyBorder="1" applyAlignment="1">
      <alignment horizontal="left" vertical="center" wrapText="1"/>
    </xf>
    <xf numFmtId="0" fontId="3" fillId="31" borderId="0" xfId="39" applyFill="1" applyAlignment="1">
      <alignment horizontal="center"/>
    </xf>
    <xf numFmtId="0" fontId="4" fillId="0" borderId="68" xfId="0" applyFont="1" applyBorder="1">
      <alignment vertical="center" wrapText="1"/>
    </xf>
    <xf numFmtId="0" fontId="4" fillId="0" borderId="70" xfId="0" applyFont="1" applyBorder="1">
      <alignment vertical="center" wrapText="1"/>
    </xf>
    <xf numFmtId="0" fontId="4" fillId="0" borderId="10" xfId="0" applyFont="1" applyBorder="1">
      <alignment vertical="center" wrapText="1"/>
    </xf>
    <xf numFmtId="0" fontId="4" fillId="0" borderId="71" xfId="0" applyFont="1" applyBorder="1">
      <alignment vertical="center" wrapText="1"/>
    </xf>
    <xf numFmtId="0" fontId="0" fillId="0" borderId="68" xfId="0" applyBorder="1">
      <alignment vertical="center" wrapText="1"/>
    </xf>
    <xf numFmtId="0" fontId="0" fillId="0" borderId="10" xfId="0" applyBorder="1">
      <alignment vertical="center" wrapText="1"/>
    </xf>
    <xf numFmtId="0" fontId="36" fillId="0" borderId="0" xfId="0" applyFont="1" applyAlignment="1">
      <alignment horizontal="center" vertical="center" wrapText="1"/>
    </xf>
    <xf numFmtId="0" fontId="16" fillId="0" borderId="65" xfId="0" applyFont="1" applyBorder="1" applyAlignment="1">
      <alignment horizontal="left" vertical="top"/>
    </xf>
    <xf numFmtId="0" fontId="0" fillId="0" borderId="66" xfId="0" applyBorder="1">
      <alignment vertical="center" wrapText="1"/>
    </xf>
    <xf numFmtId="0" fontId="34" fillId="0" borderId="66" xfId="0" applyFont="1" applyBorder="1" applyAlignment="1">
      <alignment horizontal="center" vertical="center" wrapText="1"/>
    </xf>
    <xf numFmtId="0" fontId="34" fillId="0" borderId="67" xfId="0" applyFont="1" applyBorder="1" applyAlignment="1">
      <alignment horizontal="center" vertical="center" wrapText="1"/>
    </xf>
    <xf numFmtId="0" fontId="32" fillId="0" borderId="24" xfId="0" applyFont="1" applyBorder="1" applyAlignment="1">
      <alignment horizontal="center" vertical="center" wrapText="1"/>
    </xf>
    <xf numFmtId="0" fontId="32" fillId="30" borderId="24" xfId="41" applyFont="1" applyFill="1" applyBorder="1" applyAlignment="1">
      <alignment horizontal="center" vertical="center" wrapText="1"/>
    </xf>
    <xf numFmtId="0" fontId="19" fillId="0" borderId="73" xfId="41" applyBorder="1">
      <alignment vertical="center" wrapText="1"/>
    </xf>
    <xf numFmtId="0" fontId="19" fillId="0" borderId="25" xfId="41" applyBorder="1">
      <alignment vertical="center" wrapText="1"/>
    </xf>
    <xf numFmtId="0" fontId="32" fillId="24" borderId="24" xfId="41" applyFont="1" applyFill="1" applyBorder="1" applyAlignment="1">
      <alignment horizontal="center" vertical="center" wrapText="1"/>
    </xf>
    <xf numFmtId="0" fontId="32" fillId="0" borderId="24" xfId="41" applyFont="1" applyBorder="1" applyAlignment="1">
      <alignment horizontal="center" vertical="center" wrapText="1"/>
    </xf>
    <xf numFmtId="0" fontId="32" fillId="23" borderId="24" xfId="41" applyFont="1" applyFill="1" applyBorder="1" applyAlignment="1">
      <alignment horizontal="center" vertical="center" wrapText="1"/>
    </xf>
    <xf numFmtId="0" fontId="5" fillId="0" borderId="100" xfId="0" applyFont="1" applyBorder="1" applyAlignment="1">
      <alignment horizontal="center" vertical="center" wrapText="1"/>
    </xf>
    <xf numFmtId="0" fontId="0" fillId="0" borderId="101" xfId="0" applyBorder="1" applyAlignment="1">
      <alignment horizontal="center" vertical="center" wrapText="1"/>
    </xf>
    <xf numFmtId="0" fontId="32" fillId="24" borderId="24"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2" fillId="30" borderId="24" xfId="0" applyFont="1" applyFill="1" applyBorder="1" applyAlignment="1">
      <alignment horizontal="center" vertical="center" wrapText="1"/>
    </xf>
    <xf numFmtId="0" fontId="14" fillId="0" borderId="30" xfId="0" applyFont="1" applyBorder="1" applyAlignment="1">
      <alignment horizontal="center" vertical="center" wrapText="1"/>
    </xf>
    <xf numFmtId="0" fontId="0" fillId="0" borderId="18" xfId="0" applyBorder="1" applyAlignment="1">
      <alignment horizontal="center" vertical="center" wrapText="1"/>
    </xf>
    <xf numFmtId="0" fontId="5" fillId="0" borderId="94"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95" xfId="0" applyFont="1" applyBorder="1" applyAlignment="1">
      <alignment horizontal="center" vertical="center" wrapText="1"/>
    </xf>
    <xf numFmtId="0" fontId="32" fillId="0" borderId="73" xfId="0" applyFont="1" applyBorder="1" applyAlignment="1">
      <alignment horizontal="center" vertical="center" wrapText="1"/>
    </xf>
    <xf numFmtId="0" fontId="32" fillId="23" borderId="73" xfId="0" applyFont="1" applyFill="1" applyBorder="1" applyAlignment="1">
      <alignment horizontal="center" vertical="center" wrapText="1"/>
    </xf>
    <xf numFmtId="0" fontId="32" fillId="30" borderId="73" xfId="0" applyFont="1" applyFill="1" applyBorder="1" applyAlignment="1">
      <alignment horizontal="center" vertical="center" wrapText="1"/>
    </xf>
    <xf numFmtId="0" fontId="32" fillId="24" borderId="73" xfId="0" applyFont="1" applyFill="1" applyBorder="1" applyAlignment="1">
      <alignment horizontal="center" vertical="center" wrapText="1"/>
    </xf>
    <xf numFmtId="0" fontId="48" fillId="26" borderId="143" xfId="37" applyFont="1" applyFill="1" applyBorder="1" applyAlignment="1" applyProtection="1">
      <alignment horizontal="left" vertical="center" wrapText="1"/>
      <protection locked="0"/>
    </xf>
    <xf numFmtId="0" fontId="0" fillId="0" borderId="143" xfId="0" applyBorder="1" applyAlignment="1">
      <alignment horizontal="left" vertical="center" wrapText="1"/>
    </xf>
    <xf numFmtId="0" fontId="7" fillId="27" borderId="143" xfId="37" applyFont="1" applyFill="1" applyBorder="1" applyAlignment="1">
      <alignment horizontal="center" vertical="center"/>
    </xf>
    <xf numFmtId="0" fontId="48" fillId="26" borderId="143" xfId="37" applyFont="1" applyFill="1" applyBorder="1" applyAlignment="1" applyProtection="1">
      <alignment horizontal="left" vertical="top" wrapText="1"/>
      <protection locked="0"/>
    </xf>
    <xf numFmtId="0" fontId="0" fillId="0" borderId="143" xfId="0" applyBorder="1" applyAlignment="1">
      <alignment horizontal="left" vertical="top" wrapText="1"/>
    </xf>
    <xf numFmtId="49" fontId="29" fillId="0" borderId="36" xfId="36" applyNumberFormat="1" applyFont="1" applyBorder="1" applyAlignment="1" applyProtection="1">
      <alignment vertical="top" wrapText="1"/>
      <protection locked="0"/>
    </xf>
    <xf numFmtId="0" fontId="0" fillId="0" borderId="36" xfId="0" applyBorder="1">
      <alignment vertical="center" wrapText="1"/>
    </xf>
    <xf numFmtId="49" fontId="29" fillId="0" borderId="35" xfId="36" applyNumberFormat="1" applyFont="1" applyBorder="1" applyAlignment="1" applyProtection="1">
      <alignment vertical="top" wrapText="1"/>
      <protection locked="0"/>
    </xf>
    <xf numFmtId="0" fontId="0" fillId="0" borderId="35" xfId="0" applyBorder="1">
      <alignment vertical="center" wrapText="1"/>
    </xf>
    <xf numFmtId="0" fontId="75" fillId="0" borderId="0" xfId="35" applyFont="1" applyAlignment="1" applyProtection="1">
      <alignment horizontal="center" vertical="top" wrapText="1"/>
      <protection locked="0"/>
    </xf>
    <xf numFmtId="49" fontId="29" fillId="0" borderId="147" xfId="36" applyNumberFormat="1" applyFont="1" applyBorder="1" applyAlignment="1" applyProtection="1">
      <alignment vertical="top" wrapText="1"/>
      <protection locked="0"/>
    </xf>
    <xf numFmtId="0" fontId="0" fillId="0" borderId="148" xfId="0" applyBorder="1" applyAlignment="1">
      <alignment vertical="top" wrapText="1"/>
    </xf>
    <xf numFmtId="0" fontId="29" fillId="0" borderId="35" xfId="37" applyFont="1" applyBorder="1" applyAlignment="1" applyProtection="1">
      <alignment horizontal="left" vertical="top" wrapText="1"/>
      <protection locked="0"/>
    </xf>
    <xf numFmtId="49" fontId="29" fillId="0" borderId="147" xfId="36" applyNumberFormat="1" applyFont="1" applyBorder="1" applyAlignment="1" applyProtection="1">
      <alignment horizontal="left" vertical="top" wrapText="1"/>
      <protection locked="0"/>
    </xf>
    <xf numFmtId="0" fontId="48" fillId="26" borderId="143" xfId="36" applyFont="1" applyFill="1" applyBorder="1" applyAlignment="1" applyProtection="1">
      <alignment horizontal="left" vertical="center" wrapText="1"/>
      <protection locked="0"/>
    </xf>
    <xf numFmtId="49" fontId="29" fillId="0" borderId="0" xfId="36" applyNumberFormat="1" applyFont="1" applyAlignment="1" applyProtection="1">
      <alignment horizontal="left" vertical="center" wrapText="1"/>
      <protection locked="0"/>
    </xf>
    <xf numFmtId="49" fontId="86" fillId="26" borderId="143" xfId="36" applyNumberFormat="1" applyFont="1" applyFill="1" applyBorder="1" applyAlignment="1" applyProtection="1">
      <alignment horizontal="left" vertical="top" wrapText="1"/>
      <protection locked="0"/>
    </xf>
    <xf numFmtId="0" fontId="94" fillId="0" borderId="143" xfId="0" applyFont="1" applyBorder="1" applyAlignment="1">
      <alignment horizontal="left" vertical="top" wrapText="1"/>
    </xf>
    <xf numFmtId="49" fontId="29" fillId="0" borderId="34" xfId="54" applyNumberFormat="1" applyFont="1" applyBorder="1" applyAlignment="1">
      <alignment horizontal="left" wrapText="1"/>
    </xf>
    <xf numFmtId="49" fontId="29" fillId="0" borderId="35" xfId="36" applyNumberFormat="1" applyFont="1" applyBorder="1" applyAlignment="1" applyProtection="1">
      <alignment horizontal="left" vertical="top" wrapText="1"/>
      <protection locked="0"/>
    </xf>
    <xf numFmtId="0" fontId="86" fillId="26" borderId="143" xfId="36" applyFont="1" applyFill="1" applyBorder="1" applyAlignment="1" applyProtection="1">
      <alignment horizontal="left" vertical="center" wrapText="1"/>
      <protection locked="0"/>
    </xf>
    <xf numFmtId="0" fontId="94" fillId="0" borderId="143" xfId="0" applyFont="1" applyBorder="1" applyAlignment="1">
      <alignment horizontal="left" vertical="center" wrapText="1"/>
    </xf>
    <xf numFmtId="0" fontId="4" fillId="23" borderId="191"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4" fillId="23" borderId="218"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4" fillId="23" borderId="202" xfId="61" applyFont="1" applyFill="1" applyBorder="1" applyAlignment="1">
      <alignment horizontal="left" vertical="center" wrapText="1"/>
    </xf>
    <xf numFmtId="0" fontId="4" fillId="23" borderId="218" xfId="61" applyFont="1" applyFill="1" applyBorder="1" applyAlignment="1">
      <alignment horizontal="left" vertical="center" wrapText="1"/>
    </xf>
    <xf numFmtId="0" fontId="4" fillId="23" borderId="222" xfId="0" applyFont="1" applyFill="1" applyBorder="1" applyAlignment="1">
      <alignment horizontal="left" vertical="center" wrapText="1"/>
    </xf>
    <xf numFmtId="0" fontId="4" fillId="23" borderId="230" xfId="0" applyFont="1" applyFill="1" applyBorder="1" applyAlignment="1">
      <alignment horizontal="left" vertical="center" wrapText="1"/>
    </xf>
    <xf numFmtId="0" fontId="4" fillId="23" borderId="227" xfId="0" applyFont="1" applyFill="1" applyBorder="1" applyAlignment="1">
      <alignment horizontal="left" vertical="center" wrapText="1"/>
    </xf>
    <xf numFmtId="0" fontId="0" fillId="0" borderId="202" xfId="0" applyBorder="1" applyAlignment="1">
      <alignment horizontal="left" vertical="center" wrapText="1"/>
    </xf>
    <xf numFmtId="0" fontId="0" fillId="0" borderId="227" xfId="0" applyBorder="1" applyAlignment="1">
      <alignment horizontal="left" vertical="center" wrapText="1"/>
    </xf>
    <xf numFmtId="0" fontId="4" fillId="23" borderId="253" xfId="61" applyFont="1" applyFill="1" applyBorder="1" applyAlignment="1">
      <alignment vertical="top" wrapText="1"/>
    </xf>
    <xf numFmtId="0" fontId="0" fillId="0" borderId="253" xfId="0" applyBorder="1" applyAlignment="1">
      <alignment vertical="top" wrapText="1"/>
    </xf>
    <xf numFmtId="0" fontId="4" fillId="23" borderId="230" xfId="61" applyFont="1" applyFill="1" applyBorder="1" applyAlignment="1">
      <alignment horizontal="left" vertical="center" wrapText="1"/>
    </xf>
    <xf numFmtId="0" fontId="4" fillId="23" borderId="227" xfId="61" applyFont="1" applyFill="1" applyBorder="1" applyAlignment="1">
      <alignment horizontal="left" vertical="center" wrapText="1"/>
    </xf>
    <xf numFmtId="0" fontId="4" fillId="23" borderId="226" xfId="0" applyFont="1" applyFill="1" applyBorder="1" applyAlignment="1">
      <alignment horizontal="left" vertical="center" wrapText="1"/>
    </xf>
    <xf numFmtId="0" fontId="4" fillId="23" borderId="230" xfId="0" applyFont="1" applyFill="1" applyBorder="1">
      <alignment vertical="center" wrapText="1"/>
    </xf>
    <xf numFmtId="0" fontId="0" fillId="0" borderId="227" xfId="0" applyBorder="1">
      <alignment vertical="center" wrapText="1"/>
    </xf>
    <xf numFmtId="0" fontId="95" fillId="0" borderId="126" xfId="0" applyFont="1" applyBorder="1" applyAlignment="1">
      <alignment horizontal="center" vertical="center"/>
    </xf>
    <xf numFmtId="0" fontId="95" fillId="0" borderId="127" xfId="0" applyFont="1" applyBorder="1" applyAlignment="1">
      <alignment horizontal="center" vertical="center" wrapText="1"/>
    </xf>
    <xf numFmtId="0" fontId="95" fillId="0" borderId="128" xfId="0" applyFont="1" applyBorder="1" applyAlignment="1">
      <alignment horizontal="center" vertical="center" wrapText="1"/>
    </xf>
    <xf numFmtId="0" fontId="96" fillId="0" borderId="137" xfId="0" applyFont="1" applyBorder="1" applyAlignment="1">
      <alignment horizontal="center" vertical="center" wrapText="1"/>
    </xf>
    <xf numFmtId="0" fontId="0" fillId="0" borderId="140" xfId="0" applyBorder="1" applyAlignment="1">
      <alignment horizontal="center" vertical="center" wrapText="1"/>
    </xf>
    <xf numFmtId="0" fontId="0" fillId="0" borderId="141" xfId="0" applyBorder="1" applyAlignment="1">
      <alignment horizontal="center" vertical="center" wrapText="1"/>
    </xf>
    <xf numFmtId="0" fontId="96" fillId="0" borderId="129" xfId="0" applyFont="1" applyBorder="1">
      <alignment vertical="center" wrapText="1"/>
    </xf>
    <xf numFmtId="0" fontId="0" fillId="0" borderId="130" xfId="0" applyBorder="1">
      <alignment vertical="center" wrapText="1"/>
    </xf>
    <xf numFmtId="0" fontId="96" fillId="0" borderId="131" xfId="0" applyFont="1" applyBorder="1">
      <alignment vertical="center" wrapText="1"/>
    </xf>
    <xf numFmtId="0" fontId="0" fillId="0" borderId="132" xfId="0" applyBorder="1">
      <alignment vertical="center" wrapText="1"/>
    </xf>
    <xf numFmtId="0" fontId="0" fillId="0" borderId="142" xfId="0" applyBorder="1" applyAlignment="1">
      <alignment horizontal="center" vertical="center" wrapText="1"/>
    </xf>
    <xf numFmtId="0" fontId="96" fillId="0" borderId="134" xfId="0" applyFont="1" applyBorder="1">
      <alignment vertical="center" wrapText="1"/>
    </xf>
    <xf numFmtId="0" fontId="0" fillId="0" borderId="134" xfId="0" applyBorder="1">
      <alignment vertical="center" wrapText="1"/>
    </xf>
    <xf numFmtId="0" fontId="96" fillId="0" borderId="133" xfId="0" applyFont="1" applyBorder="1">
      <alignment vertical="center" wrapText="1"/>
    </xf>
    <xf numFmtId="0" fontId="0" fillId="0" borderId="133" xfId="0" applyBorder="1">
      <alignment vertical="center" wrapText="1"/>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96" fillId="0" borderId="138" xfId="0" applyFont="1" applyBorder="1" applyAlignment="1">
      <alignment horizontal="center" vertical="center" wrapText="1"/>
    </xf>
    <xf numFmtId="0" fontId="0" fillId="0" borderId="139" xfId="0" applyBorder="1" applyAlignment="1">
      <alignment horizontal="center" vertical="center" wrapText="1"/>
    </xf>
    <xf numFmtId="0" fontId="8" fillId="0" borderId="0" xfId="0" applyFont="1" applyAlignment="1">
      <alignment horizontal="right" vertical="center" wrapText="1"/>
    </xf>
    <xf numFmtId="0" fontId="34" fillId="0" borderId="0" xfId="38" applyFont="1" applyAlignment="1">
      <alignment horizontal="center"/>
    </xf>
    <xf numFmtId="0" fontId="39" fillId="0" borderId="0" xfId="38" applyFont="1" applyAlignment="1">
      <alignment horizontal="center"/>
    </xf>
    <xf numFmtId="0" fontId="46" fillId="0" borderId="0" xfId="38" applyFont="1" applyAlignment="1">
      <alignment horizontal="center"/>
    </xf>
    <xf numFmtId="0" fontId="29" fillId="0" borderId="0" xfId="0" applyFont="1" applyAlignment="1">
      <alignment horizontal="center" vertical="center" wrapText="1"/>
    </xf>
  </cellXfs>
  <cellStyles count="6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xfId="32" builtinId="8"/>
    <cellStyle name="Neutre" xfId="33" builtinId="28" customBuiltin="1"/>
    <cellStyle name="Normal" xfId="0" builtinId="0"/>
    <cellStyle name="Normal 2" xfId="55" xr:uid="{00000000-0005-0000-0000-000022000000}"/>
    <cellStyle name="Normal 2 2" xfId="59" xr:uid="{1D289445-52F4-42BF-BF33-A3213F069934}"/>
    <cellStyle name="Normal 3" xfId="56" xr:uid="{00000000-0005-0000-0000-000023000000}"/>
    <cellStyle name="Normal 4" xfId="57" xr:uid="{00000000-0005-0000-0000-000024000000}"/>
    <cellStyle name="Normal 5" xfId="58" xr:uid="{00000000-0005-0000-0000-000025000000}"/>
    <cellStyle name="Normal 6" xfId="62" xr:uid="{2AA5AC28-0896-4EE9-9336-CD5D6217D8F2}"/>
    <cellStyle name="Normal_Classif_DGEP" xfId="34" xr:uid="{00000000-0005-0000-0000-000026000000}"/>
    <cellStyle name="Normal_DB_audit_2009_10à13_draftpréfinal - remOC_jpj 2" xfId="54" xr:uid="{00000000-0005-0000-0000-000027000000}"/>
    <cellStyle name="Normal_DB_audit_2009_draft_06_2009" xfId="35" xr:uid="{00000000-0005-0000-0000-000028000000}"/>
    <cellStyle name="Normal_DB_Mehari_2006_travJPJ" xfId="36" xr:uid="{00000000-0005-0000-0000-000029000000}"/>
    <cellStyle name="Normal_DB_Mehari_2007_2SI" xfId="37" xr:uid="{00000000-0005-0000-0000-00002A000000}"/>
    <cellStyle name="Normal_DB_Mehari_2008-1" xfId="38" xr:uid="{00000000-0005-0000-0000-00002B000000}"/>
    <cellStyle name="Normal_DB_Mehari_2009-Classif_v1" xfId="39" xr:uid="{00000000-0005-0000-0000-00002C000000}"/>
    <cellStyle name="Normal_DB_SCEN" xfId="40" xr:uid="{00000000-0005-0000-0000-00002D000000}"/>
    <cellStyle name="Normal_DB-Mehari_2009_V00" xfId="41" xr:uid="{00000000-0005-0000-0000-00002E000000}"/>
    <cellStyle name="Normal_DB-Mehari_2009_V00 2" xfId="61" xr:uid="{96BD9C48-53FC-415D-9753-6C8B3C9E756E}"/>
    <cellStyle name="Normal_DB-Mehari_2010_Exc_Fr_2-10" xfId="60" xr:uid="{8F1F087F-7BB2-4134-BE34-615BFF2CE585}"/>
    <cellStyle name="Normal_MEHARI_audit_2007" xfId="42" xr:uid="{00000000-0005-0000-0000-00002F000000}"/>
    <cellStyle name="Normal_MEHARI_audit_2007 2" xfId="53" xr:uid="{00000000-0005-0000-0000-000030000000}"/>
    <cellStyle name="Note" xfId="28" builtinId="10" customBuiltin="1"/>
    <cellStyle name="Satisfaisant" xfId="43" builtinId="26" customBuiltin="1"/>
    <cellStyle name="Sortie" xfId="44" builtinId="21" customBuiltin="1"/>
    <cellStyle name="Texte explicatif" xfId="45" builtinId="53" customBuiltin="1"/>
    <cellStyle name="Titre" xfId="46" builtinId="15" customBuiltin="1"/>
    <cellStyle name="Titre 1" xfId="47" builtinId="16" customBuiltin="1"/>
    <cellStyle name="Titre 2" xfId="48" builtinId="17" customBuiltin="1"/>
    <cellStyle name="Titre 3" xfId="49" builtinId="18" customBuiltin="1"/>
    <cellStyle name="Titre 4" xfId="50" builtinId="19" customBuiltin="1"/>
    <cellStyle name="Total" xfId="51" builtinId="25" customBuiltin="1"/>
    <cellStyle name="Vérification" xfId="52" builtinId="23" customBuiltin="1"/>
  </cellStyles>
  <dxfs count="350">
    <dxf>
      <font>
        <b/>
        <i/>
      </font>
    </dxf>
    <dxf>
      <font>
        <b/>
        <i/>
      </font>
    </dxf>
    <dxf>
      <font>
        <b/>
        <i val="0"/>
        <strike val="0"/>
      </font>
    </dxf>
    <dxf>
      <fill>
        <patternFill>
          <bgColor indexed="13"/>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indexed="10"/>
        </patternFill>
      </fill>
    </dxf>
    <dxf>
      <font>
        <b/>
        <i val="0"/>
        <color auto="1"/>
      </font>
      <fill>
        <patternFill>
          <bgColor rgb="FFFFC000"/>
        </patternFill>
      </fill>
    </dxf>
    <dxf>
      <font>
        <b/>
        <i val="0"/>
        <condense val="0"/>
        <extend val="0"/>
        <color indexed="9"/>
      </font>
      <fill>
        <patternFill>
          <bgColor rgb="FFFF0000"/>
        </patternFill>
      </fill>
    </dxf>
    <dxf>
      <font>
        <condense val="0"/>
        <extend val="0"/>
        <color indexed="9"/>
      </font>
      <fill>
        <patternFill>
          <bgColor indexed="10"/>
        </patternFill>
      </fill>
    </dxf>
    <dxf>
      <font>
        <b/>
        <i val="0"/>
        <color theme="0"/>
      </font>
      <fill>
        <patternFill>
          <bgColor rgb="FFFF0000"/>
        </patternFill>
      </fill>
    </dxf>
    <dxf>
      <font>
        <b/>
        <i val="0"/>
      </font>
      <fill>
        <patternFill>
          <bgColor rgb="FFFFC000"/>
        </patternFill>
      </fill>
    </dxf>
    <dxf>
      <font>
        <b/>
        <i val="0"/>
      </font>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val="0"/>
        <strike val="0"/>
      </font>
    </dxf>
    <dxf>
      <fill>
        <patternFill>
          <bgColor indexed="13"/>
        </patternFill>
      </fill>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ill>
        <patternFill patternType="solid">
          <fgColor indexed="34"/>
          <bgColor indexed="13"/>
        </patternFill>
      </fill>
    </dxf>
    <dxf>
      <font>
        <b/>
        <i/>
      </font>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ill>
        <patternFill patternType="solid">
          <fgColor indexed="34"/>
          <bgColor indexed="13"/>
        </patternFill>
      </fill>
    </dxf>
    <dxf>
      <font>
        <b/>
        <i/>
      </font>
    </dxf>
    <dxf>
      <font>
        <b/>
        <i/>
      </font>
    </dxf>
    <dxf>
      <font>
        <b/>
        <i val="0"/>
        <condense val="0"/>
        <extend val="0"/>
      </font>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13"/>
        </patternFill>
      </fill>
    </dxf>
    <dxf>
      <fill>
        <patternFill>
          <bgColor indexed="13"/>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6590150807420259E-2"/>
          <c:y val="4.4255178645578486E-2"/>
          <c:w val="0.94069798478580013"/>
          <c:h val="0.78193993747239976"/>
        </c:manualLayout>
      </c:layout>
      <c:bar3DChart>
        <c:barDir val="col"/>
        <c:grouping val="stacked"/>
        <c:varyColors val="0"/>
        <c:ser>
          <c:idx val="0"/>
          <c:order val="0"/>
          <c:spPr>
            <a:solidFill>
              <a:srgbClr val="FFC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Tbord!$B$16:$L$16</c:f>
              <c:numCache>
                <c:formatCode>General</c:formatCode>
                <c:ptCount val="11"/>
              </c:numCache>
            </c:numRef>
          </c:val>
          <c:extLst>
            <c:ext xmlns:c16="http://schemas.microsoft.com/office/drawing/2014/chart" uri="{C3380CC4-5D6E-409C-BE32-E72D297353CC}">
              <c16:uniqueId val="{00000000-2AC7-4A70-936E-56809F817216}"/>
            </c:ext>
          </c:extLst>
        </c:ser>
        <c:ser>
          <c:idx val="1"/>
          <c:order val="1"/>
          <c:spPr>
            <a:solidFill>
              <a:srgbClr val="FF0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Tbord!$B$15:$L$15</c:f>
              <c:numCache>
                <c:formatCode>General</c:formatCode>
                <c:ptCount val="11"/>
              </c:numCache>
            </c:numRef>
          </c:val>
          <c:extLst>
            <c:ext xmlns:c16="http://schemas.microsoft.com/office/drawing/2014/chart" uri="{C3380CC4-5D6E-409C-BE32-E72D297353CC}">
              <c16:uniqueId val="{00000001-2AC7-4A70-936E-56809F817216}"/>
            </c:ext>
          </c:extLst>
        </c:ser>
        <c:dLbls>
          <c:showLegendKey val="0"/>
          <c:showVal val="0"/>
          <c:showCatName val="0"/>
          <c:showSerName val="0"/>
          <c:showPercent val="0"/>
          <c:showBubbleSize val="0"/>
        </c:dLbls>
        <c:gapWidth val="150"/>
        <c:shape val="box"/>
        <c:axId val="252341248"/>
        <c:axId val="253518592"/>
        <c:axId val="0"/>
      </c:bar3DChart>
      <c:catAx>
        <c:axId val="252341248"/>
        <c:scaling>
          <c:orientation val="minMax"/>
        </c:scaling>
        <c:delete val="0"/>
        <c:axPos val="b"/>
        <c:numFmt formatCode="General" sourceLinked="0"/>
        <c:majorTickMark val="out"/>
        <c:minorTickMark val="none"/>
        <c:tickLblPos val="nextTo"/>
        <c:crossAx val="253518592"/>
        <c:crosses val="autoZero"/>
        <c:auto val="1"/>
        <c:lblAlgn val="ctr"/>
        <c:lblOffset val="100"/>
        <c:noMultiLvlLbl val="0"/>
      </c:catAx>
      <c:valAx>
        <c:axId val="253518592"/>
        <c:scaling>
          <c:orientation val="minMax"/>
        </c:scaling>
        <c:delete val="0"/>
        <c:axPos val="l"/>
        <c:majorGridlines/>
        <c:numFmt formatCode="General" sourceLinked="1"/>
        <c:majorTickMark val="out"/>
        <c:minorTickMark val="none"/>
        <c:tickLblPos val="nextTo"/>
        <c:crossAx val="2523412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Param!B9" lockText="1" noThreeD="1"/>
</file>

<file path=xl/ctrlProps/ctrlProp2.xml><?xml version="1.0" encoding="utf-8"?>
<formControlPr xmlns="http://schemas.microsoft.com/office/spreadsheetml/2009/9/main" objectType="CheckBox" fmlaLink="Param!B13" lockText="1" noThreeD="1"/>
</file>

<file path=xl/ctrlProps/ctrlProp3.xml><?xml version="1.0" encoding="utf-8"?>
<formControlPr xmlns="http://schemas.microsoft.com/office/spreadsheetml/2009/9/main" objectType="CheckBox" fmlaLink="Param!B12" lockText="1" noThreeD="1"/>
</file>

<file path=xl/ctrlProps/ctrlProp4.xml><?xml version="1.0" encoding="utf-8"?>
<formControlPr xmlns="http://schemas.microsoft.com/office/spreadsheetml/2009/9/main" objectType="CheckBox" fmlaLink="Param!B11" lockText="1" noThreeD="1"/>
</file>

<file path=xl/ctrlProps/ctrlProp5.xml><?xml version="1.0" encoding="utf-8"?>
<formControlPr xmlns="http://schemas.microsoft.com/office/spreadsheetml/2009/9/main" objectType="CheckBox" fmlaLink="Param!B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Param!B3"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716280</xdr:colOff>
          <xdr:row>8</xdr:row>
          <xdr:rowOff>106680</xdr:rowOff>
        </xdr:from>
        <xdr:to>
          <xdr:col>4</xdr:col>
          <xdr:colOff>259080</xdr:colOff>
          <xdr:row>10</xdr:row>
          <xdr:rowOff>7620</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00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24</xdr:row>
          <xdr:rowOff>114300</xdr:rowOff>
        </xdr:from>
        <xdr:to>
          <xdr:col>5</xdr:col>
          <xdr:colOff>7620</xdr:colOff>
          <xdr:row>26</xdr:row>
          <xdr:rowOff>22860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00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20</xdr:row>
          <xdr:rowOff>121920</xdr:rowOff>
        </xdr:from>
        <xdr:to>
          <xdr:col>5</xdr:col>
          <xdr:colOff>0</xdr:colOff>
          <xdr:row>22</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00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16</xdr:row>
          <xdr:rowOff>0</xdr:rowOff>
        </xdr:from>
        <xdr:to>
          <xdr:col>5</xdr:col>
          <xdr:colOff>7620</xdr:colOff>
          <xdr:row>17</xdr:row>
          <xdr:rowOff>68580</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00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731520</xdr:colOff>
          <xdr:row>12</xdr:row>
          <xdr:rowOff>30480</xdr:rowOff>
        </xdr:from>
        <xdr:to>
          <xdr:col>4</xdr:col>
          <xdr:colOff>274320</xdr:colOff>
          <xdr:row>13</xdr:row>
          <xdr:rowOff>99060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00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116974</xdr:colOff>
      <xdr:row>4</xdr:row>
      <xdr:rowOff>259014</xdr:rowOff>
    </xdr:from>
    <xdr:to>
      <xdr:col>4</xdr:col>
      <xdr:colOff>119614</xdr:colOff>
      <xdr:row>8</xdr:row>
      <xdr:rowOff>686</xdr:rowOff>
    </xdr:to>
    <xdr:pic macro="[0]!Maskonglets">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2566" y="810461"/>
          <a:ext cx="2540000" cy="593174"/>
        </a:xfrm>
        <a:prstGeom prst="rect">
          <a:avLst/>
        </a:prstGeom>
      </xdr:spPr>
    </xdr:pic>
    <xdr:clientData/>
  </xdr:twoCellAnchor>
  <xdr:twoCellAnchor editAs="oneCell">
    <xdr:from>
      <xdr:col>0</xdr:col>
      <xdr:colOff>0</xdr:colOff>
      <xdr:row>0</xdr:row>
      <xdr:rowOff>1</xdr:rowOff>
    </xdr:from>
    <xdr:to>
      <xdr:col>0</xdr:col>
      <xdr:colOff>1579145</xdr:colOff>
      <xdr:row>4</xdr:row>
      <xdr:rowOff>278486</xdr:rowOff>
    </xdr:to>
    <xdr:pic>
      <xdr:nvPicPr>
        <xdr:cNvPr id="4" name="Image 3">
          <a:extLst>
            <a:ext uri="{FF2B5EF4-FFF2-40B4-BE49-F238E27FC236}">
              <a16:creationId xmlns:a16="http://schemas.microsoft.com/office/drawing/2014/main" id="{D90D2BA0-3BC0-5AB6-6020-D46657338F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1579145" cy="8299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1303020</xdr:colOff>
          <xdr:row>0</xdr:row>
          <xdr:rowOff>0</xdr:rowOff>
        </xdr:from>
        <xdr:to>
          <xdr:col>1</xdr:col>
          <xdr:colOff>3413760</xdr:colOff>
          <xdr:row>0</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A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F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22860</xdr:colOff>
          <xdr:row>4</xdr:row>
          <xdr:rowOff>68580</xdr:rowOff>
        </xdr:from>
        <xdr:to>
          <xdr:col>19</xdr:col>
          <xdr:colOff>76200</xdr:colOff>
          <xdr:row>5</xdr:row>
          <xdr:rowOff>106680</xdr:rowOff>
        </xdr:to>
        <xdr:sp macro="" textlink="">
          <xdr:nvSpPr>
            <xdr:cNvPr id="207885" name="Option Button 13" hidden="1">
              <a:extLst>
                <a:ext uri="{63B3BB69-23CF-44E3-9099-C40C66FF867C}">
                  <a14:compatExt spid="_x0000_s207885"/>
                </a:ext>
                <a:ext uri="{FF2B5EF4-FFF2-40B4-BE49-F238E27FC236}">
                  <a16:creationId xmlns:a16="http://schemas.microsoft.com/office/drawing/2014/main" id="{00000000-0008-0000-1600-00000D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7</xdr:row>
          <xdr:rowOff>60960</xdr:rowOff>
        </xdr:from>
        <xdr:to>
          <xdr:col>19</xdr:col>
          <xdr:colOff>68580</xdr:colOff>
          <xdr:row>8</xdr:row>
          <xdr:rowOff>99060</xdr:rowOff>
        </xdr:to>
        <xdr:sp macro="" textlink="">
          <xdr:nvSpPr>
            <xdr:cNvPr id="207886" name="Option Button 14" hidden="1">
              <a:extLst>
                <a:ext uri="{63B3BB69-23CF-44E3-9099-C40C66FF867C}">
                  <a14:compatExt spid="_x0000_s207886"/>
                </a:ext>
                <a:ext uri="{FF2B5EF4-FFF2-40B4-BE49-F238E27FC236}">
                  <a16:creationId xmlns:a16="http://schemas.microsoft.com/office/drawing/2014/main" id="{00000000-0008-0000-1600-00000E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10</xdr:row>
          <xdr:rowOff>60960</xdr:rowOff>
        </xdr:from>
        <xdr:to>
          <xdr:col>19</xdr:col>
          <xdr:colOff>68580</xdr:colOff>
          <xdr:row>11</xdr:row>
          <xdr:rowOff>114300</xdr:rowOff>
        </xdr:to>
        <xdr:sp macro="" textlink="">
          <xdr:nvSpPr>
            <xdr:cNvPr id="207887" name="Option Button 15" hidden="1">
              <a:extLst>
                <a:ext uri="{63B3BB69-23CF-44E3-9099-C40C66FF867C}">
                  <a14:compatExt spid="_x0000_s207887"/>
                </a:ext>
                <a:ext uri="{FF2B5EF4-FFF2-40B4-BE49-F238E27FC236}">
                  <a16:creationId xmlns:a16="http://schemas.microsoft.com/office/drawing/2014/main" id="{00000000-0008-0000-1600-00000F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13</xdr:row>
          <xdr:rowOff>83820</xdr:rowOff>
        </xdr:from>
        <xdr:to>
          <xdr:col>19</xdr:col>
          <xdr:colOff>68580</xdr:colOff>
          <xdr:row>14</xdr:row>
          <xdr:rowOff>121920</xdr:rowOff>
        </xdr:to>
        <xdr:sp macro="" textlink="">
          <xdr:nvSpPr>
            <xdr:cNvPr id="207889" name="Option Button 17" hidden="1">
              <a:extLst>
                <a:ext uri="{63B3BB69-23CF-44E3-9099-C40C66FF867C}">
                  <a14:compatExt spid="_x0000_s207889"/>
                </a:ext>
                <a:ext uri="{FF2B5EF4-FFF2-40B4-BE49-F238E27FC236}">
                  <a16:creationId xmlns:a16="http://schemas.microsoft.com/office/drawing/2014/main" id="{00000000-0008-0000-1600-000011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4257675</xdr:colOff>
      <xdr:row>0</xdr:row>
      <xdr:rowOff>76200</xdr:rowOff>
    </xdr:from>
    <xdr:to>
      <xdr:col>8</xdr:col>
      <xdr:colOff>295275</xdr:colOff>
      <xdr:row>1</xdr:row>
      <xdr:rowOff>97930</xdr:rowOff>
    </xdr:to>
    <xdr:pic macro="[0]!Selection_projets">
      <xdr:nvPicPr>
        <xdr:cNvPr id="5" name="Imag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76200"/>
          <a:ext cx="2867025" cy="5837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2057400</xdr:colOff>
      <xdr:row>18</xdr:row>
      <xdr:rowOff>14287</xdr:rowOff>
    </xdr:from>
    <xdr:to>
      <xdr:col>11</xdr:col>
      <xdr:colOff>771525</xdr:colOff>
      <xdr:row>37</xdr:row>
      <xdr:rowOff>123825</xdr:rowOff>
    </xdr:to>
    <xdr:graphicFrame macro="">
      <xdr:nvGraphicFramePr>
        <xdr:cNvPr id="7" name="Graphique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581026</xdr:colOff>
      <xdr:row>0</xdr:row>
      <xdr:rowOff>85726</xdr:rowOff>
    </xdr:from>
    <xdr:to>
      <xdr:col>6</xdr:col>
      <xdr:colOff>66676</xdr:colOff>
      <xdr:row>0</xdr:row>
      <xdr:rowOff>648100</xdr:rowOff>
    </xdr:to>
    <xdr:pic macro="[0]!Tbord">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151" y="85726"/>
          <a:ext cx="2762250" cy="5623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pjou\AppData\Local\Microsoft\Windows\INetCache\Content.Outlook\2YECBRSR\DB-Standard-2022-travail-ISO27002%20(JPJO)%20+%20RDUV%20Domaine%204_%20VF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
      <sheetName val="1 Org"/>
      <sheetName val="2 Phy"/>
      <sheetName val="3 Sys"/>
      <sheetName val="4 Ope"/>
      <sheetName val="commentaires RDUV"/>
      <sheetName val="5 App"/>
      <sheetName val="6 Mic"/>
      <sheetName val="7 Dev"/>
      <sheetName val="8 Cex"/>
      <sheetName val="Obj_Projets"/>
      <sheetName val="Services"/>
      <sheetName val="Score ISO 2022"/>
      <sheetName val="Score ISO 2013"/>
      <sheetName val="Corr_Services"/>
      <sheetName val="Delt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2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tabColor theme="4" tint="-0.249977111117893"/>
  </sheetPr>
  <dimension ref="A2:F37"/>
  <sheetViews>
    <sheetView zoomScale="114" workbookViewId="0">
      <selection activeCell="A3" sqref="A3:B3"/>
    </sheetView>
  </sheetViews>
  <sheetFormatPr baseColWidth="10" defaultColWidth="11.44140625" defaultRowHeight="13.2" x14ac:dyDescent="0.25"/>
  <cols>
    <col min="1" max="1" width="32.44140625" style="354" customWidth="1"/>
    <col min="2" max="2" width="66.109375" style="353" customWidth="1"/>
    <col min="3" max="3" width="26.5546875" style="353" customWidth="1"/>
    <col min="4" max="4" width="11.44140625" style="353"/>
    <col min="5" max="5" width="4.44140625" style="353" customWidth="1"/>
    <col min="6" max="16384" width="11.44140625" style="353"/>
  </cols>
  <sheetData>
    <row r="2" spans="1:6" ht="6.75" customHeight="1" x14ac:dyDescent="0.25"/>
    <row r="3" spans="1:6" ht="17.25" customHeight="1" x14ac:dyDescent="0.25">
      <c r="A3" s="1202" t="s">
        <v>6844</v>
      </c>
      <c r="B3" s="1203"/>
    </row>
    <row r="4" spans="1:6" ht="7.5" customHeight="1" x14ac:dyDescent="0.25">
      <c r="A4" s="374"/>
      <c r="B4" s="373"/>
    </row>
    <row r="5" spans="1:6" ht="24.75" customHeight="1" x14ac:dyDescent="0.25">
      <c r="A5" s="1204" t="s">
        <v>2076</v>
      </c>
      <c r="B5" s="1204"/>
    </row>
    <row r="6" spans="1:6" ht="15.6" x14ac:dyDescent="0.25">
      <c r="A6" s="372" t="s">
        <v>2075</v>
      </c>
      <c r="B6" s="371" t="s">
        <v>2074</v>
      </c>
    </row>
    <row r="7" spans="1:6" x14ac:dyDescent="0.25">
      <c r="A7" s="370" t="s">
        <v>2073</v>
      </c>
      <c r="B7" s="368" t="s">
        <v>2072</v>
      </c>
    </row>
    <row r="8" spans="1:6" ht="13.5" customHeight="1" x14ac:dyDescent="0.25">
      <c r="A8" s="417" t="s">
        <v>2201</v>
      </c>
      <c r="B8" s="369" t="s">
        <v>3081</v>
      </c>
    </row>
    <row r="9" spans="1:6" ht="12.75" customHeight="1" x14ac:dyDescent="0.25">
      <c r="A9" s="1205" t="s">
        <v>2071</v>
      </c>
      <c r="B9" s="1206"/>
      <c r="C9" s="1238" t="s">
        <v>2283</v>
      </c>
      <c r="D9" s="1241" t="s">
        <v>2056</v>
      </c>
      <c r="E9" s="1211"/>
    </row>
    <row r="10" spans="1:6" x14ac:dyDescent="0.25">
      <c r="A10" s="367" t="s">
        <v>2077</v>
      </c>
      <c r="B10" s="357" t="s">
        <v>2070</v>
      </c>
      <c r="C10" s="1239"/>
      <c r="D10" s="1242"/>
      <c r="E10" s="1212"/>
    </row>
    <row r="11" spans="1:6" x14ac:dyDescent="0.25">
      <c r="A11" s="367" t="s">
        <v>2069</v>
      </c>
      <c r="B11" s="357" t="s">
        <v>677</v>
      </c>
      <c r="C11" s="1240"/>
      <c r="D11" s="1243"/>
      <c r="E11" s="1213"/>
    </row>
    <row r="12" spans="1:6" ht="12.75" customHeight="1" x14ac:dyDescent="0.25">
      <c r="A12" s="1207" t="s">
        <v>2068</v>
      </c>
      <c r="B12" s="1208"/>
      <c r="C12" s="1229" t="s">
        <v>6825</v>
      </c>
      <c r="D12" s="1232" t="s">
        <v>2056</v>
      </c>
      <c r="E12" s="1235"/>
    </row>
    <row r="13" spans="1:6" x14ac:dyDescent="0.25">
      <c r="A13" s="366" t="s">
        <v>2078</v>
      </c>
      <c r="B13" s="357" t="s">
        <v>2293</v>
      </c>
      <c r="C13" s="1230"/>
      <c r="D13" s="1233"/>
      <c r="E13" s="1236"/>
    </row>
    <row r="14" spans="1:6" x14ac:dyDescent="0.25">
      <c r="A14" s="365" t="s">
        <v>2067</v>
      </c>
      <c r="B14" s="357" t="s">
        <v>2066</v>
      </c>
      <c r="C14" s="1230"/>
      <c r="D14" s="1233"/>
      <c r="E14" s="1236"/>
    </row>
    <row r="15" spans="1:6" x14ac:dyDescent="0.25">
      <c r="A15" s="364" t="s">
        <v>460</v>
      </c>
      <c r="B15" s="357" t="s">
        <v>2326</v>
      </c>
      <c r="C15" s="1231"/>
      <c r="D15" s="1234"/>
      <c r="E15" s="1237"/>
    </row>
    <row r="16" spans="1:6" x14ac:dyDescent="0.25">
      <c r="A16" s="1217" t="s">
        <v>2065</v>
      </c>
      <c r="B16" s="1218"/>
      <c r="C16" s="1247" t="s">
        <v>6828</v>
      </c>
      <c r="D16" s="1244" t="s">
        <v>2056</v>
      </c>
      <c r="E16" s="363"/>
      <c r="F16" s="1089"/>
    </row>
    <row r="17" spans="1:5" x14ac:dyDescent="0.25">
      <c r="A17" s="361" t="s">
        <v>2064</v>
      </c>
      <c r="B17" s="357" t="s">
        <v>2063</v>
      </c>
      <c r="C17" s="1248"/>
      <c r="D17" s="1245"/>
      <c r="E17" s="362"/>
    </row>
    <row r="18" spans="1:5" x14ac:dyDescent="0.25">
      <c r="A18" s="361" t="s">
        <v>2062</v>
      </c>
      <c r="B18" s="357" t="s">
        <v>2061</v>
      </c>
      <c r="C18" s="1248"/>
      <c r="D18" s="1245"/>
      <c r="E18" s="362"/>
    </row>
    <row r="19" spans="1:5" x14ac:dyDescent="0.25">
      <c r="A19" s="361" t="s">
        <v>2060</v>
      </c>
      <c r="B19" s="357" t="s">
        <v>2059</v>
      </c>
      <c r="C19" s="1249"/>
      <c r="D19" s="1246"/>
      <c r="E19" s="360"/>
    </row>
    <row r="20" spans="1:5" ht="12.75" customHeight="1" x14ac:dyDescent="0.25">
      <c r="A20" s="1219" t="s">
        <v>2058</v>
      </c>
      <c r="B20" s="1220"/>
      <c r="C20" s="1221" t="s">
        <v>2282</v>
      </c>
      <c r="D20" s="1199" t="s">
        <v>2056</v>
      </c>
      <c r="E20" s="1224"/>
    </row>
    <row r="21" spans="1:5" ht="14.25" customHeight="1" x14ac:dyDescent="0.25">
      <c r="A21" s="1088" t="s">
        <v>2057</v>
      </c>
      <c r="B21" s="316" t="s">
        <v>2294</v>
      </c>
      <c r="C21" s="1222"/>
      <c r="D21" s="1200"/>
      <c r="E21" s="1225"/>
    </row>
    <row r="22" spans="1:5" x14ac:dyDescent="0.25">
      <c r="A22" s="1088" t="s">
        <v>2079</v>
      </c>
      <c r="B22" s="316" t="s">
        <v>2284</v>
      </c>
      <c r="C22" s="1222"/>
      <c r="D22" s="1200"/>
      <c r="E22" s="1225"/>
    </row>
    <row r="23" spans="1:5" x14ac:dyDescent="0.25">
      <c r="A23" s="1088" t="s">
        <v>2278</v>
      </c>
      <c r="B23" s="316" t="s">
        <v>2279</v>
      </c>
      <c r="C23" s="1222"/>
      <c r="D23" s="1200"/>
      <c r="E23" s="1225"/>
    </row>
    <row r="24" spans="1:5" x14ac:dyDescent="0.25">
      <c r="A24" s="1088" t="s">
        <v>2280</v>
      </c>
      <c r="B24" s="316" t="s">
        <v>2281</v>
      </c>
      <c r="C24" s="1223"/>
      <c r="D24" s="1201"/>
      <c r="E24" s="1226"/>
    </row>
    <row r="25" spans="1:5" x14ac:dyDescent="0.25">
      <c r="A25" s="1227" t="s">
        <v>6822</v>
      </c>
      <c r="B25" s="1228"/>
      <c r="C25" s="1250" t="s">
        <v>6823</v>
      </c>
      <c r="D25" s="1214" t="s">
        <v>2056</v>
      </c>
      <c r="E25" s="416"/>
    </row>
    <row r="26" spans="1:5" x14ac:dyDescent="0.25">
      <c r="A26" s="1091" t="s">
        <v>6826</v>
      </c>
      <c r="B26" s="357" t="s">
        <v>6829</v>
      </c>
      <c r="C26" s="1251"/>
      <c r="D26" s="1215"/>
      <c r="E26" s="1090"/>
    </row>
    <row r="27" spans="1:5" x14ac:dyDescent="0.25">
      <c r="A27" s="1091" t="s">
        <v>6827</v>
      </c>
      <c r="B27" s="357" t="s">
        <v>6830</v>
      </c>
      <c r="C27" s="1251"/>
      <c r="D27" s="1215"/>
      <c r="E27" s="1090"/>
    </row>
    <row r="28" spans="1:5" x14ac:dyDescent="0.25">
      <c r="A28" s="1091" t="s">
        <v>457</v>
      </c>
      <c r="B28" s="357" t="s">
        <v>6831</v>
      </c>
      <c r="C28" s="1251"/>
      <c r="D28" s="1215"/>
      <c r="E28" s="1090"/>
    </row>
    <row r="29" spans="1:5" x14ac:dyDescent="0.25">
      <c r="A29" s="358" t="s">
        <v>461</v>
      </c>
      <c r="B29" s="357" t="s">
        <v>2055</v>
      </c>
      <c r="C29" s="1252"/>
      <c r="D29" s="1215"/>
      <c r="E29" s="359"/>
    </row>
    <row r="30" spans="1:5" x14ac:dyDescent="0.25">
      <c r="A30" s="358" t="s">
        <v>458</v>
      </c>
      <c r="B30" s="357" t="s">
        <v>2054</v>
      </c>
      <c r="C30" s="1253"/>
      <c r="D30" s="1216"/>
      <c r="E30" s="356"/>
    </row>
    <row r="31" spans="1:5" x14ac:dyDescent="0.25">
      <c r="A31"/>
      <c r="B31"/>
    </row>
    <row r="32" spans="1:5" ht="13.8" x14ac:dyDescent="0.25">
      <c r="A32" s="1209"/>
      <c r="B32" s="1210"/>
    </row>
    <row r="33" spans="1:2" x14ac:dyDescent="0.25">
      <c r="A33" s="193" t="s">
        <v>459</v>
      </c>
      <c r="B33" s="194" t="s">
        <v>2053</v>
      </c>
    </row>
    <row r="34" spans="1:2" ht="28.95" customHeight="1" x14ac:dyDescent="0.25">
      <c r="A34" s="195" t="s">
        <v>6834</v>
      </c>
      <c r="B34" s="355" t="s">
        <v>6835</v>
      </c>
    </row>
    <row r="35" spans="1:2" ht="27.6" customHeight="1" x14ac:dyDescent="0.25">
      <c r="A35" s="195" t="s">
        <v>7436</v>
      </c>
      <c r="B35" s="355" t="s">
        <v>6845</v>
      </c>
    </row>
    <row r="36" spans="1:2" ht="39.75" customHeight="1" x14ac:dyDescent="0.25">
      <c r="A36" s="195" t="s">
        <v>7442</v>
      </c>
      <c r="B36" s="355" t="s">
        <v>7443</v>
      </c>
    </row>
    <row r="37" spans="1:2" ht="54.75" customHeight="1" x14ac:dyDescent="0.25">
      <c r="A37" s="933" t="s">
        <v>6583</v>
      </c>
      <c r="B37" s="934" t="s">
        <v>6584</v>
      </c>
    </row>
  </sheetData>
  <mergeCells count="21">
    <mergeCell ref="A32:B32"/>
    <mergeCell ref="E9:E11"/>
    <mergeCell ref="D25:D30"/>
    <mergeCell ref="A16:B16"/>
    <mergeCell ref="A20:B20"/>
    <mergeCell ref="C20:C24"/>
    <mergeCell ref="E20:E24"/>
    <mergeCell ref="A25:B25"/>
    <mergeCell ref="C12:C15"/>
    <mergeCell ref="D12:D15"/>
    <mergeCell ref="E12:E15"/>
    <mergeCell ref="C9:C11"/>
    <mergeCell ref="D9:D11"/>
    <mergeCell ref="D16:D19"/>
    <mergeCell ref="C16:C19"/>
    <mergeCell ref="C25:C30"/>
    <mergeCell ref="D20:D24"/>
    <mergeCell ref="A3:B3"/>
    <mergeCell ref="A5:B5"/>
    <mergeCell ref="A9:B9"/>
    <mergeCell ref="A12:B12"/>
  </mergeCells>
  <hyperlinks>
    <hyperlink ref="A30" location="Grilles_IP!A1" display="     Grilles IP" xr:uid="{00000000-0004-0000-0000-000000000000}"/>
    <hyperlink ref="A29" location="Gravité!A1" display="    Gravité" xr:uid="{00000000-0004-0000-0000-000001000000}"/>
    <hyperlink ref="A10" location="'T1'!A1" display="     Tableaux T1 à T3 " xr:uid="{00000000-0004-0000-0000-000002000000}"/>
    <hyperlink ref="A11" location="Classif!A1" display="Classification des actifs" xr:uid="{00000000-0004-0000-0000-000003000000}"/>
    <hyperlink ref="A18" location="'Risk%actif'!A1" display="     Risk%Actif" xr:uid="{00000000-0004-0000-0000-000005000000}"/>
    <hyperlink ref="A19" location="'Risk%event'!A1" display="     Risk%event" xr:uid="{00000000-0004-0000-0000-000006000000}"/>
    <hyperlink ref="A14" location="Services!A1" display="     Services" xr:uid="{00000000-0004-0000-0000-000007000000}"/>
    <hyperlink ref="A15" location="'Score ISO'!A1" display="     Score ISO" xr:uid="{00000000-0004-0000-0000-000008000000}"/>
    <hyperlink ref="A17" location="Scénarios!A1" display="     Scénarios" xr:uid="{00000000-0004-0000-0000-000009000000}"/>
    <hyperlink ref="A21" location="Plans_action!A1" display="     Plans_action" xr:uid="{00000000-0004-0000-0000-00000B000000}"/>
    <hyperlink ref="A8" location="Présentation!A1" display="Présentation" xr:uid="{00000000-0004-0000-0000-00000C000000}"/>
    <hyperlink ref="A22" location="Projets!A1" display="     Projets" xr:uid="{00000000-0004-0000-0000-00000E000000}"/>
    <hyperlink ref="B37" r:id="rId1" display="http://www.clusif.fr/" xr:uid="{9AAE058A-B87A-4CA0-8BCD-17B4A67801F5}"/>
    <hyperlink ref="A23" location="Sel_Projets!A1" display="     Sel_Projets" xr:uid="{83A358A8-471F-4E66-91D0-9C38755F9A56}"/>
    <hyperlink ref="A24" location="Tbord!A1" display="     Tbord" xr:uid="{C862FDFE-3A86-414B-A7BF-10A61FFD429A}"/>
    <hyperlink ref="A26" location="Actifs_support!A1" display="     Actifs_supports" xr:uid="{B2972EC3-9369-4E76-8F45-E96E9BC7F9CC}"/>
    <hyperlink ref="A27" location="Dommages!A1" display="     Dommages" xr:uid="{4916EB5B-B253-40CC-8A34-A3E4BB945782}"/>
    <hyperlink ref="A28" location="Expo!A1" display="     Expo" xr:uid="{57AB380D-E606-4B51-9B8B-D9A1A0D99F1E}"/>
  </hyperlinks>
  <pageMargins left="0.78740157499999996" right="0.78740157499999996" top="0.984251969" bottom="0.984251969" header="0.4921259845" footer="0.4921259845"/>
  <pageSetup paperSize="9"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9270" r:id="rId5" name="Check Box 6">
              <controlPr defaultSize="0" autoFill="0" autoLine="0" autoPict="0">
                <anchor moveWithCells="1">
                  <from>
                    <xdr:col>3</xdr:col>
                    <xdr:colOff>716280</xdr:colOff>
                    <xdr:row>8</xdr:row>
                    <xdr:rowOff>106680</xdr:rowOff>
                  </from>
                  <to>
                    <xdr:col>4</xdr:col>
                    <xdr:colOff>259080</xdr:colOff>
                    <xdr:row>10</xdr:row>
                    <xdr:rowOff>7620</xdr:rowOff>
                  </to>
                </anchor>
              </controlPr>
            </control>
          </mc:Choice>
        </mc:AlternateContent>
        <mc:AlternateContent xmlns:mc="http://schemas.openxmlformats.org/markup-compatibility/2006">
          <mc:Choice Requires="x14">
            <control shapeId="139271" r:id="rId6" name="Check Box 7">
              <controlPr defaultSize="0" autoFill="0" autoLine="0" autoPict="0">
                <anchor moveWithCells="1">
                  <from>
                    <xdr:col>3</xdr:col>
                    <xdr:colOff>754380</xdr:colOff>
                    <xdr:row>24</xdr:row>
                    <xdr:rowOff>114300</xdr:rowOff>
                  </from>
                  <to>
                    <xdr:col>5</xdr:col>
                    <xdr:colOff>7620</xdr:colOff>
                    <xdr:row>26</xdr:row>
                    <xdr:rowOff>22860</xdr:rowOff>
                  </to>
                </anchor>
              </controlPr>
            </control>
          </mc:Choice>
        </mc:AlternateContent>
        <mc:AlternateContent xmlns:mc="http://schemas.openxmlformats.org/markup-compatibility/2006">
          <mc:Choice Requires="x14">
            <control shapeId="139272" r:id="rId7" name="Check Box 8">
              <controlPr defaultSize="0" autoFill="0" autoLine="0" autoPict="0">
                <anchor moveWithCells="1">
                  <from>
                    <xdr:col>3</xdr:col>
                    <xdr:colOff>754380</xdr:colOff>
                    <xdr:row>20</xdr:row>
                    <xdr:rowOff>121920</xdr:rowOff>
                  </from>
                  <to>
                    <xdr:col>5</xdr:col>
                    <xdr:colOff>0</xdr:colOff>
                    <xdr:row>22</xdr:row>
                    <xdr:rowOff>0</xdr:rowOff>
                  </to>
                </anchor>
              </controlPr>
            </control>
          </mc:Choice>
        </mc:AlternateContent>
        <mc:AlternateContent xmlns:mc="http://schemas.openxmlformats.org/markup-compatibility/2006">
          <mc:Choice Requires="x14">
            <control shapeId="139273" r:id="rId8" name="Check Box 9">
              <controlPr defaultSize="0" autoFill="0" autoLine="0" autoPict="0">
                <anchor moveWithCells="1">
                  <from>
                    <xdr:col>3</xdr:col>
                    <xdr:colOff>762000</xdr:colOff>
                    <xdr:row>16</xdr:row>
                    <xdr:rowOff>0</xdr:rowOff>
                  </from>
                  <to>
                    <xdr:col>5</xdr:col>
                    <xdr:colOff>7620</xdr:colOff>
                    <xdr:row>17</xdr:row>
                    <xdr:rowOff>68580</xdr:rowOff>
                  </to>
                </anchor>
              </controlPr>
            </control>
          </mc:Choice>
        </mc:AlternateContent>
        <mc:AlternateContent xmlns:mc="http://schemas.openxmlformats.org/markup-compatibility/2006">
          <mc:Choice Requires="x14">
            <control shapeId="139274" r:id="rId9" name="Check Box 10">
              <controlPr defaultSize="0" autoFill="0" autoLine="0" autoPict="0">
                <anchor moveWithCells="1">
                  <from>
                    <xdr:col>3</xdr:col>
                    <xdr:colOff>731520</xdr:colOff>
                    <xdr:row>12</xdr:row>
                    <xdr:rowOff>30480</xdr:rowOff>
                  </from>
                  <to>
                    <xdr:col>4</xdr:col>
                    <xdr:colOff>274320</xdr:colOff>
                    <xdr:row>13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7031-119E-427E-BA38-FE26BD9C1F26}">
  <sheetPr codeName="Feuil20"/>
  <dimension ref="A1:B95"/>
  <sheetViews>
    <sheetView workbookViewId="0">
      <selection activeCell="F13" sqref="F13"/>
    </sheetView>
  </sheetViews>
  <sheetFormatPr baseColWidth="10" defaultRowHeight="13.2" x14ac:dyDescent="0.25"/>
  <cols>
    <col min="1" max="1" width="6" style="947" customWidth="1"/>
    <col min="2" max="2" width="93.44140625" style="947" customWidth="1"/>
  </cols>
  <sheetData>
    <row r="1" spans="1:2" ht="19.2" x14ac:dyDescent="0.25">
      <c r="A1" s="1255" t="s">
        <v>6585</v>
      </c>
      <c r="B1" s="1255"/>
    </row>
    <row r="2" spans="1:2" ht="32.25" customHeight="1" x14ac:dyDescent="0.25">
      <c r="A2" s="1256" t="s">
        <v>6586</v>
      </c>
      <c r="B2" s="1256"/>
    </row>
    <row r="3" spans="1:2" x14ac:dyDescent="0.25">
      <c r="A3" s="1257"/>
      <c r="B3" s="1257"/>
    </row>
    <row r="4" spans="1:2" x14ac:dyDescent="0.25">
      <c r="A4" s="1254" t="s">
        <v>6587</v>
      </c>
      <c r="B4" s="1254"/>
    </row>
    <row r="5" spans="1:2" x14ac:dyDescent="0.25">
      <c r="A5" s="1258" t="s">
        <v>6588</v>
      </c>
      <c r="B5" s="1258"/>
    </row>
    <row r="6" spans="1:2" ht="52.8" x14ac:dyDescent="0.25">
      <c r="A6" s="935" t="s">
        <v>6589</v>
      </c>
      <c r="B6" s="936" t="s">
        <v>6590</v>
      </c>
    </row>
    <row r="7" spans="1:2" ht="26.4" x14ac:dyDescent="0.25">
      <c r="A7" s="935" t="s">
        <v>6591</v>
      </c>
      <c r="B7" s="936" t="s">
        <v>6592</v>
      </c>
    </row>
    <row r="8" spans="1:2" ht="52.8" x14ac:dyDescent="0.25">
      <c r="A8" s="935" t="s">
        <v>6593</v>
      </c>
      <c r="B8" s="936" t="s">
        <v>6594</v>
      </c>
    </row>
    <row r="9" spans="1:2" ht="39.6" x14ac:dyDescent="0.25">
      <c r="A9" s="935" t="s">
        <v>6595</v>
      </c>
      <c r="B9" s="936" t="s">
        <v>6596</v>
      </c>
    </row>
    <row r="10" spans="1:2" ht="26.4" x14ac:dyDescent="0.25">
      <c r="A10" s="935" t="s">
        <v>6597</v>
      </c>
      <c r="B10" s="936" t="s">
        <v>6598</v>
      </c>
    </row>
    <row r="11" spans="1:2" ht="26.4" x14ac:dyDescent="0.25">
      <c r="A11" s="935" t="s">
        <v>6599</v>
      </c>
      <c r="B11" s="936" t="s">
        <v>6600</v>
      </c>
    </row>
    <row r="12" spans="1:2" ht="26.4" x14ac:dyDescent="0.25">
      <c r="A12" s="935" t="s">
        <v>6601</v>
      </c>
      <c r="B12" s="936" t="s">
        <v>6602</v>
      </c>
    </row>
    <row r="13" spans="1:2" ht="39.6" x14ac:dyDescent="0.25">
      <c r="A13" s="935" t="s">
        <v>6603</v>
      </c>
      <c r="B13" s="936" t="s">
        <v>6604</v>
      </c>
    </row>
    <row r="14" spans="1:2" ht="26.4" x14ac:dyDescent="0.25">
      <c r="A14" s="935" t="s">
        <v>6605</v>
      </c>
      <c r="B14" s="936" t="s">
        <v>6606</v>
      </c>
    </row>
    <row r="15" spans="1:2" ht="52.8" x14ac:dyDescent="0.25">
      <c r="A15" s="935" t="s">
        <v>6607</v>
      </c>
      <c r="B15" s="936" t="s">
        <v>6608</v>
      </c>
    </row>
    <row r="16" spans="1:2" ht="39.6" x14ac:dyDescent="0.25">
      <c r="A16" s="935" t="s">
        <v>6609</v>
      </c>
      <c r="B16" s="936" t="s">
        <v>6610</v>
      </c>
    </row>
    <row r="17" spans="1:2" ht="26.4" x14ac:dyDescent="0.25">
      <c r="A17" s="935" t="s">
        <v>6611</v>
      </c>
      <c r="B17" s="936" t="s">
        <v>6612</v>
      </c>
    </row>
    <row r="18" spans="1:2" x14ac:dyDescent="0.25">
      <c r="A18" s="937" t="s">
        <v>6613</v>
      </c>
      <c r="B18" s="938"/>
    </row>
    <row r="19" spans="1:2" x14ac:dyDescent="0.25">
      <c r="A19" s="939" t="s">
        <v>6589</v>
      </c>
      <c r="B19" s="940" t="s">
        <v>6614</v>
      </c>
    </row>
    <row r="20" spans="1:2" ht="39.6" x14ac:dyDescent="0.25">
      <c r="A20" s="938"/>
      <c r="B20" s="941" t="s">
        <v>6615</v>
      </c>
    </row>
    <row r="21" spans="1:2" x14ac:dyDescent="0.25">
      <c r="A21" s="938"/>
      <c r="B21" s="942" t="s">
        <v>6616</v>
      </c>
    </row>
    <row r="22" spans="1:2" x14ac:dyDescent="0.25">
      <c r="A22" s="938"/>
      <c r="B22" s="942" t="s">
        <v>6617</v>
      </c>
    </row>
    <row r="23" spans="1:2" x14ac:dyDescent="0.25">
      <c r="A23" s="938"/>
      <c r="B23" s="942"/>
    </row>
    <row r="24" spans="1:2" ht="39.6" x14ac:dyDescent="0.25">
      <c r="A24" s="938"/>
      <c r="B24" s="943" t="s">
        <v>6618</v>
      </c>
    </row>
    <row r="25" spans="1:2" x14ac:dyDescent="0.25">
      <c r="A25" s="938"/>
      <c r="B25" s="942"/>
    </row>
    <row r="26" spans="1:2" x14ac:dyDescent="0.25">
      <c r="A26" s="938"/>
      <c r="B26" s="943" t="s">
        <v>6619</v>
      </c>
    </row>
    <row r="27" spans="1:2" x14ac:dyDescent="0.25">
      <c r="A27" s="938"/>
      <c r="B27" s="942"/>
    </row>
    <row r="28" spans="1:2" ht="105.6" x14ac:dyDescent="0.25">
      <c r="A28" s="938"/>
      <c r="B28" s="943" t="s">
        <v>6620</v>
      </c>
    </row>
    <row r="29" spans="1:2" x14ac:dyDescent="0.25">
      <c r="A29" s="938"/>
      <c r="B29" s="942"/>
    </row>
    <row r="30" spans="1:2" x14ac:dyDescent="0.25">
      <c r="A30" s="938"/>
      <c r="B30" s="943" t="s">
        <v>6621</v>
      </c>
    </row>
    <row r="31" spans="1:2" ht="39.6" x14ac:dyDescent="0.25">
      <c r="A31" s="938"/>
      <c r="B31" s="944" t="s">
        <v>6622</v>
      </c>
    </row>
    <row r="32" spans="1:2" ht="52.8" x14ac:dyDescent="0.25">
      <c r="A32" s="938"/>
      <c r="B32" s="944" t="s">
        <v>6623</v>
      </c>
    </row>
    <row r="33" spans="1:2" ht="52.8" x14ac:dyDescent="0.25">
      <c r="A33" s="938"/>
      <c r="B33" s="944" t="s">
        <v>6624</v>
      </c>
    </row>
    <row r="34" spans="1:2" x14ac:dyDescent="0.25">
      <c r="A34" s="938"/>
      <c r="B34" s="942"/>
    </row>
    <row r="35" spans="1:2" ht="52.8" x14ac:dyDescent="0.25">
      <c r="A35" s="938"/>
      <c r="B35" s="943" t="s">
        <v>6625</v>
      </c>
    </row>
    <row r="36" spans="1:2" x14ac:dyDescent="0.25">
      <c r="A36" s="939" t="s">
        <v>6591</v>
      </c>
      <c r="B36" s="940" t="s">
        <v>6626</v>
      </c>
    </row>
    <row r="37" spans="1:2" ht="66" x14ac:dyDescent="0.25">
      <c r="A37" s="938"/>
      <c r="B37" s="945" t="s">
        <v>6627</v>
      </c>
    </row>
    <row r="38" spans="1:2" x14ac:dyDescent="0.25">
      <c r="A38" s="938"/>
      <c r="B38" s="945" t="s">
        <v>6628</v>
      </c>
    </row>
    <row r="39" spans="1:2" ht="66" x14ac:dyDescent="0.25">
      <c r="A39" s="938"/>
      <c r="B39" s="945" t="s">
        <v>6629</v>
      </c>
    </row>
    <row r="40" spans="1:2" x14ac:dyDescent="0.25">
      <c r="A40" s="937" t="s">
        <v>6630</v>
      </c>
      <c r="B40" s="938"/>
    </row>
    <row r="41" spans="1:2" x14ac:dyDescent="0.25">
      <c r="A41" s="946" t="s">
        <v>6631</v>
      </c>
      <c r="B41" s="938"/>
    </row>
    <row r="42" spans="1:2" x14ac:dyDescent="0.25">
      <c r="A42" s="939" t="s">
        <v>6589</v>
      </c>
      <c r="B42" s="940" t="s">
        <v>6632</v>
      </c>
    </row>
    <row r="43" spans="1:2" x14ac:dyDescent="0.25">
      <c r="A43" s="938"/>
      <c r="B43" s="941" t="s">
        <v>6633</v>
      </c>
    </row>
    <row r="44" spans="1:2" ht="26.4" x14ac:dyDescent="0.25">
      <c r="B44" s="942" t="s">
        <v>6634</v>
      </c>
    </row>
    <row r="45" spans="1:2" ht="39.6" x14ac:dyDescent="0.25">
      <c r="B45" s="948" t="s">
        <v>6635</v>
      </c>
    </row>
    <row r="46" spans="1:2" x14ac:dyDescent="0.25">
      <c r="B46" s="948" t="s">
        <v>6636</v>
      </c>
    </row>
    <row r="47" spans="1:2" x14ac:dyDescent="0.25">
      <c r="B47" s="948" t="s">
        <v>6637</v>
      </c>
    </row>
    <row r="48" spans="1:2" x14ac:dyDescent="0.25">
      <c r="B48" s="948" t="s">
        <v>6638</v>
      </c>
    </row>
    <row r="49" spans="1:2" x14ac:dyDescent="0.25">
      <c r="B49" s="949" t="s">
        <v>6639</v>
      </c>
    </row>
    <row r="50" spans="1:2" x14ac:dyDescent="0.25">
      <c r="B50" s="942" t="s">
        <v>6640</v>
      </c>
    </row>
    <row r="51" spans="1:2" x14ac:dyDescent="0.25">
      <c r="B51" s="948" t="s">
        <v>6641</v>
      </c>
    </row>
    <row r="52" spans="1:2" x14ac:dyDescent="0.25">
      <c r="B52" s="948" t="s">
        <v>6642</v>
      </c>
    </row>
    <row r="53" spans="1:2" x14ac:dyDescent="0.25">
      <c r="B53" s="948" t="s">
        <v>6643</v>
      </c>
    </row>
    <row r="54" spans="1:2" ht="26.4" x14ac:dyDescent="0.25">
      <c r="B54" s="949" t="s">
        <v>6644</v>
      </c>
    </row>
    <row r="55" spans="1:2" ht="26.4" x14ac:dyDescent="0.25">
      <c r="B55" s="942" t="s">
        <v>6645</v>
      </c>
    </row>
    <row r="56" spans="1:2" x14ac:dyDescent="0.25">
      <c r="A56" s="938"/>
      <c r="B56" s="942"/>
    </row>
    <row r="57" spans="1:2" ht="52.8" x14ac:dyDescent="0.25">
      <c r="B57" s="941" t="s">
        <v>6646</v>
      </c>
    </row>
    <row r="58" spans="1:2" x14ac:dyDescent="0.25">
      <c r="A58" s="938"/>
      <c r="B58" s="942"/>
    </row>
    <row r="59" spans="1:2" ht="26.4" x14ac:dyDescent="0.25">
      <c r="B59" s="945" t="s">
        <v>6647</v>
      </c>
    </row>
    <row r="60" spans="1:2" x14ac:dyDescent="0.25">
      <c r="A60" s="939" t="s">
        <v>6591</v>
      </c>
      <c r="B60" s="940" t="s">
        <v>6648</v>
      </c>
    </row>
    <row r="61" spans="1:2" ht="26.4" x14ac:dyDescent="0.25">
      <c r="B61" s="947" t="s">
        <v>6649</v>
      </c>
    </row>
    <row r="62" spans="1:2" x14ac:dyDescent="0.25">
      <c r="B62" s="950"/>
    </row>
    <row r="63" spans="1:2" x14ac:dyDescent="0.25">
      <c r="B63" s="941" t="s">
        <v>6650</v>
      </c>
    </row>
    <row r="64" spans="1:2" x14ac:dyDescent="0.25">
      <c r="A64" s="938"/>
      <c r="B64" s="942"/>
    </row>
    <row r="65" spans="1:2" ht="39.6" x14ac:dyDescent="0.25">
      <c r="B65" s="945" t="s">
        <v>6651</v>
      </c>
    </row>
    <row r="66" spans="1:2" x14ac:dyDescent="0.25">
      <c r="A66" s="938"/>
      <c r="B66" s="942"/>
    </row>
    <row r="67" spans="1:2" ht="39.6" x14ac:dyDescent="0.25">
      <c r="B67" s="945" t="s">
        <v>6652</v>
      </c>
    </row>
    <row r="68" spans="1:2" x14ac:dyDescent="0.25">
      <c r="A68" s="937" t="s">
        <v>6653</v>
      </c>
    </row>
    <row r="69" spans="1:2" x14ac:dyDescent="0.25">
      <c r="A69" s="1259" t="s">
        <v>6654</v>
      </c>
      <c r="B69" s="1260"/>
    </row>
    <row r="70" spans="1:2" ht="26.4" x14ac:dyDescent="0.25">
      <c r="A70" s="935" t="s">
        <v>6655</v>
      </c>
      <c r="B70" s="951" t="s">
        <v>6656</v>
      </c>
    </row>
    <row r="71" spans="1:2" ht="52.8" x14ac:dyDescent="0.25">
      <c r="A71" s="935" t="s">
        <v>6657</v>
      </c>
      <c r="B71" s="952" t="s">
        <v>6658</v>
      </c>
    </row>
    <row r="72" spans="1:2" ht="26.4" x14ac:dyDescent="0.25">
      <c r="A72" s="935" t="s">
        <v>6659</v>
      </c>
      <c r="B72" s="951" t="s">
        <v>6660</v>
      </c>
    </row>
    <row r="73" spans="1:2" x14ac:dyDescent="0.25">
      <c r="A73" s="1254" t="s">
        <v>6661</v>
      </c>
      <c r="B73" s="1254"/>
    </row>
    <row r="74" spans="1:2" x14ac:dyDescent="0.25">
      <c r="A74" s="937" t="s">
        <v>6662</v>
      </c>
    </row>
    <row r="75" spans="1:2" ht="92.4" x14ac:dyDescent="0.25">
      <c r="A75" s="953" t="s">
        <v>6655</v>
      </c>
      <c r="B75" s="954" t="s">
        <v>6663</v>
      </c>
    </row>
    <row r="76" spans="1:2" ht="92.4" x14ac:dyDescent="0.25">
      <c r="A76" s="953" t="s">
        <v>6591</v>
      </c>
      <c r="B76" s="955" t="s">
        <v>6664</v>
      </c>
    </row>
    <row r="77" spans="1:2" x14ac:dyDescent="0.25">
      <c r="B77" s="956"/>
    </row>
    <row r="78" spans="1:2" ht="26.4" x14ac:dyDescent="0.25">
      <c r="A78" s="935" t="s">
        <v>6593</v>
      </c>
      <c r="B78" s="957" t="s">
        <v>6665</v>
      </c>
    </row>
    <row r="79" spans="1:2" x14ac:dyDescent="0.25">
      <c r="A79" s="937" t="s">
        <v>6666</v>
      </c>
    </row>
    <row r="80" spans="1:2" ht="39.6" x14ac:dyDescent="0.25">
      <c r="A80" s="935" t="s">
        <v>6655</v>
      </c>
      <c r="B80" s="957" t="s">
        <v>6667</v>
      </c>
    </row>
    <row r="81" spans="1:2" x14ac:dyDescent="0.25">
      <c r="A81" s="935" t="s">
        <v>6657</v>
      </c>
      <c r="B81" s="958" t="s">
        <v>6668</v>
      </c>
    </row>
    <row r="82" spans="1:2" ht="26.4" x14ac:dyDescent="0.25">
      <c r="B82" s="945" t="s">
        <v>6669</v>
      </c>
    </row>
    <row r="83" spans="1:2" x14ac:dyDescent="0.25">
      <c r="B83" s="945" t="s">
        <v>6670</v>
      </c>
    </row>
    <row r="84" spans="1:2" ht="26.4" x14ac:dyDescent="0.25">
      <c r="B84" s="952" t="s">
        <v>6671</v>
      </c>
    </row>
    <row r="85" spans="1:2" x14ac:dyDescent="0.25">
      <c r="B85" s="956"/>
    </row>
    <row r="86" spans="1:2" ht="39.6" x14ac:dyDescent="0.25">
      <c r="A86" s="935" t="s">
        <v>6659</v>
      </c>
      <c r="B86" s="957" t="s">
        <v>6672</v>
      </c>
    </row>
    <row r="87" spans="1:2" x14ac:dyDescent="0.25">
      <c r="A87" s="935" t="s">
        <v>6673</v>
      </c>
      <c r="B87" s="957" t="s">
        <v>6674</v>
      </c>
    </row>
    <row r="88" spans="1:2" x14ac:dyDescent="0.25">
      <c r="A88" s="937" t="s">
        <v>6675</v>
      </c>
    </row>
    <row r="89" spans="1:2" x14ac:dyDescent="0.25">
      <c r="A89" s="935" t="s">
        <v>6655</v>
      </c>
      <c r="B89" s="957" t="s">
        <v>6676</v>
      </c>
    </row>
    <row r="90" spans="1:2" ht="26.4" x14ac:dyDescent="0.25">
      <c r="A90" s="935" t="s">
        <v>6657</v>
      </c>
      <c r="B90" s="957" t="s">
        <v>6677</v>
      </c>
    </row>
    <row r="91" spans="1:2" x14ac:dyDescent="0.25">
      <c r="A91" s="937" t="s">
        <v>6678</v>
      </c>
    </row>
    <row r="92" spans="1:2" ht="39.6" x14ac:dyDescent="0.25">
      <c r="A92" s="935" t="s">
        <v>6655</v>
      </c>
      <c r="B92" s="957" t="s">
        <v>6679</v>
      </c>
    </row>
    <row r="93" spans="1:2" ht="39.6" x14ac:dyDescent="0.25">
      <c r="A93" s="935" t="s">
        <v>6657</v>
      </c>
      <c r="B93" s="957" t="s">
        <v>6680</v>
      </c>
    </row>
    <row r="94" spans="1:2" ht="26.4" x14ac:dyDescent="0.25">
      <c r="A94" s="935" t="s">
        <v>6659</v>
      </c>
      <c r="B94" s="957" t="s">
        <v>6681</v>
      </c>
    </row>
    <row r="95" spans="1:2" ht="52.8" x14ac:dyDescent="0.25">
      <c r="A95" s="935" t="s">
        <v>6673</v>
      </c>
      <c r="B95" s="957" t="s">
        <v>6682</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15"/>
  <sheetViews>
    <sheetView workbookViewId="0">
      <selection sqref="A1:B1"/>
    </sheetView>
  </sheetViews>
  <sheetFormatPr baseColWidth="10" defaultRowHeight="13.2" x14ac:dyDescent="0.25"/>
  <cols>
    <col min="1" max="1" width="6.5546875" customWidth="1"/>
    <col min="2" max="2" width="81.5546875" customWidth="1"/>
  </cols>
  <sheetData>
    <row r="1" spans="1:2" ht="55.5" customHeight="1" x14ac:dyDescent="0.25">
      <c r="A1" s="1261" t="s">
        <v>6582</v>
      </c>
      <c r="B1" s="1193"/>
    </row>
    <row r="3" spans="1:2" ht="15.6" x14ac:dyDescent="0.25">
      <c r="A3" s="418" t="s">
        <v>3080</v>
      </c>
    </row>
    <row r="4" spans="1:2" ht="39.6" x14ac:dyDescent="0.25">
      <c r="B4" t="s">
        <v>3086</v>
      </c>
    </row>
    <row r="5" spans="1:2" ht="39.6" x14ac:dyDescent="0.25">
      <c r="B5" t="s">
        <v>2207</v>
      </c>
    </row>
    <row r="6" spans="1:2" ht="52.8" x14ac:dyDescent="0.25">
      <c r="B6" t="s">
        <v>2202</v>
      </c>
    </row>
    <row r="8" spans="1:2" ht="15.6" x14ac:dyDescent="0.25">
      <c r="A8" s="418" t="s">
        <v>2204</v>
      </c>
    </row>
    <row r="9" spans="1:2" ht="30.75" customHeight="1" x14ac:dyDescent="0.25">
      <c r="B9" t="s">
        <v>2203</v>
      </c>
    </row>
    <row r="10" spans="1:2" ht="26.4" x14ac:dyDescent="0.25">
      <c r="B10" t="s">
        <v>2205</v>
      </c>
    </row>
    <row r="11" spans="1:2" ht="66" x14ac:dyDescent="0.25">
      <c r="B11" t="s">
        <v>2295</v>
      </c>
    </row>
    <row r="12" spans="1:2" ht="66" x14ac:dyDescent="0.25">
      <c r="B12" t="s">
        <v>2285</v>
      </c>
    </row>
    <row r="13" spans="1:2" ht="26.4" x14ac:dyDescent="0.25">
      <c r="B13" t="s">
        <v>2206</v>
      </c>
    </row>
    <row r="14" spans="1:2" ht="39.6" x14ac:dyDescent="0.25">
      <c r="B14" t="s">
        <v>2208</v>
      </c>
    </row>
    <row r="15" spans="1:2" x14ac:dyDescent="0.25">
      <c r="B15" t="s">
        <v>2286</v>
      </c>
    </row>
  </sheetData>
  <sheetProtection sheet="1" objects="1" scenarios="1"/>
  <mergeCells count="1">
    <mergeCell ref="A1:B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4">
    <tabColor indexed="10"/>
  </sheetPr>
  <dimension ref="A1:AO166"/>
  <sheetViews>
    <sheetView zoomScale="108" zoomScaleNormal="75" workbookViewId="0">
      <pane xSplit="1" ySplit="3" topLeftCell="B12" activePane="bottomRight" state="frozenSplit"/>
      <selection activeCell="B42" sqref="B42"/>
      <selection pane="topRight" activeCell="B42" sqref="B42"/>
      <selection pane="bottomLeft" activeCell="B42" sqref="B42"/>
      <selection pane="bottomRight" activeCell="M2" sqref="M2:O2"/>
    </sheetView>
  </sheetViews>
  <sheetFormatPr baseColWidth="10" defaultColWidth="11.44140625" defaultRowHeight="12.6" outlineLevelCol="1" x14ac:dyDescent="0.25"/>
  <cols>
    <col min="1" max="1" width="29.109375" style="4" customWidth="1"/>
    <col min="2" max="2" width="19.6640625" style="5" customWidth="1" outlineLevel="1"/>
    <col min="3" max="3" width="2.88671875" style="5" customWidth="1" outlineLevel="1"/>
    <col min="4" max="9" width="3" style="7" customWidth="1"/>
    <col min="10" max="12" width="3.5546875" style="3" customWidth="1"/>
    <col min="13" max="15" width="3" style="7" customWidth="1"/>
    <col min="16" max="17" width="4.5546875" style="7" customWidth="1"/>
    <col min="18" max="19" width="4.44140625" style="7" customWidth="1"/>
    <col min="20" max="21" width="3.33203125" style="7" customWidth="1"/>
    <col min="22" max="22" width="5.6640625" style="7" customWidth="1"/>
    <col min="23" max="41" width="5.6640625" style="3" hidden="1" customWidth="1"/>
    <col min="42" max="42" width="5.6640625" style="3" customWidth="1"/>
    <col min="43" max="80" width="9.109375" style="3" customWidth="1"/>
    <col min="81" max="16384" width="11.44140625" style="3"/>
  </cols>
  <sheetData>
    <row r="1" spans="1:41" ht="12.75" customHeight="1" x14ac:dyDescent="0.25">
      <c r="A1" s="974" t="s">
        <v>207</v>
      </c>
      <c r="B1" s="975"/>
      <c r="C1" s="976"/>
      <c r="D1" s="1194" t="s">
        <v>525</v>
      </c>
      <c r="E1" s="1195"/>
      <c r="F1" s="1195"/>
      <c r="G1" s="1195"/>
      <c r="H1" s="1195"/>
      <c r="I1" s="1195"/>
      <c r="J1" s="1195"/>
      <c r="K1" s="1195"/>
      <c r="L1" s="1195"/>
      <c r="M1" s="1196"/>
      <c r="N1" s="1196"/>
      <c r="O1" s="1196"/>
      <c r="P1" s="1196"/>
      <c r="Q1" s="1196"/>
      <c r="R1" s="1196"/>
      <c r="S1" s="1196"/>
      <c r="T1" s="1196"/>
      <c r="U1" s="1196"/>
      <c r="V1" s="1197"/>
    </row>
    <row r="2" spans="1:41" s="4" customFormat="1" ht="72.75" customHeight="1" x14ac:dyDescent="0.2">
      <c r="A2" s="977" t="s">
        <v>597</v>
      </c>
      <c r="B2" s="978" t="s">
        <v>578</v>
      </c>
      <c r="C2" s="979" t="s">
        <v>2184</v>
      </c>
      <c r="D2" s="1188" t="s">
        <v>579</v>
      </c>
      <c r="E2" s="1191"/>
      <c r="F2" s="1190"/>
      <c r="G2" s="1188" t="s">
        <v>1406</v>
      </c>
      <c r="H2" s="1191"/>
      <c r="I2" s="1190"/>
      <c r="J2" s="1188" t="s">
        <v>3191</v>
      </c>
      <c r="K2" s="1189"/>
      <c r="L2" s="1190"/>
      <c r="M2" s="1188" t="s">
        <v>3190</v>
      </c>
      <c r="N2" s="1191"/>
      <c r="O2" s="1190"/>
      <c r="P2" s="1188" t="s">
        <v>3192</v>
      </c>
      <c r="Q2" s="1190"/>
      <c r="R2" s="1188" t="s">
        <v>540</v>
      </c>
      <c r="S2" s="1191"/>
      <c r="T2" s="1188" t="s">
        <v>822</v>
      </c>
      <c r="U2" s="1191"/>
      <c r="V2" s="1198"/>
    </row>
    <row r="3" spans="1:41" s="4" customFormat="1" ht="17.25" customHeight="1" x14ac:dyDescent="0.2">
      <c r="A3" s="980"/>
      <c r="B3" s="981"/>
      <c r="C3" s="982"/>
      <c r="D3" s="983" t="s">
        <v>539</v>
      </c>
      <c r="E3" s="983" t="s">
        <v>268</v>
      </c>
      <c r="F3" s="984" t="s">
        <v>309</v>
      </c>
      <c r="G3" s="983" t="s">
        <v>539</v>
      </c>
      <c r="H3" s="983" t="s">
        <v>268</v>
      </c>
      <c r="I3" s="984" t="s">
        <v>309</v>
      </c>
      <c r="J3" s="983" t="s">
        <v>539</v>
      </c>
      <c r="K3" s="983" t="s">
        <v>268</v>
      </c>
      <c r="L3" s="983" t="s">
        <v>309</v>
      </c>
      <c r="M3" s="983" t="s">
        <v>539</v>
      </c>
      <c r="N3" s="983" t="s">
        <v>268</v>
      </c>
      <c r="O3" s="984" t="s">
        <v>309</v>
      </c>
      <c r="P3" s="983" t="s">
        <v>539</v>
      </c>
      <c r="Q3" s="984" t="s">
        <v>309</v>
      </c>
      <c r="R3" s="983" t="s">
        <v>539</v>
      </c>
      <c r="S3" s="983" t="s">
        <v>268</v>
      </c>
      <c r="T3" s="983" t="s">
        <v>539</v>
      </c>
      <c r="U3" s="983" t="s">
        <v>268</v>
      </c>
      <c r="V3" s="985" t="s">
        <v>309</v>
      </c>
    </row>
    <row r="4" spans="1:41" s="4" customFormat="1" ht="13.5" customHeight="1" x14ac:dyDescent="0.2">
      <c r="A4" s="986" t="s">
        <v>2186</v>
      </c>
      <c r="B4" s="987"/>
      <c r="C4" s="988"/>
      <c r="D4" s="989" t="s">
        <v>538</v>
      </c>
      <c r="E4" s="989" t="s">
        <v>538</v>
      </c>
      <c r="F4" s="989" t="s">
        <v>538</v>
      </c>
      <c r="G4" s="989" t="s">
        <v>346</v>
      </c>
      <c r="H4" s="989" t="s">
        <v>346</v>
      </c>
      <c r="I4" s="989" t="s">
        <v>346</v>
      </c>
      <c r="J4" s="989" t="s">
        <v>519</v>
      </c>
      <c r="K4" s="989" t="s">
        <v>519</v>
      </c>
      <c r="L4" s="989" t="s">
        <v>519</v>
      </c>
      <c r="M4" s="989" t="s">
        <v>311</v>
      </c>
      <c r="N4" s="989" t="s">
        <v>311</v>
      </c>
      <c r="O4" s="989" t="s">
        <v>311</v>
      </c>
      <c r="P4" s="989" t="s">
        <v>267</v>
      </c>
      <c r="Q4" s="989" t="s">
        <v>267</v>
      </c>
      <c r="R4" s="989" t="s">
        <v>267</v>
      </c>
      <c r="S4" s="989" t="s">
        <v>267</v>
      </c>
      <c r="T4" s="989" t="s">
        <v>520</v>
      </c>
      <c r="U4" s="989" t="s">
        <v>520</v>
      </c>
      <c r="V4" s="990" t="s">
        <v>520</v>
      </c>
    </row>
    <row r="5" spans="1:41" s="4" customFormat="1" ht="10.199999999999999" x14ac:dyDescent="0.2">
      <c r="A5" s="991" t="s">
        <v>260</v>
      </c>
      <c r="B5" s="992"/>
      <c r="C5" s="993"/>
      <c r="D5" s="993"/>
      <c r="E5" s="993"/>
      <c r="F5" s="993"/>
      <c r="G5" s="993"/>
      <c r="H5" s="993"/>
      <c r="I5" s="993"/>
      <c r="J5" s="993"/>
      <c r="K5" s="993"/>
      <c r="L5" s="993"/>
      <c r="M5" s="993"/>
      <c r="N5" s="993"/>
      <c r="O5" s="993"/>
      <c r="P5" s="993"/>
      <c r="Q5" s="993"/>
      <c r="R5" s="993"/>
      <c r="S5" s="993"/>
      <c r="T5" s="993"/>
      <c r="U5" s="993"/>
      <c r="V5" s="994"/>
    </row>
    <row r="6" spans="1:41" s="4" customFormat="1" ht="13.5" customHeight="1" x14ac:dyDescent="0.2">
      <c r="A6" s="995" t="s">
        <v>7464</v>
      </c>
      <c r="B6" s="996" t="s">
        <v>7474</v>
      </c>
      <c r="C6" s="997">
        <v>1</v>
      </c>
      <c r="D6" s="998">
        <v>2</v>
      </c>
      <c r="E6" s="998">
        <v>2</v>
      </c>
      <c r="F6" s="998">
        <v>3</v>
      </c>
      <c r="G6" s="998"/>
      <c r="H6" s="998"/>
      <c r="I6" s="998"/>
      <c r="J6" s="998"/>
      <c r="K6" s="998"/>
      <c r="L6" s="998"/>
      <c r="M6" s="998">
        <v>2</v>
      </c>
      <c r="N6" s="998">
        <v>2</v>
      </c>
      <c r="O6" s="998">
        <v>2</v>
      </c>
      <c r="P6" s="998"/>
      <c r="Q6" s="998"/>
      <c r="R6" s="998"/>
      <c r="S6" s="998"/>
      <c r="T6" s="998"/>
      <c r="U6" s="998"/>
      <c r="V6" s="998"/>
      <c r="W6" s="4">
        <f>IF($C6=1,IF(D6=0,"",D6)," ")</f>
        <v>2</v>
      </c>
      <c r="X6" s="4">
        <f t="shared" ref="X6:AO6" si="0">IF($C6=1,IF(E6=0,"",E6)," ")</f>
        <v>2</v>
      </c>
      <c r="Y6" s="4">
        <f t="shared" si="0"/>
        <v>3</v>
      </c>
      <c r="Z6" s="4" t="str">
        <f t="shared" si="0"/>
        <v/>
      </c>
      <c r="AA6" s="4" t="str">
        <f t="shared" si="0"/>
        <v/>
      </c>
      <c r="AB6" s="4" t="str">
        <f t="shared" si="0"/>
        <v/>
      </c>
      <c r="AC6" s="4" t="str">
        <f t="shared" si="0"/>
        <v/>
      </c>
      <c r="AD6" s="4" t="str">
        <f t="shared" si="0"/>
        <v/>
      </c>
      <c r="AE6" s="4" t="str">
        <f t="shared" si="0"/>
        <v/>
      </c>
      <c r="AF6" s="4">
        <f t="shared" si="0"/>
        <v>2</v>
      </c>
      <c r="AG6" s="4">
        <f t="shared" si="0"/>
        <v>2</v>
      </c>
      <c r="AH6" s="4">
        <f t="shared" si="0"/>
        <v>2</v>
      </c>
      <c r="AI6" s="4" t="str">
        <f t="shared" si="0"/>
        <v/>
      </c>
      <c r="AJ6" s="4" t="str">
        <f t="shared" si="0"/>
        <v/>
      </c>
      <c r="AK6" s="4" t="str">
        <f t="shared" si="0"/>
        <v/>
      </c>
      <c r="AL6" s="4" t="str">
        <f t="shared" si="0"/>
        <v/>
      </c>
      <c r="AM6" s="4" t="str">
        <f t="shared" si="0"/>
        <v/>
      </c>
      <c r="AN6" s="4" t="str">
        <f t="shared" si="0"/>
        <v/>
      </c>
      <c r="AO6" s="4" t="str">
        <f t="shared" si="0"/>
        <v/>
      </c>
    </row>
    <row r="7" spans="1:41" s="4" customFormat="1" ht="51" x14ac:dyDescent="0.2">
      <c r="A7" s="995" t="s">
        <v>7465</v>
      </c>
      <c r="B7" s="996" t="s">
        <v>7475</v>
      </c>
      <c r="C7" s="997">
        <v>1</v>
      </c>
      <c r="D7" s="998">
        <v>2</v>
      </c>
      <c r="E7" s="998">
        <v>3</v>
      </c>
      <c r="F7" s="998">
        <v>3</v>
      </c>
      <c r="G7" s="998"/>
      <c r="H7" s="998"/>
      <c r="I7" s="998"/>
      <c r="J7" s="998"/>
      <c r="K7" s="998"/>
      <c r="L7" s="998"/>
      <c r="M7" s="998">
        <v>2</v>
      </c>
      <c r="N7" s="998">
        <v>2</v>
      </c>
      <c r="O7" s="998">
        <v>2</v>
      </c>
      <c r="P7" s="998"/>
      <c r="Q7" s="998"/>
      <c r="R7" s="998"/>
      <c r="S7" s="998"/>
      <c r="T7" s="998">
        <v>3</v>
      </c>
      <c r="U7" s="998">
        <v>3</v>
      </c>
      <c r="V7" s="999">
        <v>3</v>
      </c>
      <c r="W7" s="4">
        <f t="shared" ref="W7:W20" si="1">IF($C7=1,IF(D7=0,"",D7)," ")</f>
        <v>2</v>
      </c>
      <c r="X7" s="4">
        <f t="shared" ref="X7:X20" si="2">IF($C7=1,IF(E7=0,"",E7)," ")</f>
        <v>3</v>
      </c>
      <c r="Y7" s="4">
        <f t="shared" ref="Y7:Y20" si="3">IF($C7=1,IF(F7=0,"",F7)," ")</f>
        <v>3</v>
      </c>
      <c r="Z7" s="4" t="str">
        <f t="shared" ref="Z7:Z20" si="4">IF($C7=1,IF(G7=0,"",G7)," ")</f>
        <v/>
      </c>
      <c r="AA7" s="4" t="str">
        <f t="shared" ref="AA7:AA20" si="5">IF($C7=1,IF(H7=0,"",H7)," ")</f>
        <v/>
      </c>
      <c r="AB7" s="4" t="str">
        <f t="shared" ref="AB7:AB20" si="6">IF($C7=1,IF(I7=0,"",I7)," ")</f>
        <v/>
      </c>
      <c r="AC7" s="4" t="str">
        <f t="shared" ref="AC7:AC20" si="7">IF($C7=1,IF(J7=0,"",J7)," ")</f>
        <v/>
      </c>
      <c r="AD7" s="4" t="str">
        <f t="shared" ref="AD7:AD20" si="8">IF($C7=1,IF(K7=0,"",K7)," ")</f>
        <v/>
      </c>
      <c r="AE7" s="4" t="str">
        <f t="shared" ref="AE7:AE20" si="9">IF($C7=1,IF(L7=0,"",L7)," ")</f>
        <v/>
      </c>
      <c r="AF7" s="4">
        <f t="shared" ref="AF7:AF20" si="10">IF($C7=1,IF(M7=0,"",M7)," ")</f>
        <v>2</v>
      </c>
      <c r="AG7" s="4">
        <f t="shared" ref="AG7:AG20" si="11">IF($C7=1,IF(N7=0,"",N7)," ")</f>
        <v>2</v>
      </c>
      <c r="AH7" s="4">
        <f t="shared" ref="AH7:AH20" si="12">IF($C7=1,IF(O7=0,"",O7)," ")</f>
        <v>2</v>
      </c>
      <c r="AI7" s="4" t="str">
        <f t="shared" ref="AI7:AI20" si="13">IF($C7=1,IF(P7=0,"",P7)," ")</f>
        <v/>
      </c>
      <c r="AJ7" s="4" t="str">
        <f t="shared" ref="AJ7:AJ20" si="14">IF($C7=1,IF(Q7=0,"",Q7)," ")</f>
        <v/>
      </c>
      <c r="AK7" s="4" t="str">
        <f t="shared" ref="AK7:AK20" si="15">IF($C7=1,IF(R7=0,"",R7)," ")</f>
        <v/>
      </c>
      <c r="AL7" s="4" t="str">
        <f t="shared" ref="AL7:AL20" si="16">IF($C7=1,IF(S7=0,"",S7)," ")</f>
        <v/>
      </c>
      <c r="AM7" s="4">
        <f t="shared" ref="AM7:AM20" si="17">IF($C7=1,IF(T7=0,"",T7)," ")</f>
        <v>3</v>
      </c>
      <c r="AN7" s="4">
        <f t="shared" ref="AN7:AN20" si="18">IF($C7=1,IF(U7=0,"",U7)," ")</f>
        <v>3</v>
      </c>
      <c r="AO7" s="4">
        <f t="shared" ref="AO7:AO20" si="19">IF($C7=1,IF(V7=0,"",V7)," ")</f>
        <v>3</v>
      </c>
    </row>
    <row r="8" spans="1:41" s="4" customFormat="1" ht="51" x14ac:dyDescent="0.2">
      <c r="A8" s="995" t="s">
        <v>7466</v>
      </c>
      <c r="B8" s="996" t="s">
        <v>7476</v>
      </c>
      <c r="C8" s="997">
        <v>1</v>
      </c>
      <c r="D8" s="998">
        <v>3</v>
      </c>
      <c r="E8" s="998">
        <v>2</v>
      </c>
      <c r="F8" s="998">
        <v>2</v>
      </c>
      <c r="G8" s="998"/>
      <c r="H8" s="998"/>
      <c r="I8" s="998"/>
      <c r="J8" s="998"/>
      <c r="K8" s="998"/>
      <c r="L8" s="998"/>
      <c r="M8" s="998">
        <v>3</v>
      </c>
      <c r="N8" s="998">
        <v>2</v>
      </c>
      <c r="O8" s="998">
        <v>2</v>
      </c>
      <c r="P8" s="998"/>
      <c r="Q8" s="998"/>
      <c r="R8" s="998"/>
      <c r="S8" s="998"/>
      <c r="T8" s="998"/>
      <c r="U8" s="998"/>
      <c r="V8" s="999"/>
      <c r="W8" s="4">
        <f t="shared" si="1"/>
        <v>3</v>
      </c>
      <c r="X8" s="4">
        <f t="shared" si="2"/>
        <v>2</v>
      </c>
      <c r="Y8" s="4">
        <f t="shared" si="3"/>
        <v>2</v>
      </c>
      <c r="Z8" s="4" t="str">
        <f t="shared" si="4"/>
        <v/>
      </c>
      <c r="AA8" s="4" t="str">
        <f t="shared" si="5"/>
        <v/>
      </c>
      <c r="AB8" s="4" t="str">
        <f t="shared" si="6"/>
        <v/>
      </c>
      <c r="AC8" s="4" t="str">
        <f t="shared" si="7"/>
        <v/>
      </c>
      <c r="AD8" s="4" t="str">
        <f t="shared" si="8"/>
        <v/>
      </c>
      <c r="AE8" s="4" t="str">
        <f t="shared" si="9"/>
        <v/>
      </c>
      <c r="AF8" s="4">
        <f t="shared" si="10"/>
        <v>3</v>
      </c>
      <c r="AG8" s="4">
        <f t="shared" si="11"/>
        <v>2</v>
      </c>
      <c r="AH8" s="4">
        <f t="shared" si="12"/>
        <v>2</v>
      </c>
      <c r="AI8" s="4" t="str">
        <f t="shared" si="13"/>
        <v/>
      </c>
      <c r="AJ8" s="4" t="str">
        <f t="shared" si="14"/>
        <v/>
      </c>
      <c r="AK8" s="4" t="str">
        <f t="shared" si="15"/>
        <v/>
      </c>
      <c r="AL8" s="4" t="str">
        <f t="shared" si="16"/>
        <v/>
      </c>
      <c r="AM8" s="4" t="str">
        <f t="shared" si="17"/>
        <v/>
      </c>
      <c r="AN8" s="4" t="str">
        <f t="shared" si="18"/>
        <v/>
      </c>
      <c r="AO8" s="4" t="str">
        <f t="shared" si="19"/>
        <v/>
      </c>
    </row>
    <row r="9" spans="1:41" s="4" customFormat="1" ht="12.75" customHeight="1" x14ac:dyDescent="0.2">
      <c r="A9" s="995" t="s">
        <v>7467</v>
      </c>
      <c r="B9" s="996" t="s">
        <v>7477</v>
      </c>
      <c r="C9" s="997">
        <v>1</v>
      </c>
      <c r="D9" s="998">
        <v>2</v>
      </c>
      <c r="E9" s="998">
        <v>2</v>
      </c>
      <c r="F9" s="998">
        <v>2</v>
      </c>
      <c r="G9" s="998"/>
      <c r="H9" s="998"/>
      <c r="I9" s="998"/>
      <c r="J9" s="998"/>
      <c r="K9" s="998"/>
      <c r="L9" s="998"/>
      <c r="M9" s="998"/>
      <c r="N9" s="998"/>
      <c r="O9" s="998"/>
      <c r="P9" s="998"/>
      <c r="Q9" s="998"/>
      <c r="R9" s="998"/>
      <c r="S9" s="998"/>
      <c r="T9" s="998"/>
      <c r="U9" s="998"/>
      <c r="V9" s="999"/>
      <c r="W9" s="4">
        <f t="shared" si="1"/>
        <v>2</v>
      </c>
      <c r="X9" s="4">
        <f t="shared" si="2"/>
        <v>2</v>
      </c>
      <c r="Y9" s="4">
        <f t="shared" si="3"/>
        <v>2</v>
      </c>
      <c r="Z9" s="4" t="str">
        <f t="shared" si="4"/>
        <v/>
      </c>
      <c r="AA9" s="4" t="str">
        <f t="shared" si="5"/>
        <v/>
      </c>
      <c r="AB9" s="4" t="str">
        <f t="shared" si="6"/>
        <v/>
      </c>
      <c r="AC9" s="4" t="str">
        <f t="shared" si="7"/>
        <v/>
      </c>
      <c r="AD9" s="4" t="str">
        <f t="shared" si="8"/>
        <v/>
      </c>
      <c r="AE9" s="4" t="str">
        <f t="shared" si="9"/>
        <v/>
      </c>
      <c r="AF9" s="4" t="str">
        <f t="shared" si="10"/>
        <v/>
      </c>
      <c r="AG9" s="4" t="str">
        <f t="shared" si="11"/>
        <v/>
      </c>
      <c r="AH9" s="4" t="str">
        <f t="shared" si="12"/>
        <v/>
      </c>
      <c r="AI9" s="4" t="str">
        <f t="shared" si="13"/>
        <v/>
      </c>
      <c r="AJ9" s="4" t="str">
        <f t="shared" si="14"/>
        <v/>
      </c>
      <c r="AK9" s="4" t="str">
        <f t="shared" si="15"/>
        <v/>
      </c>
      <c r="AL9" s="4" t="str">
        <f t="shared" si="16"/>
        <v/>
      </c>
      <c r="AM9" s="4" t="str">
        <f t="shared" si="17"/>
        <v/>
      </c>
      <c r="AN9" s="4" t="str">
        <f t="shared" si="18"/>
        <v/>
      </c>
      <c r="AO9" s="4" t="str">
        <f t="shared" si="19"/>
        <v/>
      </c>
    </row>
    <row r="10" spans="1:41" s="4" customFormat="1" ht="20.399999999999999" x14ac:dyDescent="0.2">
      <c r="A10" s="995" t="s">
        <v>7468</v>
      </c>
      <c r="B10" s="996" t="s">
        <v>7478</v>
      </c>
      <c r="C10" s="997">
        <v>1</v>
      </c>
      <c r="D10" s="998">
        <v>2</v>
      </c>
      <c r="E10" s="998">
        <v>2</v>
      </c>
      <c r="F10" s="998">
        <v>3</v>
      </c>
      <c r="G10" s="998"/>
      <c r="H10" s="998"/>
      <c r="I10" s="998"/>
      <c r="J10" s="998"/>
      <c r="K10" s="998"/>
      <c r="L10" s="998"/>
      <c r="M10" s="998"/>
      <c r="N10" s="998"/>
      <c r="O10" s="998"/>
      <c r="P10" s="998"/>
      <c r="Q10" s="998"/>
      <c r="R10" s="998"/>
      <c r="S10" s="998"/>
      <c r="T10" s="998"/>
      <c r="U10" s="998"/>
      <c r="V10" s="999"/>
      <c r="W10" s="4">
        <f t="shared" si="1"/>
        <v>2</v>
      </c>
      <c r="X10" s="4">
        <f t="shared" si="2"/>
        <v>2</v>
      </c>
      <c r="Y10" s="4">
        <f t="shared" si="3"/>
        <v>3</v>
      </c>
      <c r="Z10" s="4" t="str">
        <f t="shared" si="4"/>
        <v/>
      </c>
      <c r="AA10" s="4" t="str">
        <f t="shared" si="5"/>
        <v/>
      </c>
      <c r="AB10" s="4" t="str">
        <f t="shared" si="6"/>
        <v/>
      </c>
      <c r="AC10" s="4" t="str">
        <f t="shared" si="7"/>
        <v/>
      </c>
      <c r="AD10" s="4" t="str">
        <f t="shared" si="8"/>
        <v/>
      </c>
      <c r="AE10" s="4" t="str">
        <f t="shared" si="9"/>
        <v/>
      </c>
      <c r="AF10" s="4" t="str">
        <f t="shared" si="10"/>
        <v/>
      </c>
      <c r="AG10" s="4" t="str">
        <f t="shared" si="11"/>
        <v/>
      </c>
      <c r="AH10" s="4" t="str">
        <f t="shared" si="12"/>
        <v/>
      </c>
      <c r="AI10" s="4" t="str">
        <f t="shared" si="13"/>
        <v/>
      </c>
      <c r="AJ10" s="4" t="str">
        <f t="shared" si="14"/>
        <v/>
      </c>
      <c r="AK10" s="4" t="str">
        <f t="shared" si="15"/>
        <v/>
      </c>
      <c r="AL10" s="4" t="str">
        <f t="shared" si="16"/>
        <v/>
      </c>
      <c r="AM10" s="4" t="str">
        <f t="shared" si="17"/>
        <v/>
      </c>
      <c r="AN10" s="4" t="str">
        <f t="shared" si="18"/>
        <v/>
      </c>
      <c r="AO10" s="4" t="str">
        <f t="shared" si="19"/>
        <v/>
      </c>
    </row>
    <row r="11" spans="1:41" s="4" customFormat="1" ht="30.6" x14ac:dyDescent="0.2">
      <c r="A11" s="995" t="s">
        <v>7469</v>
      </c>
      <c r="B11" s="996" t="s">
        <v>7479</v>
      </c>
      <c r="C11" s="997">
        <v>1</v>
      </c>
      <c r="D11" s="998"/>
      <c r="E11" s="998"/>
      <c r="F11" s="998"/>
      <c r="G11" s="998">
        <v>2</v>
      </c>
      <c r="H11" s="998">
        <v>2</v>
      </c>
      <c r="I11" s="998">
        <v>3</v>
      </c>
      <c r="J11" s="998"/>
      <c r="K11" s="998"/>
      <c r="L11" s="998"/>
      <c r="M11" s="998"/>
      <c r="N11" s="998"/>
      <c r="O11" s="998"/>
      <c r="P11" s="998"/>
      <c r="Q11" s="998"/>
      <c r="R11" s="998"/>
      <c r="S11" s="998"/>
      <c r="T11" s="998"/>
      <c r="U11" s="998"/>
      <c r="V11" s="999"/>
      <c r="W11" s="4" t="str">
        <f t="shared" si="1"/>
        <v/>
      </c>
      <c r="X11" s="4" t="str">
        <f t="shared" si="2"/>
        <v/>
      </c>
      <c r="Y11" s="4" t="str">
        <f t="shared" si="3"/>
        <v/>
      </c>
      <c r="Z11" s="4">
        <f t="shared" si="4"/>
        <v>2</v>
      </c>
      <c r="AA11" s="4">
        <f t="shared" si="5"/>
        <v>2</v>
      </c>
      <c r="AB11" s="4">
        <f t="shared" si="6"/>
        <v>3</v>
      </c>
      <c r="AC11" s="4" t="str">
        <f t="shared" si="7"/>
        <v/>
      </c>
      <c r="AD11" s="4" t="str">
        <f t="shared" si="8"/>
        <v/>
      </c>
      <c r="AE11" s="4" t="str">
        <f t="shared" si="9"/>
        <v/>
      </c>
      <c r="AF11" s="4" t="str">
        <f t="shared" si="10"/>
        <v/>
      </c>
      <c r="AG11" s="4" t="str">
        <f t="shared" si="11"/>
        <v/>
      </c>
      <c r="AH11" s="4" t="str">
        <f t="shared" si="12"/>
        <v/>
      </c>
      <c r="AI11" s="4" t="str">
        <f t="shared" si="13"/>
        <v/>
      </c>
      <c r="AJ11" s="4" t="str">
        <f t="shared" si="14"/>
        <v/>
      </c>
      <c r="AK11" s="4" t="str">
        <f t="shared" si="15"/>
        <v/>
      </c>
      <c r="AL11" s="4" t="str">
        <f t="shared" si="16"/>
        <v/>
      </c>
      <c r="AM11" s="4" t="str">
        <f t="shared" si="17"/>
        <v/>
      </c>
      <c r="AN11" s="4" t="str">
        <f t="shared" si="18"/>
        <v/>
      </c>
      <c r="AO11" s="4" t="str">
        <f t="shared" si="19"/>
        <v/>
      </c>
    </row>
    <row r="12" spans="1:41" s="4" customFormat="1" ht="51" x14ac:dyDescent="0.2">
      <c r="A12" s="1000" t="s">
        <v>7470</v>
      </c>
      <c r="B12" s="996" t="s">
        <v>7480</v>
      </c>
      <c r="C12" s="997">
        <v>1</v>
      </c>
      <c r="D12" s="998"/>
      <c r="E12" s="998"/>
      <c r="F12" s="998"/>
      <c r="G12" s="998">
        <v>2</v>
      </c>
      <c r="H12" s="998">
        <v>2</v>
      </c>
      <c r="I12" s="998">
        <v>2</v>
      </c>
      <c r="J12" s="998"/>
      <c r="K12" s="998"/>
      <c r="L12" s="998"/>
      <c r="M12" s="998"/>
      <c r="N12" s="998"/>
      <c r="O12" s="998"/>
      <c r="P12" s="998"/>
      <c r="Q12" s="998"/>
      <c r="R12" s="998"/>
      <c r="S12" s="998"/>
      <c r="T12" s="998"/>
      <c r="U12" s="998"/>
      <c r="V12" s="999"/>
      <c r="W12" s="4" t="str">
        <f t="shared" si="1"/>
        <v/>
      </c>
      <c r="X12" s="4" t="str">
        <f t="shared" si="2"/>
        <v/>
      </c>
      <c r="Y12" s="4" t="str">
        <f t="shared" si="3"/>
        <v/>
      </c>
      <c r="Z12" s="4">
        <f t="shared" si="4"/>
        <v>2</v>
      </c>
      <c r="AA12" s="4">
        <f t="shared" si="5"/>
        <v>2</v>
      </c>
      <c r="AB12" s="4">
        <f t="shared" si="6"/>
        <v>2</v>
      </c>
      <c r="AC12" s="4" t="str">
        <f t="shared" si="7"/>
        <v/>
      </c>
      <c r="AD12" s="4" t="str">
        <f t="shared" si="8"/>
        <v/>
      </c>
      <c r="AE12" s="4" t="str">
        <f t="shared" si="9"/>
        <v/>
      </c>
      <c r="AF12" s="4" t="str">
        <f t="shared" si="10"/>
        <v/>
      </c>
      <c r="AG12" s="4" t="str">
        <f t="shared" si="11"/>
        <v/>
      </c>
      <c r="AH12" s="4" t="str">
        <f t="shared" si="12"/>
        <v/>
      </c>
      <c r="AI12" s="4" t="str">
        <f t="shared" si="13"/>
        <v/>
      </c>
      <c r="AJ12" s="4" t="str">
        <f t="shared" si="14"/>
        <v/>
      </c>
      <c r="AK12" s="4" t="str">
        <f t="shared" si="15"/>
        <v/>
      </c>
      <c r="AL12" s="4" t="str">
        <f t="shared" si="16"/>
        <v/>
      </c>
      <c r="AM12" s="4" t="str">
        <f t="shared" si="17"/>
        <v/>
      </c>
      <c r="AN12" s="4" t="str">
        <f t="shared" si="18"/>
        <v/>
      </c>
      <c r="AO12" s="4" t="str">
        <f t="shared" si="19"/>
        <v/>
      </c>
    </row>
    <row r="13" spans="1:41" s="4" customFormat="1" ht="20.399999999999999" x14ac:dyDescent="0.2">
      <c r="A13" s="1001" t="s">
        <v>7471</v>
      </c>
      <c r="B13" s="996" t="s">
        <v>7481</v>
      </c>
      <c r="C13" s="997">
        <v>1</v>
      </c>
      <c r="D13" s="998"/>
      <c r="E13" s="998"/>
      <c r="F13" s="998"/>
      <c r="G13" s="998"/>
      <c r="H13" s="998"/>
      <c r="I13" s="998"/>
      <c r="J13" s="998"/>
      <c r="K13" s="998"/>
      <c r="L13" s="998"/>
      <c r="M13" s="998"/>
      <c r="N13" s="998"/>
      <c r="O13" s="998"/>
      <c r="P13" s="998"/>
      <c r="Q13" s="998"/>
      <c r="R13" s="998">
        <v>2</v>
      </c>
      <c r="S13" s="998">
        <v>2</v>
      </c>
      <c r="T13" s="998"/>
      <c r="U13" s="998"/>
      <c r="V13" s="999"/>
      <c r="W13" s="4" t="str">
        <f t="shared" si="1"/>
        <v/>
      </c>
      <c r="X13" s="4" t="str">
        <f t="shared" si="2"/>
        <v/>
      </c>
      <c r="Y13" s="4" t="str">
        <f t="shared" si="3"/>
        <v/>
      </c>
      <c r="Z13" s="4" t="str">
        <f t="shared" si="4"/>
        <v/>
      </c>
      <c r="AA13" s="4" t="str">
        <f t="shared" si="5"/>
        <v/>
      </c>
      <c r="AB13" s="4" t="str">
        <f t="shared" si="6"/>
        <v/>
      </c>
      <c r="AC13" s="4" t="str">
        <f t="shared" si="7"/>
        <v/>
      </c>
      <c r="AD13" s="4" t="str">
        <f t="shared" si="8"/>
        <v/>
      </c>
      <c r="AE13" s="4" t="str">
        <f t="shared" si="9"/>
        <v/>
      </c>
      <c r="AF13" s="4" t="str">
        <f t="shared" si="10"/>
        <v/>
      </c>
      <c r="AG13" s="4" t="str">
        <f t="shared" si="11"/>
        <v/>
      </c>
      <c r="AH13" s="4" t="str">
        <f t="shared" si="12"/>
        <v/>
      </c>
      <c r="AI13" s="4" t="str">
        <f t="shared" si="13"/>
        <v/>
      </c>
      <c r="AJ13" s="4" t="str">
        <f t="shared" si="14"/>
        <v/>
      </c>
      <c r="AK13" s="4">
        <f t="shared" si="15"/>
        <v>2</v>
      </c>
      <c r="AL13" s="4">
        <f t="shared" si="16"/>
        <v>2</v>
      </c>
      <c r="AM13" s="4" t="str">
        <f t="shared" si="17"/>
        <v/>
      </c>
      <c r="AN13" s="4" t="str">
        <f t="shared" si="18"/>
        <v/>
      </c>
      <c r="AO13" s="4" t="str">
        <f t="shared" si="19"/>
        <v/>
      </c>
    </row>
    <row r="14" spans="1:41" s="4" customFormat="1" ht="40.799999999999997" x14ac:dyDescent="0.2">
      <c r="A14" s="1001" t="s">
        <v>7472</v>
      </c>
      <c r="B14" s="996" t="s">
        <v>7482</v>
      </c>
      <c r="C14" s="997">
        <v>1</v>
      </c>
      <c r="D14" s="998">
        <v>2</v>
      </c>
      <c r="E14" s="998">
        <v>3</v>
      </c>
      <c r="F14" s="998">
        <v>3</v>
      </c>
      <c r="G14" s="998">
        <v>2</v>
      </c>
      <c r="H14" s="998">
        <v>2</v>
      </c>
      <c r="I14" s="998">
        <v>3</v>
      </c>
      <c r="J14" s="998"/>
      <c r="K14" s="998"/>
      <c r="L14" s="998"/>
      <c r="M14" s="998"/>
      <c r="N14" s="998"/>
      <c r="O14" s="998"/>
      <c r="P14" s="998"/>
      <c r="Q14" s="998"/>
      <c r="R14" s="998"/>
      <c r="S14" s="998"/>
      <c r="T14" s="998">
        <v>3</v>
      </c>
      <c r="U14" s="998">
        <v>3</v>
      </c>
      <c r="V14" s="999">
        <v>3</v>
      </c>
      <c r="W14" s="4">
        <f t="shared" si="1"/>
        <v>2</v>
      </c>
      <c r="X14" s="4">
        <f t="shared" si="2"/>
        <v>3</v>
      </c>
      <c r="Y14" s="4">
        <f t="shared" si="3"/>
        <v>3</v>
      </c>
      <c r="Z14" s="4">
        <f t="shared" si="4"/>
        <v>2</v>
      </c>
      <c r="AA14" s="4">
        <f t="shared" si="5"/>
        <v>2</v>
      </c>
      <c r="AB14" s="4">
        <f t="shared" si="6"/>
        <v>3</v>
      </c>
      <c r="AC14" s="4" t="str">
        <f t="shared" si="7"/>
        <v/>
      </c>
      <c r="AD14" s="4" t="str">
        <f t="shared" si="8"/>
        <v/>
      </c>
      <c r="AE14" s="4" t="str">
        <f t="shared" si="9"/>
        <v/>
      </c>
      <c r="AF14" s="4" t="str">
        <f t="shared" si="10"/>
        <v/>
      </c>
      <c r="AG14" s="4" t="str">
        <f t="shared" si="11"/>
        <v/>
      </c>
      <c r="AH14" s="4" t="str">
        <f t="shared" si="12"/>
        <v/>
      </c>
      <c r="AI14" s="4" t="str">
        <f t="shared" si="13"/>
        <v/>
      </c>
      <c r="AJ14" s="4" t="str">
        <f t="shared" si="14"/>
        <v/>
      </c>
      <c r="AK14" s="4" t="str">
        <f t="shared" si="15"/>
        <v/>
      </c>
      <c r="AL14" s="4" t="str">
        <f t="shared" si="16"/>
        <v/>
      </c>
      <c r="AM14" s="4">
        <f t="shared" si="17"/>
        <v>3</v>
      </c>
      <c r="AN14" s="4">
        <f t="shared" si="18"/>
        <v>3</v>
      </c>
      <c r="AO14" s="4">
        <f t="shared" si="19"/>
        <v>3</v>
      </c>
    </row>
    <row r="15" spans="1:41" s="4" customFormat="1" ht="40.799999999999997" x14ac:dyDescent="0.2">
      <c r="A15" s="1001" t="s">
        <v>7473</v>
      </c>
      <c r="B15" s="996" t="s">
        <v>7483</v>
      </c>
      <c r="C15" s="997">
        <v>1</v>
      </c>
      <c r="D15" s="998"/>
      <c r="E15" s="998"/>
      <c r="F15" s="998"/>
      <c r="G15" s="998">
        <v>2</v>
      </c>
      <c r="H15" s="998">
        <v>2</v>
      </c>
      <c r="I15" s="998">
        <v>2</v>
      </c>
      <c r="J15" s="998"/>
      <c r="K15" s="998"/>
      <c r="L15" s="998"/>
      <c r="M15" s="998"/>
      <c r="N15" s="998"/>
      <c r="O15" s="998"/>
      <c r="P15" s="998"/>
      <c r="Q15" s="998"/>
      <c r="R15" s="998"/>
      <c r="S15" s="998"/>
      <c r="T15" s="998">
        <v>2</v>
      </c>
      <c r="U15" s="998">
        <v>2</v>
      </c>
      <c r="V15" s="999">
        <v>2</v>
      </c>
      <c r="W15" s="4" t="str">
        <f t="shared" si="1"/>
        <v/>
      </c>
      <c r="X15" s="4" t="str">
        <f t="shared" si="2"/>
        <v/>
      </c>
      <c r="Y15" s="4" t="str">
        <f t="shared" si="3"/>
        <v/>
      </c>
      <c r="Z15" s="4">
        <f t="shared" si="4"/>
        <v>2</v>
      </c>
      <c r="AA15" s="4">
        <f t="shared" si="5"/>
        <v>2</v>
      </c>
      <c r="AB15" s="4">
        <f t="shared" si="6"/>
        <v>2</v>
      </c>
      <c r="AC15" s="4" t="str">
        <f t="shared" si="7"/>
        <v/>
      </c>
      <c r="AD15" s="4" t="str">
        <f t="shared" si="8"/>
        <v/>
      </c>
      <c r="AE15" s="4" t="str">
        <f t="shared" si="9"/>
        <v/>
      </c>
      <c r="AF15" s="4" t="str">
        <f t="shared" si="10"/>
        <v/>
      </c>
      <c r="AG15" s="4" t="str">
        <f t="shared" si="11"/>
        <v/>
      </c>
      <c r="AH15" s="4" t="str">
        <f t="shared" si="12"/>
        <v/>
      </c>
      <c r="AI15" s="4" t="str">
        <f t="shared" si="13"/>
        <v/>
      </c>
      <c r="AJ15" s="4" t="str">
        <f t="shared" si="14"/>
        <v/>
      </c>
      <c r="AK15" s="4" t="str">
        <f t="shared" si="15"/>
        <v/>
      </c>
      <c r="AL15" s="4" t="str">
        <f t="shared" si="16"/>
        <v/>
      </c>
      <c r="AM15" s="4">
        <f t="shared" si="17"/>
        <v>2</v>
      </c>
      <c r="AN15" s="4">
        <f t="shared" si="18"/>
        <v>2</v>
      </c>
      <c r="AO15" s="4">
        <f t="shared" si="19"/>
        <v>2</v>
      </c>
    </row>
    <row r="16" spans="1:41" ht="13.2" x14ac:dyDescent="0.25">
      <c r="A16" s="1002" t="s">
        <v>541</v>
      </c>
      <c r="B16" s="996"/>
      <c r="C16" s="997">
        <v>1</v>
      </c>
      <c r="D16" s="998"/>
      <c r="E16" s="998"/>
      <c r="F16" s="998"/>
      <c r="G16" s="998"/>
      <c r="H16" s="998"/>
      <c r="I16" s="998"/>
      <c r="J16" s="998"/>
      <c r="K16" s="998"/>
      <c r="L16" s="998"/>
      <c r="M16" s="998"/>
      <c r="N16" s="998"/>
      <c r="O16" s="998"/>
      <c r="P16" s="998"/>
      <c r="Q16" s="998"/>
      <c r="R16" s="998"/>
      <c r="S16" s="998"/>
      <c r="T16" s="998"/>
      <c r="U16" s="998"/>
      <c r="V16" s="999"/>
      <c r="W16" s="4" t="str">
        <f t="shared" si="1"/>
        <v/>
      </c>
      <c r="X16" s="4" t="str">
        <f t="shared" si="2"/>
        <v/>
      </c>
      <c r="Y16" s="4" t="str">
        <f t="shared" si="3"/>
        <v/>
      </c>
      <c r="Z16" s="4" t="str">
        <f t="shared" si="4"/>
        <v/>
      </c>
      <c r="AA16" s="4" t="str">
        <f t="shared" si="5"/>
        <v/>
      </c>
      <c r="AB16" s="4" t="str">
        <f t="shared" si="6"/>
        <v/>
      </c>
      <c r="AC16" s="4" t="str">
        <f t="shared" si="7"/>
        <v/>
      </c>
      <c r="AD16" s="4" t="str">
        <f t="shared" si="8"/>
        <v/>
      </c>
      <c r="AE16" s="4" t="str">
        <f t="shared" si="9"/>
        <v/>
      </c>
      <c r="AF16" s="4" t="str">
        <f t="shared" si="10"/>
        <v/>
      </c>
      <c r="AG16" s="4" t="str">
        <f t="shared" si="11"/>
        <v/>
      </c>
      <c r="AH16" s="4" t="str">
        <f t="shared" si="12"/>
        <v/>
      </c>
      <c r="AI16" s="4" t="str">
        <f t="shared" si="13"/>
        <v/>
      </c>
      <c r="AJ16" s="4" t="str">
        <f t="shared" si="14"/>
        <v/>
      </c>
      <c r="AK16" s="4" t="str">
        <f t="shared" si="15"/>
        <v/>
      </c>
      <c r="AL16" s="4" t="str">
        <f t="shared" si="16"/>
        <v/>
      </c>
      <c r="AM16" s="4" t="str">
        <f t="shared" si="17"/>
        <v/>
      </c>
      <c r="AN16" s="4" t="str">
        <f t="shared" si="18"/>
        <v/>
      </c>
      <c r="AO16" s="4" t="str">
        <f t="shared" si="19"/>
        <v/>
      </c>
    </row>
    <row r="17" spans="1:41" ht="30.6" x14ac:dyDescent="0.25">
      <c r="A17" s="1000" t="s">
        <v>7484</v>
      </c>
      <c r="B17" s="996" t="s">
        <v>7487</v>
      </c>
      <c r="C17" s="997">
        <v>1</v>
      </c>
      <c r="D17" s="998"/>
      <c r="E17" s="998"/>
      <c r="F17" s="998"/>
      <c r="G17" s="998"/>
      <c r="H17" s="998"/>
      <c r="I17" s="998"/>
      <c r="J17" s="998"/>
      <c r="K17" s="998"/>
      <c r="L17" s="998"/>
      <c r="M17" s="998">
        <v>3</v>
      </c>
      <c r="N17" s="998">
        <v>2</v>
      </c>
      <c r="O17" s="998">
        <v>2</v>
      </c>
      <c r="P17" s="998"/>
      <c r="Q17" s="998"/>
      <c r="R17" s="998"/>
      <c r="S17" s="998"/>
      <c r="T17" s="998">
        <v>2</v>
      </c>
      <c r="U17" s="998">
        <v>2</v>
      </c>
      <c r="V17" s="999">
        <v>3</v>
      </c>
      <c r="W17" s="4" t="str">
        <f t="shared" si="1"/>
        <v/>
      </c>
      <c r="X17" s="4" t="str">
        <f t="shared" si="2"/>
        <v/>
      </c>
      <c r="Y17" s="4" t="str">
        <f t="shared" si="3"/>
        <v/>
      </c>
      <c r="Z17" s="4" t="str">
        <f t="shared" si="4"/>
        <v/>
      </c>
      <c r="AA17" s="4" t="str">
        <f t="shared" si="5"/>
        <v/>
      </c>
      <c r="AB17" s="4" t="str">
        <f t="shared" si="6"/>
        <v/>
      </c>
      <c r="AC17" s="4" t="str">
        <f t="shared" si="7"/>
        <v/>
      </c>
      <c r="AD17" s="4" t="str">
        <f t="shared" si="8"/>
        <v/>
      </c>
      <c r="AE17" s="4" t="str">
        <f t="shared" si="9"/>
        <v/>
      </c>
      <c r="AF17" s="4">
        <f t="shared" si="10"/>
        <v>3</v>
      </c>
      <c r="AG17" s="4">
        <f t="shared" si="11"/>
        <v>2</v>
      </c>
      <c r="AH17" s="4">
        <f t="shared" si="12"/>
        <v>2</v>
      </c>
      <c r="AI17" s="4" t="str">
        <f t="shared" si="13"/>
        <v/>
      </c>
      <c r="AJ17" s="4" t="str">
        <f t="shared" si="14"/>
        <v/>
      </c>
      <c r="AK17" s="4" t="str">
        <f t="shared" si="15"/>
        <v/>
      </c>
      <c r="AL17" s="4" t="str">
        <f t="shared" si="16"/>
        <v/>
      </c>
      <c r="AM17" s="4">
        <f t="shared" si="17"/>
        <v>2</v>
      </c>
      <c r="AN17" s="4">
        <f t="shared" si="18"/>
        <v>2</v>
      </c>
      <c r="AO17" s="4">
        <f t="shared" si="19"/>
        <v>3</v>
      </c>
    </row>
    <row r="18" spans="1:41" ht="30.6" x14ac:dyDescent="0.25">
      <c r="A18" s="1000" t="s">
        <v>7485</v>
      </c>
      <c r="B18" s="996" t="s">
        <v>7488</v>
      </c>
      <c r="C18" s="997">
        <v>1</v>
      </c>
      <c r="D18" s="998"/>
      <c r="E18" s="998"/>
      <c r="F18" s="998"/>
      <c r="G18" s="998">
        <v>2</v>
      </c>
      <c r="H18" s="998">
        <v>2</v>
      </c>
      <c r="I18" s="998"/>
      <c r="J18" s="998"/>
      <c r="K18" s="998"/>
      <c r="L18" s="998"/>
      <c r="M18" s="998"/>
      <c r="N18" s="998"/>
      <c r="O18" s="998"/>
      <c r="P18" s="998"/>
      <c r="Q18" s="998"/>
      <c r="R18" s="998"/>
      <c r="S18" s="998"/>
      <c r="T18" s="998">
        <v>3</v>
      </c>
      <c r="U18" s="998">
        <v>2</v>
      </c>
      <c r="V18" s="999"/>
      <c r="W18" s="4" t="str">
        <f t="shared" si="1"/>
        <v/>
      </c>
      <c r="X18" s="4" t="str">
        <f t="shared" si="2"/>
        <v/>
      </c>
      <c r="Y18" s="4" t="str">
        <f t="shared" si="3"/>
        <v/>
      </c>
      <c r="Z18" s="4">
        <f t="shared" si="4"/>
        <v>2</v>
      </c>
      <c r="AA18" s="4">
        <f t="shared" si="5"/>
        <v>2</v>
      </c>
      <c r="AB18" s="4" t="str">
        <f t="shared" si="6"/>
        <v/>
      </c>
      <c r="AC18" s="4" t="str">
        <f t="shared" si="7"/>
        <v/>
      </c>
      <c r="AD18" s="4" t="str">
        <f t="shared" si="8"/>
        <v/>
      </c>
      <c r="AE18" s="4" t="str">
        <f t="shared" si="9"/>
        <v/>
      </c>
      <c r="AF18" s="4" t="str">
        <f t="shared" si="10"/>
        <v/>
      </c>
      <c r="AG18" s="4" t="str">
        <f t="shared" si="11"/>
        <v/>
      </c>
      <c r="AH18" s="4" t="str">
        <f t="shared" si="12"/>
        <v/>
      </c>
      <c r="AI18" s="4" t="str">
        <f t="shared" si="13"/>
        <v/>
      </c>
      <c r="AJ18" s="4" t="str">
        <f t="shared" si="14"/>
        <v/>
      </c>
      <c r="AK18" s="4" t="str">
        <f t="shared" si="15"/>
        <v/>
      </c>
      <c r="AL18" s="4" t="str">
        <f t="shared" si="16"/>
        <v/>
      </c>
      <c r="AM18" s="4">
        <f t="shared" si="17"/>
        <v>3</v>
      </c>
      <c r="AN18" s="4">
        <f t="shared" si="18"/>
        <v>2</v>
      </c>
      <c r="AO18" s="4" t="str">
        <f t="shared" si="19"/>
        <v/>
      </c>
    </row>
    <row r="19" spans="1:41" ht="13.2" x14ac:dyDescent="0.25">
      <c r="A19" s="1000" t="s">
        <v>7486</v>
      </c>
      <c r="B19" s="996"/>
      <c r="C19" s="997">
        <v>0</v>
      </c>
      <c r="D19" s="998"/>
      <c r="E19" s="998"/>
      <c r="F19" s="998"/>
      <c r="G19" s="998"/>
      <c r="H19" s="998"/>
      <c r="I19" s="998"/>
      <c r="J19" s="998"/>
      <c r="K19" s="998"/>
      <c r="L19" s="998"/>
      <c r="M19" s="998"/>
      <c r="N19" s="998"/>
      <c r="O19" s="998"/>
      <c r="P19" s="998"/>
      <c r="Q19" s="998"/>
      <c r="R19" s="998"/>
      <c r="S19" s="998"/>
      <c r="T19" s="998"/>
      <c r="U19" s="998"/>
      <c r="V19" s="999"/>
      <c r="W19" s="4" t="str">
        <f t="shared" si="1"/>
        <v xml:space="preserve"> </v>
      </c>
      <c r="X19" s="4" t="str">
        <f t="shared" si="2"/>
        <v xml:space="preserve"> </v>
      </c>
      <c r="Y19" s="4" t="str">
        <f t="shared" si="3"/>
        <v xml:space="preserve"> </v>
      </c>
      <c r="Z19" s="4" t="str">
        <f t="shared" si="4"/>
        <v xml:space="preserve"> </v>
      </c>
      <c r="AA19" s="4" t="str">
        <f t="shared" si="5"/>
        <v xml:space="preserve"> </v>
      </c>
      <c r="AB19" s="4" t="str">
        <f t="shared" si="6"/>
        <v xml:space="preserve"> </v>
      </c>
      <c r="AC19" s="4" t="str">
        <f t="shared" si="7"/>
        <v xml:space="preserve"> </v>
      </c>
      <c r="AD19" s="4" t="str">
        <f t="shared" si="8"/>
        <v xml:space="preserve"> </v>
      </c>
      <c r="AE19" s="4" t="str">
        <f t="shared" si="9"/>
        <v xml:space="preserve"> </v>
      </c>
      <c r="AF19" s="4" t="str">
        <f t="shared" si="10"/>
        <v xml:space="preserve"> </v>
      </c>
      <c r="AG19" s="4" t="str">
        <f t="shared" si="11"/>
        <v xml:space="preserve"> </v>
      </c>
      <c r="AH19" s="4" t="str">
        <f t="shared" si="12"/>
        <v xml:space="preserve"> </v>
      </c>
      <c r="AI19" s="4" t="str">
        <f t="shared" si="13"/>
        <v xml:space="preserve"> </v>
      </c>
      <c r="AJ19" s="4" t="str">
        <f t="shared" si="14"/>
        <v xml:space="preserve"> </v>
      </c>
      <c r="AK19" s="4" t="str">
        <f t="shared" si="15"/>
        <v xml:space="preserve"> </v>
      </c>
      <c r="AL19" s="4" t="str">
        <f t="shared" si="16"/>
        <v xml:space="preserve"> </v>
      </c>
      <c r="AM19" s="4" t="str">
        <f t="shared" si="17"/>
        <v xml:space="preserve"> </v>
      </c>
      <c r="AN19" s="4" t="str">
        <f t="shared" si="18"/>
        <v xml:space="preserve"> </v>
      </c>
      <c r="AO19" s="4" t="str">
        <f t="shared" si="19"/>
        <v xml:space="preserve"> </v>
      </c>
    </row>
    <row r="20" spans="1:41" ht="13.2" x14ac:dyDescent="0.25">
      <c r="A20" s="1003" t="s">
        <v>542</v>
      </c>
      <c r="B20" s="996"/>
      <c r="C20" s="997">
        <v>0</v>
      </c>
      <c r="D20" s="998"/>
      <c r="E20" s="998"/>
      <c r="F20" s="998"/>
      <c r="G20" s="998"/>
      <c r="H20" s="998"/>
      <c r="I20" s="998"/>
      <c r="J20" s="998"/>
      <c r="K20" s="998"/>
      <c r="L20" s="998"/>
      <c r="M20" s="998"/>
      <c r="N20" s="998"/>
      <c r="O20" s="998"/>
      <c r="P20" s="998"/>
      <c r="Q20" s="998"/>
      <c r="R20" s="998"/>
      <c r="S20" s="998"/>
      <c r="T20" s="998"/>
      <c r="U20" s="998"/>
      <c r="V20" s="999"/>
      <c r="W20" s="4" t="str">
        <f t="shared" si="1"/>
        <v xml:space="preserve"> </v>
      </c>
      <c r="X20" s="4" t="str">
        <f t="shared" si="2"/>
        <v xml:space="preserve"> </v>
      </c>
      <c r="Y20" s="4" t="str">
        <f t="shared" si="3"/>
        <v xml:space="preserve"> </v>
      </c>
      <c r="Z20" s="4" t="str">
        <f t="shared" si="4"/>
        <v xml:space="preserve"> </v>
      </c>
      <c r="AA20" s="4" t="str">
        <f t="shared" si="5"/>
        <v xml:space="preserve"> </v>
      </c>
      <c r="AB20" s="4" t="str">
        <f t="shared" si="6"/>
        <v xml:space="preserve"> </v>
      </c>
      <c r="AC20" s="4" t="str">
        <f t="shared" si="7"/>
        <v xml:space="preserve"> </v>
      </c>
      <c r="AD20" s="4" t="str">
        <f t="shared" si="8"/>
        <v xml:space="preserve"> </v>
      </c>
      <c r="AE20" s="4" t="str">
        <f t="shared" si="9"/>
        <v xml:space="preserve"> </v>
      </c>
      <c r="AF20" s="4" t="str">
        <f t="shared" si="10"/>
        <v xml:space="preserve"> </v>
      </c>
      <c r="AG20" s="4" t="str">
        <f t="shared" si="11"/>
        <v xml:space="preserve"> </v>
      </c>
      <c r="AH20" s="4" t="str">
        <f t="shared" si="12"/>
        <v xml:space="preserve"> </v>
      </c>
      <c r="AI20" s="4" t="str">
        <f t="shared" si="13"/>
        <v xml:space="preserve"> </v>
      </c>
      <c r="AJ20" s="4" t="str">
        <f t="shared" si="14"/>
        <v xml:space="preserve"> </v>
      </c>
      <c r="AK20" s="4" t="str">
        <f t="shared" si="15"/>
        <v xml:space="preserve"> </v>
      </c>
      <c r="AL20" s="4" t="str">
        <f t="shared" si="16"/>
        <v xml:space="preserve"> </v>
      </c>
      <c r="AM20" s="4" t="str">
        <f t="shared" si="17"/>
        <v xml:space="preserve"> </v>
      </c>
      <c r="AN20" s="4" t="str">
        <f t="shared" si="18"/>
        <v xml:space="preserve"> </v>
      </c>
      <c r="AO20" s="4" t="str">
        <f t="shared" si="19"/>
        <v xml:space="preserve"> </v>
      </c>
    </row>
    <row r="21" spans="1:41" s="471" customFormat="1" ht="21" customHeight="1" x14ac:dyDescent="0.25">
      <c r="A21" s="1004" t="s">
        <v>2187</v>
      </c>
      <c r="B21" s="1005"/>
      <c r="C21" s="1005"/>
      <c r="D21" s="998">
        <f>IF(COUNTIF(D6:D20,"&gt;0")&gt;0,MAX(D6:D20),"")</f>
        <v>3</v>
      </c>
      <c r="E21" s="998">
        <f t="shared" ref="E21:V21" si="20">IF(COUNTIF(E6:E20,"&gt;0")&gt;0,MAX(E6:E20),"")</f>
        <v>3</v>
      </c>
      <c r="F21" s="998">
        <f t="shared" si="20"/>
        <v>3</v>
      </c>
      <c r="G21" s="998">
        <f t="shared" si="20"/>
        <v>2</v>
      </c>
      <c r="H21" s="998">
        <f t="shared" si="20"/>
        <v>2</v>
      </c>
      <c r="I21" s="998">
        <f t="shared" si="20"/>
        <v>3</v>
      </c>
      <c r="J21" s="998" t="str">
        <f t="shared" si="20"/>
        <v/>
      </c>
      <c r="K21" s="998" t="str">
        <f t="shared" si="20"/>
        <v/>
      </c>
      <c r="L21" s="998" t="str">
        <f t="shared" si="20"/>
        <v/>
      </c>
      <c r="M21" s="998">
        <f t="shared" si="20"/>
        <v>3</v>
      </c>
      <c r="N21" s="998">
        <f t="shared" si="20"/>
        <v>2</v>
      </c>
      <c r="O21" s="998">
        <f t="shared" si="20"/>
        <v>2</v>
      </c>
      <c r="P21" s="998" t="str">
        <f t="shared" si="20"/>
        <v/>
      </c>
      <c r="Q21" s="998" t="str">
        <f t="shared" si="20"/>
        <v/>
      </c>
      <c r="R21" s="998">
        <f t="shared" si="20"/>
        <v>2</v>
      </c>
      <c r="S21" s="998">
        <f t="shared" si="20"/>
        <v>2</v>
      </c>
      <c r="T21" s="998">
        <f t="shared" si="20"/>
        <v>3</v>
      </c>
      <c r="U21" s="998">
        <f t="shared" si="20"/>
        <v>3</v>
      </c>
      <c r="V21" s="999">
        <f t="shared" si="20"/>
        <v>3</v>
      </c>
      <c r="W21" s="972">
        <f>IF(MAX(W6:W20)&gt;0,MAX(W6:W20,1),"")</f>
        <v>3</v>
      </c>
      <c r="X21" s="972">
        <f t="shared" ref="X21:AO21" si="21">IF(MAX(X6:X20)&gt;0,MAX(X6:X20,1),"")</f>
        <v>3</v>
      </c>
      <c r="Y21" s="972">
        <f t="shared" si="21"/>
        <v>3</v>
      </c>
      <c r="Z21" s="972">
        <f t="shared" si="21"/>
        <v>2</v>
      </c>
      <c r="AA21" s="972">
        <f t="shared" si="21"/>
        <v>2</v>
      </c>
      <c r="AB21" s="972">
        <f t="shared" si="21"/>
        <v>3</v>
      </c>
      <c r="AC21" s="972" t="str">
        <f t="shared" si="21"/>
        <v/>
      </c>
      <c r="AD21" s="972" t="str">
        <f t="shared" si="21"/>
        <v/>
      </c>
      <c r="AE21" s="972" t="str">
        <f t="shared" si="21"/>
        <v/>
      </c>
      <c r="AF21" s="972">
        <f t="shared" si="21"/>
        <v>3</v>
      </c>
      <c r="AG21" s="972">
        <f t="shared" si="21"/>
        <v>2</v>
      </c>
      <c r="AH21" s="972">
        <f t="shared" si="21"/>
        <v>2</v>
      </c>
      <c r="AI21" s="972" t="str">
        <f t="shared" si="21"/>
        <v/>
      </c>
      <c r="AJ21" s="972" t="str">
        <f t="shared" si="21"/>
        <v/>
      </c>
      <c r="AK21" s="972">
        <f t="shared" si="21"/>
        <v>2</v>
      </c>
      <c r="AL21" s="972">
        <f t="shared" si="21"/>
        <v>2</v>
      </c>
      <c r="AM21" s="972">
        <f t="shared" si="21"/>
        <v>3</v>
      </c>
      <c r="AN21" s="972">
        <f t="shared" si="21"/>
        <v>3</v>
      </c>
      <c r="AO21" s="972">
        <f t="shared" si="21"/>
        <v>3</v>
      </c>
    </row>
    <row r="22" spans="1:41" ht="24" customHeight="1" thickBot="1" x14ac:dyDescent="0.3">
      <c r="A22" s="1006" t="s">
        <v>2188</v>
      </c>
      <c r="B22" s="1007"/>
      <c r="C22" s="1007"/>
      <c r="D22" s="1008">
        <f t="shared" ref="D22:V22" si="22">IF(W21=0,1,W21)</f>
        <v>3</v>
      </c>
      <c r="E22" s="1008">
        <f t="shared" si="22"/>
        <v>3</v>
      </c>
      <c r="F22" s="1008">
        <f t="shared" si="22"/>
        <v>3</v>
      </c>
      <c r="G22" s="1008">
        <f t="shared" si="22"/>
        <v>2</v>
      </c>
      <c r="H22" s="1008">
        <f t="shared" si="22"/>
        <v>2</v>
      </c>
      <c r="I22" s="1008">
        <f t="shared" si="22"/>
        <v>3</v>
      </c>
      <c r="J22" s="1008" t="str">
        <f t="shared" si="22"/>
        <v/>
      </c>
      <c r="K22" s="1008" t="str">
        <f t="shared" si="22"/>
        <v/>
      </c>
      <c r="L22" s="1008" t="str">
        <f t="shared" si="22"/>
        <v/>
      </c>
      <c r="M22" s="1008">
        <f t="shared" si="22"/>
        <v>3</v>
      </c>
      <c r="N22" s="1008">
        <f t="shared" si="22"/>
        <v>2</v>
      </c>
      <c r="O22" s="1008">
        <f t="shared" si="22"/>
        <v>2</v>
      </c>
      <c r="P22" s="1008" t="str">
        <f t="shared" si="22"/>
        <v/>
      </c>
      <c r="Q22" s="1008" t="str">
        <f t="shared" si="22"/>
        <v/>
      </c>
      <c r="R22" s="1008">
        <f t="shared" si="22"/>
        <v>2</v>
      </c>
      <c r="S22" s="1008">
        <f t="shared" si="22"/>
        <v>2</v>
      </c>
      <c r="T22" s="1008">
        <f t="shared" si="22"/>
        <v>3</v>
      </c>
      <c r="U22" s="1008">
        <f t="shared" si="22"/>
        <v>3</v>
      </c>
      <c r="V22" s="1009">
        <f t="shared" si="22"/>
        <v>3</v>
      </c>
      <c r="W22" s="973"/>
      <c r="X22" s="184"/>
      <c r="Y22" s="184"/>
      <c r="Z22" s="184"/>
      <c r="AA22" s="184"/>
      <c r="AB22" s="184"/>
      <c r="AC22" s="184"/>
      <c r="AD22" s="184"/>
      <c r="AE22" s="184"/>
      <c r="AF22" s="184"/>
      <c r="AG22" s="184"/>
      <c r="AH22" s="184"/>
      <c r="AI22" s="184"/>
      <c r="AJ22" s="184"/>
      <c r="AK22" s="184"/>
      <c r="AL22" s="184"/>
      <c r="AM22" s="184"/>
      <c r="AN22" s="184"/>
      <c r="AO22" s="184"/>
    </row>
    <row r="23" spans="1:41" x14ac:dyDescent="0.25">
      <c r="A23" s="1192" t="s">
        <v>2212</v>
      </c>
      <c r="B23" s="1193"/>
      <c r="C23" s="1193"/>
      <c r="D23" s="1193"/>
      <c r="E23" s="1193"/>
      <c r="F23" s="1193"/>
      <c r="G23" s="1193"/>
      <c r="H23" s="1193"/>
      <c r="I23" s="1193"/>
      <c r="J23" s="1193"/>
      <c r="K23" s="1193"/>
      <c r="L23" s="1193"/>
      <c r="M23" s="1193"/>
      <c r="N23" s="1193"/>
      <c r="O23" s="1193"/>
      <c r="P23" s="1193"/>
      <c r="Q23" s="1193"/>
      <c r="R23" s="1193"/>
      <c r="S23" s="1193"/>
      <c r="T23" s="1193"/>
      <c r="U23" s="1193"/>
      <c r="V23" s="1193"/>
    </row>
    <row r="24" spans="1:41" x14ac:dyDescent="0.25">
      <c r="A24" s="1193"/>
      <c r="B24" s="1193"/>
      <c r="C24" s="1193"/>
      <c r="D24" s="1193"/>
      <c r="E24" s="1193"/>
      <c r="F24" s="1193"/>
      <c r="G24" s="1193"/>
      <c r="H24" s="1193"/>
      <c r="I24" s="1193"/>
      <c r="J24" s="1193"/>
      <c r="K24" s="1193"/>
      <c r="L24" s="1193"/>
      <c r="M24" s="1193"/>
      <c r="N24" s="1193"/>
      <c r="O24" s="1193"/>
      <c r="P24" s="1193"/>
      <c r="Q24" s="1193"/>
      <c r="R24" s="1193"/>
      <c r="S24" s="1193"/>
      <c r="T24" s="1193"/>
      <c r="U24" s="1193"/>
      <c r="V24" s="1193"/>
    </row>
    <row r="25" spans="1:41" x14ac:dyDescent="0.25">
      <c r="A25" s="5"/>
      <c r="D25" s="6"/>
      <c r="E25" s="6"/>
      <c r="F25" s="6"/>
      <c r="G25" s="6"/>
      <c r="H25" s="6"/>
      <c r="I25" s="6"/>
      <c r="M25" s="6"/>
      <c r="N25" s="6"/>
      <c r="O25" s="6"/>
      <c r="P25" s="6"/>
      <c r="Q25" s="6"/>
      <c r="R25" s="6"/>
      <c r="S25" s="6"/>
      <c r="T25" s="6"/>
      <c r="U25" s="6"/>
      <c r="V25" s="6"/>
    </row>
    <row r="26" spans="1:41" x14ac:dyDescent="0.25">
      <c r="A26" s="5"/>
      <c r="D26" s="6"/>
      <c r="E26" s="6"/>
      <c r="F26" s="6"/>
      <c r="G26" s="6"/>
      <c r="H26" s="6"/>
      <c r="I26" s="6"/>
      <c r="M26" s="6"/>
      <c r="N26" s="6"/>
      <c r="O26" s="6"/>
      <c r="P26" s="6"/>
      <c r="Q26" s="6"/>
      <c r="R26" s="6"/>
      <c r="S26" s="6"/>
      <c r="T26" s="6"/>
      <c r="U26" s="6"/>
      <c r="V26" s="6"/>
    </row>
    <row r="27" spans="1:41" x14ac:dyDescent="0.25">
      <c r="A27" s="5"/>
      <c r="D27" s="6"/>
      <c r="E27" s="6"/>
      <c r="F27" s="6"/>
      <c r="G27" s="6"/>
      <c r="H27" s="6"/>
      <c r="I27" s="6"/>
      <c r="M27" s="6"/>
      <c r="N27" s="6"/>
      <c r="O27" s="6"/>
      <c r="P27" s="6"/>
      <c r="Q27" s="6"/>
      <c r="R27" s="6"/>
      <c r="S27" s="6"/>
      <c r="T27" s="6"/>
      <c r="U27" s="6"/>
      <c r="V27" s="6"/>
    </row>
    <row r="28" spans="1:41" x14ac:dyDescent="0.25">
      <c r="A28" s="5"/>
      <c r="D28" s="6"/>
      <c r="E28" s="6"/>
      <c r="F28" s="6"/>
      <c r="G28" s="6"/>
      <c r="H28" s="6"/>
      <c r="I28" s="6"/>
      <c r="M28" s="6"/>
      <c r="N28" s="6"/>
      <c r="O28" s="6"/>
      <c r="P28" s="6"/>
      <c r="Q28" s="6"/>
      <c r="R28" s="6"/>
      <c r="S28" s="6"/>
      <c r="T28" s="6"/>
      <c r="U28" s="6"/>
      <c r="V28" s="6"/>
    </row>
    <row r="29" spans="1:41" x14ac:dyDescent="0.25">
      <c r="A29" s="5"/>
      <c r="D29" s="6"/>
      <c r="E29" s="6"/>
      <c r="F29" s="6"/>
      <c r="G29" s="6"/>
      <c r="H29" s="6"/>
      <c r="I29" s="6"/>
      <c r="M29" s="6"/>
      <c r="N29" s="6"/>
      <c r="O29" s="6"/>
      <c r="P29" s="6"/>
      <c r="Q29" s="6"/>
      <c r="R29" s="6"/>
      <c r="S29" s="6"/>
      <c r="T29" s="6"/>
      <c r="U29" s="6"/>
      <c r="V29" s="6"/>
    </row>
    <row r="30" spans="1:41" x14ac:dyDescent="0.25">
      <c r="A30" s="5"/>
      <c r="D30" s="6"/>
      <c r="E30" s="6"/>
      <c r="F30" s="6"/>
      <c r="G30" s="6"/>
      <c r="H30" s="6"/>
      <c r="I30" s="6"/>
      <c r="M30" s="6"/>
      <c r="N30" s="6"/>
      <c r="O30" s="6"/>
      <c r="P30" s="6"/>
      <c r="Q30" s="6"/>
      <c r="R30" s="6"/>
      <c r="S30" s="6"/>
      <c r="T30" s="6"/>
      <c r="U30" s="6"/>
      <c r="V30" s="6"/>
    </row>
    <row r="31" spans="1:41" x14ac:dyDescent="0.25">
      <c r="A31" s="5"/>
      <c r="D31" s="6"/>
      <c r="E31" s="6"/>
      <c r="F31" s="6"/>
      <c r="G31" s="6"/>
      <c r="H31" s="6"/>
      <c r="I31" s="6"/>
      <c r="M31" s="6"/>
      <c r="N31" s="6"/>
      <c r="O31" s="6"/>
      <c r="P31" s="6"/>
      <c r="Q31" s="6"/>
      <c r="R31" s="6"/>
      <c r="S31" s="6"/>
      <c r="T31" s="6"/>
      <c r="U31" s="6"/>
      <c r="V31" s="6"/>
    </row>
    <row r="32" spans="1:41" x14ac:dyDescent="0.25">
      <c r="A32" s="5"/>
      <c r="D32" s="6"/>
      <c r="E32" s="6"/>
      <c r="F32" s="6"/>
      <c r="G32" s="6"/>
      <c r="H32" s="6"/>
      <c r="I32" s="6"/>
      <c r="M32" s="6"/>
      <c r="N32" s="6"/>
      <c r="O32" s="6"/>
      <c r="P32" s="6"/>
      <c r="Q32" s="6"/>
      <c r="R32" s="6"/>
      <c r="S32" s="6"/>
      <c r="T32" s="6"/>
      <c r="U32" s="6"/>
      <c r="V32" s="6"/>
    </row>
    <row r="33" spans="1:22" x14ac:dyDescent="0.25">
      <c r="A33" s="5"/>
      <c r="D33" s="6"/>
      <c r="E33" s="6"/>
      <c r="F33" s="6"/>
      <c r="G33" s="6"/>
      <c r="H33" s="6"/>
      <c r="I33" s="6"/>
      <c r="M33" s="6"/>
      <c r="N33" s="6"/>
      <c r="O33" s="6"/>
      <c r="P33" s="6"/>
      <c r="Q33" s="6"/>
      <c r="R33" s="6"/>
      <c r="S33" s="6"/>
      <c r="T33" s="6"/>
      <c r="U33" s="6"/>
      <c r="V33" s="6"/>
    </row>
    <row r="34" spans="1:22" x14ac:dyDescent="0.25">
      <c r="A34" s="5"/>
      <c r="D34" s="6"/>
      <c r="E34" s="6"/>
      <c r="F34" s="6"/>
      <c r="G34" s="6"/>
      <c r="H34" s="6"/>
      <c r="I34" s="6"/>
      <c r="M34" s="6"/>
      <c r="N34" s="6"/>
      <c r="O34" s="6"/>
      <c r="P34" s="6"/>
      <c r="Q34" s="6"/>
      <c r="R34" s="6"/>
      <c r="S34" s="6"/>
      <c r="T34" s="6"/>
      <c r="U34" s="6"/>
      <c r="V34" s="6"/>
    </row>
    <row r="35" spans="1:22" x14ac:dyDescent="0.25">
      <c r="A35" s="5"/>
      <c r="D35" s="6"/>
      <c r="E35" s="6"/>
      <c r="F35" s="6"/>
      <c r="G35" s="6"/>
      <c r="H35" s="6"/>
      <c r="I35" s="6"/>
      <c r="M35" s="6"/>
      <c r="N35" s="6"/>
      <c r="O35" s="6"/>
      <c r="P35" s="6"/>
      <c r="Q35" s="6"/>
      <c r="R35" s="6"/>
      <c r="S35" s="6"/>
      <c r="T35" s="6"/>
      <c r="U35" s="6"/>
      <c r="V35" s="6"/>
    </row>
    <row r="36" spans="1:22" x14ac:dyDescent="0.25">
      <c r="A36" s="5"/>
      <c r="D36" s="6"/>
      <c r="E36" s="6"/>
      <c r="F36" s="6"/>
      <c r="G36" s="6"/>
      <c r="H36" s="6"/>
      <c r="I36" s="6"/>
      <c r="M36" s="6"/>
      <c r="N36" s="6"/>
      <c r="O36" s="6"/>
      <c r="P36" s="6"/>
      <c r="Q36" s="6"/>
      <c r="R36" s="6"/>
      <c r="S36" s="6"/>
      <c r="T36" s="6"/>
      <c r="U36" s="6"/>
      <c r="V36" s="6"/>
    </row>
    <row r="37" spans="1:22" x14ac:dyDescent="0.25">
      <c r="A37" s="5"/>
      <c r="D37" s="6"/>
      <c r="E37" s="6"/>
      <c r="F37" s="6"/>
      <c r="G37" s="6"/>
      <c r="H37" s="6"/>
      <c r="I37" s="6"/>
      <c r="M37" s="6"/>
      <c r="N37" s="6"/>
      <c r="O37" s="6"/>
      <c r="P37" s="6"/>
      <c r="Q37" s="6"/>
      <c r="R37" s="6"/>
      <c r="S37" s="6"/>
      <c r="T37" s="6"/>
      <c r="U37" s="6"/>
      <c r="V37" s="6"/>
    </row>
    <row r="38" spans="1:22" x14ac:dyDescent="0.25">
      <c r="A38" s="5"/>
      <c r="D38" s="6"/>
      <c r="E38" s="6"/>
      <c r="F38" s="6"/>
      <c r="G38" s="6"/>
      <c r="H38" s="6"/>
      <c r="I38" s="6"/>
      <c r="M38" s="6"/>
      <c r="N38" s="6"/>
      <c r="O38" s="6"/>
      <c r="P38" s="6"/>
      <c r="Q38" s="6"/>
      <c r="R38" s="6"/>
      <c r="S38" s="6"/>
      <c r="T38" s="6"/>
      <c r="U38" s="6"/>
      <c r="V38" s="6"/>
    </row>
    <row r="39" spans="1:22" x14ac:dyDescent="0.25">
      <c r="A39" s="5"/>
      <c r="D39" s="6"/>
      <c r="E39" s="6"/>
      <c r="F39" s="6"/>
      <c r="G39" s="6"/>
      <c r="H39" s="6"/>
      <c r="I39" s="6"/>
      <c r="M39" s="6"/>
      <c r="N39" s="6"/>
      <c r="O39" s="6"/>
      <c r="P39" s="6"/>
      <c r="Q39" s="6"/>
      <c r="R39" s="6"/>
      <c r="S39" s="6"/>
      <c r="T39" s="6"/>
      <c r="U39" s="6"/>
      <c r="V39" s="6"/>
    </row>
    <row r="40" spans="1:22" x14ac:dyDescent="0.25">
      <c r="A40" s="5"/>
      <c r="D40" s="6"/>
      <c r="E40" s="6"/>
      <c r="F40" s="6"/>
      <c r="G40" s="6"/>
      <c r="H40" s="6"/>
      <c r="I40" s="6"/>
      <c r="M40" s="6"/>
      <c r="N40" s="6"/>
      <c r="O40" s="6"/>
      <c r="P40" s="6"/>
      <c r="Q40" s="6"/>
      <c r="R40" s="6"/>
      <c r="S40" s="6"/>
      <c r="T40" s="6"/>
      <c r="U40" s="6"/>
      <c r="V40" s="6"/>
    </row>
    <row r="41" spans="1:22" x14ac:dyDescent="0.25">
      <c r="A41" s="5"/>
      <c r="D41" s="6"/>
      <c r="E41" s="6"/>
      <c r="F41" s="6"/>
      <c r="G41" s="6"/>
      <c r="H41" s="6"/>
      <c r="I41" s="6"/>
      <c r="M41" s="6"/>
      <c r="N41" s="6"/>
      <c r="O41" s="6"/>
      <c r="P41" s="6"/>
      <c r="Q41" s="6"/>
      <c r="R41" s="6"/>
      <c r="S41" s="6"/>
      <c r="T41" s="6"/>
      <c r="U41" s="6"/>
      <c r="V41" s="6"/>
    </row>
    <row r="42" spans="1:22" x14ac:dyDescent="0.25">
      <c r="A42" s="5"/>
      <c r="D42" s="6"/>
      <c r="E42" s="6"/>
      <c r="F42" s="6"/>
      <c r="G42" s="6"/>
      <c r="H42" s="6"/>
      <c r="I42" s="6"/>
      <c r="M42" s="6"/>
      <c r="N42" s="6"/>
      <c r="O42" s="6"/>
      <c r="P42" s="6"/>
      <c r="Q42" s="6"/>
      <c r="R42" s="6"/>
      <c r="S42" s="6"/>
      <c r="T42" s="6"/>
      <c r="U42" s="6"/>
      <c r="V42" s="6"/>
    </row>
    <row r="43" spans="1:22" x14ac:dyDescent="0.25">
      <c r="A43" s="5"/>
      <c r="D43" s="6"/>
      <c r="E43" s="6"/>
      <c r="F43" s="6"/>
      <c r="G43" s="6"/>
      <c r="H43" s="6"/>
      <c r="I43" s="6"/>
      <c r="M43" s="6"/>
      <c r="N43" s="6"/>
      <c r="O43" s="6"/>
      <c r="P43" s="6"/>
      <c r="Q43" s="6"/>
      <c r="R43" s="6"/>
      <c r="S43" s="6"/>
      <c r="T43" s="6"/>
      <c r="U43" s="6"/>
      <c r="V43" s="6"/>
    </row>
    <row r="44" spans="1:22" x14ac:dyDescent="0.25">
      <c r="A44" s="5"/>
      <c r="D44" s="6"/>
      <c r="E44" s="6"/>
      <c r="F44" s="6"/>
      <c r="G44" s="6"/>
      <c r="H44" s="6"/>
      <c r="I44" s="6"/>
      <c r="M44" s="6"/>
      <c r="N44" s="6"/>
      <c r="O44" s="6"/>
      <c r="P44" s="6"/>
      <c r="Q44" s="6"/>
      <c r="R44" s="6"/>
      <c r="S44" s="6"/>
      <c r="T44" s="6"/>
      <c r="U44" s="6"/>
      <c r="V44" s="6"/>
    </row>
    <row r="45" spans="1:22" x14ac:dyDescent="0.25">
      <c r="A45" s="5"/>
      <c r="D45" s="6"/>
      <c r="E45" s="6"/>
      <c r="F45" s="6"/>
      <c r="G45" s="6"/>
      <c r="H45" s="6"/>
      <c r="I45" s="6"/>
      <c r="M45" s="6"/>
      <c r="N45" s="6"/>
      <c r="O45" s="6"/>
      <c r="P45" s="6"/>
      <c r="Q45" s="6"/>
      <c r="R45" s="6"/>
      <c r="S45" s="6"/>
      <c r="T45" s="6"/>
      <c r="U45" s="6"/>
      <c r="V45" s="6"/>
    </row>
    <row r="46" spans="1:22" x14ac:dyDescent="0.25">
      <c r="A46" s="5"/>
      <c r="D46" s="6"/>
      <c r="E46" s="6"/>
      <c r="F46" s="6"/>
      <c r="G46" s="6"/>
      <c r="H46" s="6"/>
      <c r="I46" s="6"/>
      <c r="M46" s="6"/>
      <c r="N46" s="6"/>
      <c r="O46" s="6"/>
      <c r="P46" s="6"/>
      <c r="Q46" s="6"/>
      <c r="R46" s="6"/>
      <c r="S46" s="6"/>
      <c r="T46" s="6"/>
      <c r="U46" s="6"/>
      <c r="V46" s="6"/>
    </row>
    <row r="47" spans="1:22" x14ac:dyDescent="0.25">
      <c r="A47" s="5"/>
      <c r="D47" s="6"/>
      <c r="E47" s="6"/>
      <c r="F47" s="6"/>
      <c r="G47" s="6"/>
      <c r="H47" s="6"/>
      <c r="I47" s="6"/>
      <c r="M47" s="6"/>
      <c r="N47" s="6"/>
      <c r="O47" s="6"/>
      <c r="P47" s="6"/>
      <c r="Q47" s="6"/>
      <c r="R47" s="6"/>
      <c r="S47" s="6"/>
      <c r="T47" s="6"/>
      <c r="U47" s="6"/>
      <c r="V47" s="6"/>
    </row>
    <row r="48" spans="1:22" x14ac:dyDescent="0.25">
      <c r="A48" s="5"/>
      <c r="D48" s="6"/>
      <c r="E48" s="6"/>
      <c r="F48" s="6"/>
      <c r="G48" s="6"/>
      <c r="H48" s="6"/>
      <c r="I48" s="6"/>
      <c r="M48" s="6"/>
      <c r="N48" s="6"/>
      <c r="O48" s="6"/>
      <c r="P48" s="6"/>
      <c r="Q48" s="6"/>
      <c r="R48" s="6"/>
      <c r="S48" s="6"/>
      <c r="T48" s="6"/>
      <c r="U48" s="6"/>
      <c r="V48" s="6"/>
    </row>
    <row r="49" spans="1:22" x14ac:dyDescent="0.25">
      <c r="A49" s="5"/>
      <c r="D49" s="6"/>
      <c r="E49" s="6"/>
      <c r="F49" s="6"/>
      <c r="G49" s="6"/>
      <c r="H49" s="6"/>
      <c r="I49" s="6"/>
      <c r="M49" s="6"/>
      <c r="N49" s="6"/>
      <c r="O49" s="6"/>
      <c r="P49" s="6"/>
      <c r="Q49" s="6"/>
      <c r="R49" s="6"/>
      <c r="S49" s="6"/>
      <c r="T49" s="6"/>
      <c r="U49" s="6"/>
      <c r="V49" s="6"/>
    </row>
    <row r="50" spans="1:22" x14ac:dyDescent="0.25">
      <c r="A50" s="5"/>
      <c r="D50" s="6"/>
      <c r="E50" s="6"/>
      <c r="F50" s="6"/>
      <c r="G50" s="6"/>
      <c r="H50" s="6"/>
      <c r="I50" s="6"/>
      <c r="M50" s="6"/>
      <c r="N50" s="6"/>
      <c r="O50" s="6"/>
      <c r="P50" s="6"/>
      <c r="Q50" s="6"/>
      <c r="R50" s="6"/>
      <c r="S50" s="6"/>
      <c r="T50" s="6"/>
      <c r="U50" s="6"/>
      <c r="V50" s="6"/>
    </row>
    <row r="51" spans="1:22" x14ac:dyDescent="0.25">
      <c r="A51" s="5"/>
      <c r="D51" s="6"/>
      <c r="E51" s="6"/>
      <c r="F51" s="6"/>
      <c r="G51" s="6"/>
      <c r="H51" s="6"/>
      <c r="I51" s="6"/>
      <c r="M51" s="6"/>
      <c r="N51" s="6"/>
      <c r="O51" s="6"/>
      <c r="P51" s="6"/>
      <c r="Q51" s="6"/>
      <c r="R51" s="6"/>
      <c r="S51" s="6"/>
      <c r="T51" s="6"/>
      <c r="U51" s="6"/>
      <c r="V51" s="6"/>
    </row>
    <row r="52" spans="1:22" x14ac:dyDescent="0.25">
      <c r="A52" s="5"/>
      <c r="D52" s="6"/>
      <c r="E52" s="6"/>
      <c r="F52" s="6"/>
      <c r="G52" s="6"/>
      <c r="H52" s="6"/>
      <c r="I52" s="6"/>
      <c r="M52" s="6"/>
      <c r="N52" s="6"/>
      <c r="O52" s="6"/>
      <c r="P52" s="6"/>
      <c r="Q52" s="6"/>
      <c r="R52" s="6"/>
      <c r="S52" s="6"/>
      <c r="T52" s="6"/>
      <c r="U52" s="6"/>
      <c r="V52" s="6"/>
    </row>
    <row r="53" spans="1:22" x14ac:dyDescent="0.25">
      <c r="A53" s="5"/>
      <c r="D53" s="6"/>
      <c r="E53" s="6"/>
      <c r="F53" s="6"/>
      <c r="G53" s="6"/>
      <c r="H53" s="6"/>
      <c r="I53" s="6"/>
      <c r="M53" s="6"/>
      <c r="N53" s="6"/>
      <c r="O53" s="6"/>
      <c r="P53" s="6"/>
      <c r="Q53" s="6"/>
      <c r="R53" s="6"/>
      <c r="S53" s="6"/>
      <c r="T53" s="6"/>
      <c r="U53" s="6"/>
      <c r="V53" s="6"/>
    </row>
    <row r="54" spans="1:22" x14ac:dyDescent="0.25">
      <c r="A54" s="5"/>
      <c r="D54" s="6"/>
      <c r="E54" s="6"/>
      <c r="F54" s="6"/>
      <c r="G54" s="6"/>
      <c r="H54" s="6"/>
      <c r="I54" s="6"/>
      <c r="M54" s="6"/>
      <c r="N54" s="6"/>
      <c r="O54" s="6"/>
      <c r="P54" s="6"/>
      <c r="Q54" s="6"/>
      <c r="R54" s="6"/>
      <c r="S54" s="6"/>
      <c r="T54" s="6"/>
      <c r="U54" s="6"/>
      <c r="V54" s="6"/>
    </row>
    <row r="55" spans="1:22" x14ac:dyDescent="0.25">
      <c r="A55" s="5"/>
      <c r="D55" s="6"/>
      <c r="E55" s="6"/>
      <c r="F55" s="6"/>
      <c r="G55" s="6"/>
      <c r="H55" s="6"/>
      <c r="I55" s="6"/>
      <c r="M55" s="6"/>
      <c r="N55" s="6"/>
      <c r="O55" s="6"/>
      <c r="P55" s="6"/>
      <c r="Q55" s="6"/>
      <c r="R55" s="6"/>
      <c r="S55" s="6"/>
      <c r="T55" s="6"/>
      <c r="U55" s="6"/>
      <c r="V55" s="6"/>
    </row>
    <row r="56" spans="1:22" x14ac:dyDescent="0.25">
      <c r="A56" s="5"/>
      <c r="D56" s="6"/>
      <c r="E56" s="6"/>
      <c r="F56" s="6"/>
      <c r="G56" s="6"/>
      <c r="H56" s="6"/>
      <c r="I56" s="6"/>
      <c r="M56" s="6"/>
      <c r="N56" s="6"/>
      <c r="O56" s="6"/>
      <c r="P56" s="6"/>
      <c r="Q56" s="6"/>
      <c r="R56" s="6"/>
      <c r="S56" s="6"/>
      <c r="T56" s="6"/>
      <c r="U56" s="6"/>
      <c r="V56" s="6"/>
    </row>
    <row r="57" spans="1:22" x14ac:dyDescent="0.25">
      <c r="A57" s="5"/>
      <c r="D57" s="6"/>
      <c r="E57" s="6"/>
      <c r="F57" s="6"/>
      <c r="G57" s="6"/>
      <c r="H57" s="6"/>
      <c r="I57" s="6"/>
      <c r="M57" s="6"/>
      <c r="N57" s="6"/>
      <c r="O57" s="6"/>
      <c r="P57" s="6"/>
      <c r="Q57" s="6"/>
      <c r="R57" s="6"/>
      <c r="S57" s="6"/>
      <c r="T57" s="6"/>
      <c r="U57" s="6"/>
      <c r="V57" s="6"/>
    </row>
    <row r="58" spans="1:22" x14ac:dyDescent="0.25">
      <c r="A58" s="5"/>
      <c r="D58" s="6"/>
      <c r="E58" s="6"/>
      <c r="F58" s="6"/>
      <c r="G58" s="6"/>
      <c r="H58" s="6"/>
      <c r="I58" s="6"/>
      <c r="M58" s="6"/>
      <c r="N58" s="6"/>
      <c r="O58" s="6"/>
      <c r="P58" s="6"/>
      <c r="Q58" s="6"/>
      <c r="R58" s="6"/>
      <c r="S58" s="6"/>
      <c r="T58" s="6"/>
      <c r="U58" s="6"/>
      <c r="V58" s="6"/>
    </row>
    <row r="59" spans="1:22" x14ac:dyDescent="0.25">
      <c r="A59" s="5"/>
      <c r="D59" s="6"/>
      <c r="E59" s="6"/>
      <c r="F59" s="6"/>
      <c r="G59" s="6"/>
      <c r="H59" s="6"/>
      <c r="I59" s="6"/>
      <c r="M59" s="6"/>
      <c r="N59" s="6"/>
      <c r="O59" s="6"/>
      <c r="P59" s="6"/>
      <c r="Q59" s="6"/>
      <c r="R59" s="6"/>
      <c r="S59" s="6"/>
      <c r="T59" s="6"/>
      <c r="U59" s="6"/>
      <c r="V59" s="6"/>
    </row>
    <row r="60" spans="1:22" x14ac:dyDescent="0.25">
      <c r="A60" s="5"/>
      <c r="D60" s="6"/>
      <c r="E60" s="6"/>
      <c r="F60" s="6"/>
      <c r="G60" s="6"/>
      <c r="H60" s="6"/>
      <c r="I60" s="6"/>
      <c r="M60" s="6"/>
      <c r="N60" s="6"/>
      <c r="O60" s="6"/>
      <c r="P60" s="6"/>
      <c r="Q60" s="6"/>
      <c r="R60" s="6"/>
      <c r="S60" s="6"/>
      <c r="T60" s="6"/>
      <c r="U60" s="6"/>
      <c r="V60" s="6"/>
    </row>
    <row r="61" spans="1:22" x14ac:dyDescent="0.25">
      <c r="A61" s="5"/>
      <c r="D61" s="6"/>
      <c r="E61" s="6"/>
      <c r="F61" s="6"/>
      <c r="G61" s="6"/>
      <c r="H61" s="6"/>
      <c r="I61" s="6"/>
      <c r="M61" s="6"/>
      <c r="N61" s="6"/>
      <c r="O61" s="6"/>
      <c r="P61" s="6"/>
      <c r="Q61" s="6"/>
      <c r="R61" s="6"/>
      <c r="S61" s="6"/>
      <c r="T61" s="6"/>
      <c r="U61" s="6"/>
      <c r="V61" s="6"/>
    </row>
    <row r="62" spans="1:22" x14ac:dyDescent="0.25">
      <c r="A62" s="5"/>
      <c r="D62" s="6"/>
      <c r="E62" s="6"/>
      <c r="F62" s="6"/>
      <c r="G62" s="6"/>
      <c r="H62" s="6"/>
      <c r="I62" s="6"/>
      <c r="M62" s="6"/>
      <c r="N62" s="6"/>
      <c r="O62" s="6"/>
      <c r="P62" s="6"/>
      <c r="Q62" s="6"/>
      <c r="R62" s="6"/>
      <c r="S62" s="6"/>
      <c r="T62" s="6"/>
      <c r="U62" s="6"/>
      <c r="V62" s="6"/>
    </row>
    <row r="63" spans="1:22" x14ac:dyDescent="0.25">
      <c r="A63" s="5"/>
      <c r="D63" s="6"/>
      <c r="E63" s="6"/>
      <c r="F63" s="6"/>
      <c r="G63" s="6"/>
      <c r="H63" s="6"/>
      <c r="I63" s="6"/>
      <c r="M63" s="6"/>
      <c r="N63" s="6"/>
      <c r="O63" s="6"/>
      <c r="P63" s="6"/>
      <c r="Q63" s="6"/>
      <c r="R63" s="6"/>
      <c r="S63" s="6"/>
      <c r="T63" s="6"/>
      <c r="U63" s="6"/>
      <c r="V63" s="6"/>
    </row>
    <row r="64" spans="1:22" x14ac:dyDescent="0.25">
      <c r="A64" s="5"/>
      <c r="D64" s="6"/>
      <c r="E64" s="6"/>
      <c r="F64" s="6"/>
      <c r="G64" s="6"/>
      <c r="H64" s="6"/>
      <c r="I64" s="6"/>
      <c r="M64" s="6"/>
      <c r="N64" s="6"/>
      <c r="O64" s="6"/>
      <c r="P64" s="6"/>
      <c r="Q64" s="6"/>
      <c r="R64" s="6"/>
      <c r="S64" s="6"/>
      <c r="T64" s="6"/>
      <c r="U64" s="6"/>
      <c r="V64" s="6"/>
    </row>
    <row r="65" spans="1:22" x14ac:dyDescent="0.25">
      <c r="A65" s="5"/>
      <c r="D65" s="6"/>
      <c r="E65" s="6"/>
      <c r="F65" s="6"/>
      <c r="G65" s="6"/>
      <c r="H65" s="6"/>
      <c r="I65" s="6"/>
      <c r="M65" s="6"/>
      <c r="N65" s="6"/>
      <c r="O65" s="6"/>
      <c r="P65" s="6"/>
      <c r="Q65" s="6"/>
      <c r="R65" s="6"/>
      <c r="S65" s="6"/>
      <c r="T65" s="6"/>
      <c r="U65" s="6"/>
      <c r="V65" s="6"/>
    </row>
    <row r="66" spans="1:22" x14ac:dyDescent="0.25">
      <c r="A66" s="5"/>
      <c r="D66" s="6"/>
      <c r="E66" s="6"/>
      <c r="F66" s="6"/>
      <c r="G66" s="6"/>
      <c r="H66" s="6"/>
      <c r="I66" s="6"/>
      <c r="M66" s="6"/>
      <c r="N66" s="6"/>
      <c r="O66" s="6"/>
      <c r="P66" s="6"/>
      <c r="Q66" s="6"/>
      <c r="R66" s="6"/>
      <c r="S66" s="6"/>
      <c r="T66" s="6"/>
      <c r="U66" s="6"/>
      <c r="V66" s="6"/>
    </row>
    <row r="67" spans="1:22" x14ac:dyDescent="0.25">
      <c r="A67" s="5"/>
      <c r="D67" s="6"/>
      <c r="E67" s="6"/>
      <c r="F67" s="6"/>
      <c r="G67" s="6"/>
      <c r="H67" s="6"/>
      <c r="I67" s="6"/>
      <c r="M67" s="6"/>
      <c r="N67" s="6"/>
      <c r="O67" s="6"/>
      <c r="P67" s="6"/>
      <c r="Q67" s="6"/>
      <c r="R67" s="6"/>
      <c r="S67" s="6"/>
      <c r="T67" s="6"/>
      <c r="U67" s="6"/>
      <c r="V67" s="6"/>
    </row>
    <row r="68" spans="1:22" x14ac:dyDescent="0.25">
      <c r="A68" s="5"/>
      <c r="D68" s="6"/>
      <c r="E68" s="6"/>
      <c r="F68" s="6"/>
      <c r="G68" s="6"/>
      <c r="H68" s="6"/>
      <c r="I68" s="6"/>
      <c r="M68" s="6"/>
      <c r="N68" s="6"/>
      <c r="O68" s="6"/>
      <c r="P68" s="6"/>
      <c r="Q68" s="6"/>
      <c r="R68" s="6"/>
      <c r="S68" s="6"/>
      <c r="T68" s="6"/>
      <c r="U68" s="6"/>
      <c r="V68" s="6"/>
    </row>
    <row r="69" spans="1:22" x14ac:dyDescent="0.25">
      <c r="A69" s="5"/>
      <c r="D69" s="6"/>
      <c r="E69" s="6"/>
      <c r="F69" s="6"/>
      <c r="G69" s="6"/>
      <c r="H69" s="6"/>
      <c r="I69" s="6"/>
      <c r="M69" s="6"/>
      <c r="N69" s="6"/>
      <c r="O69" s="6"/>
      <c r="P69" s="6"/>
      <c r="Q69" s="6"/>
      <c r="R69" s="6"/>
      <c r="S69" s="6"/>
      <c r="T69" s="6"/>
      <c r="U69" s="6"/>
      <c r="V69" s="6"/>
    </row>
    <row r="70" spans="1:22" x14ac:dyDescent="0.25">
      <c r="A70" s="5"/>
      <c r="D70" s="6"/>
      <c r="E70" s="6"/>
      <c r="F70" s="6"/>
      <c r="G70" s="6"/>
      <c r="H70" s="6"/>
      <c r="I70" s="6"/>
      <c r="M70" s="6"/>
      <c r="N70" s="6"/>
      <c r="O70" s="6"/>
      <c r="P70" s="6"/>
      <c r="Q70" s="6"/>
      <c r="R70" s="6"/>
      <c r="S70" s="6"/>
      <c r="T70" s="6"/>
      <c r="U70" s="6"/>
      <c r="V70" s="6"/>
    </row>
    <row r="71" spans="1:22" x14ac:dyDescent="0.25">
      <c r="A71" s="5"/>
      <c r="D71" s="6"/>
      <c r="E71" s="6"/>
      <c r="F71" s="6"/>
      <c r="G71" s="6"/>
      <c r="H71" s="6"/>
      <c r="I71" s="6"/>
      <c r="M71" s="6"/>
      <c r="N71" s="6"/>
      <c r="O71" s="6"/>
      <c r="P71" s="6"/>
      <c r="Q71" s="6"/>
      <c r="R71" s="6"/>
      <c r="S71" s="6"/>
      <c r="T71" s="6"/>
      <c r="U71" s="6"/>
      <c r="V71" s="6"/>
    </row>
    <row r="72" spans="1:22" x14ac:dyDescent="0.25">
      <c r="A72" s="5"/>
      <c r="D72" s="6"/>
      <c r="E72" s="6"/>
      <c r="F72" s="6"/>
      <c r="G72" s="6"/>
      <c r="H72" s="6"/>
      <c r="I72" s="6"/>
      <c r="M72" s="6"/>
      <c r="N72" s="6"/>
      <c r="O72" s="6"/>
      <c r="P72" s="6"/>
      <c r="Q72" s="6"/>
      <c r="R72" s="6"/>
      <c r="S72" s="6"/>
      <c r="T72" s="6"/>
      <c r="U72" s="6"/>
      <c r="V72" s="6"/>
    </row>
    <row r="73" spans="1:22" x14ac:dyDescent="0.25">
      <c r="A73" s="5"/>
      <c r="D73" s="6"/>
      <c r="E73" s="6"/>
      <c r="F73" s="6"/>
      <c r="G73" s="6"/>
      <c r="H73" s="6"/>
      <c r="I73" s="6"/>
      <c r="M73" s="6"/>
      <c r="N73" s="6"/>
      <c r="O73" s="6"/>
      <c r="P73" s="6"/>
      <c r="Q73" s="6"/>
      <c r="R73" s="6"/>
      <c r="S73" s="6"/>
      <c r="T73" s="6"/>
      <c r="U73" s="6"/>
      <c r="V73" s="6"/>
    </row>
    <row r="74" spans="1:22" x14ac:dyDescent="0.25">
      <c r="A74" s="5"/>
      <c r="D74" s="6"/>
      <c r="E74" s="6"/>
      <c r="F74" s="6"/>
      <c r="G74" s="6"/>
      <c r="H74" s="6"/>
      <c r="I74" s="6"/>
      <c r="M74" s="6"/>
      <c r="N74" s="6"/>
      <c r="O74" s="6"/>
      <c r="P74" s="6"/>
      <c r="Q74" s="6"/>
      <c r="R74" s="6"/>
      <c r="S74" s="6"/>
      <c r="T74" s="6"/>
      <c r="U74" s="6"/>
      <c r="V74" s="6"/>
    </row>
    <row r="75" spans="1:22" x14ac:dyDescent="0.25">
      <c r="A75" s="5"/>
      <c r="D75" s="6"/>
      <c r="E75" s="6"/>
      <c r="F75" s="6"/>
      <c r="G75" s="6"/>
      <c r="H75" s="6"/>
      <c r="I75" s="6"/>
      <c r="M75" s="6"/>
      <c r="N75" s="6"/>
      <c r="O75" s="6"/>
      <c r="P75" s="6"/>
      <c r="Q75" s="6"/>
      <c r="R75" s="6"/>
      <c r="S75" s="6"/>
      <c r="T75" s="6"/>
      <c r="U75" s="6"/>
      <c r="V75" s="6"/>
    </row>
    <row r="76" spans="1:22" x14ac:dyDescent="0.25">
      <c r="A76" s="5"/>
      <c r="D76" s="6"/>
      <c r="E76" s="6"/>
      <c r="F76" s="6"/>
      <c r="G76" s="6"/>
      <c r="H76" s="6"/>
      <c r="I76" s="6"/>
      <c r="M76" s="6"/>
      <c r="N76" s="6"/>
      <c r="O76" s="6"/>
      <c r="P76" s="6"/>
      <c r="Q76" s="6"/>
      <c r="R76" s="6"/>
      <c r="S76" s="6"/>
      <c r="T76" s="6"/>
      <c r="U76" s="6"/>
      <c r="V76" s="6"/>
    </row>
    <row r="77" spans="1:22" x14ac:dyDescent="0.25">
      <c r="A77" s="5"/>
      <c r="D77" s="6"/>
      <c r="E77" s="6"/>
      <c r="F77" s="6"/>
      <c r="G77" s="6"/>
      <c r="H77" s="6"/>
      <c r="I77" s="6"/>
      <c r="M77" s="6"/>
      <c r="N77" s="6"/>
      <c r="O77" s="6"/>
      <c r="P77" s="6"/>
      <c r="Q77" s="6"/>
      <c r="R77" s="6"/>
      <c r="S77" s="6"/>
      <c r="T77" s="6"/>
      <c r="U77" s="6"/>
      <c r="V77" s="6"/>
    </row>
    <row r="78" spans="1:22" x14ac:dyDescent="0.25">
      <c r="A78" s="5"/>
      <c r="D78" s="6"/>
      <c r="E78" s="6"/>
      <c r="F78" s="6"/>
      <c r="G78" s="6"/>
      <c r="H78" s="6"/>
      <c r="I78" s="6"/>
      <c r="M78" s="6"/>
      <c r="N78" s="6"/>
      <c r="O78" s="6"/>
      <c r="P78" s="6"/>
      <c r="Q78" s="6"/>
      <c r="R78" s="6"/>
      <c r="S78" s="6"/>
      <c r="T78" s="6"/>
      <c r="U78" s="6"/>
      <c r="V78" s="6"/>
    </row>
    <row r="79" spans="1:22" x14ac:dyDescent="0.25">
      <c r="A79" s="5"/>
      <c r="D79" s="6"/>
      <c r="E79" s="6"/>
      <c r="F79" s="6"/>
      <c r="G79" s="6"/>
      <c r="H79" s="6"/>
      <c r="I79" s="6"/>
      <c r="M79" s="6"/>
      <c r="N79" s="6"/>
      <c r="O79" s="6"/>
      <c r="P79" s="6"/>
      <c r="Q79" s="6"/>
      <c r="R79" s="6"/>
      <c r="S79" s="6"/>
      <c r="T79" s="6"/>
      <c r="U79" s="6"/>
      <c r="V79" s="6"/>
    </row>
    <row r="80" spans="1:22" x14ac:dyDescent="0.25">
      <c r="A80" s="5"/>
      <c r="D80" s="6"/>
      <c r="E80" s="6"/>
      <c r="F80" s="6"/>
      <c r="G80" s="6"/>
      <c r="H80" s="6"/>
      <c r="I80" s="6"/>
      <c r="M80" s="6"/>
      <c r="N80" s="6"/>
      <c r="O80" s="6"/>
      <c r="P80" s="6"/>
      <c r="Q80" s="6"/>
      <c r="R80" s="6"/>
      <c r="S80" s="6"/>
      <c r="T80" s="6"/>
      <c r="U80" s="6"/>
      <c r="V80" s="6"/>
    </row>
    <row r="81" spans="1:22" x14ac:dyDescent="0.25">
      <c r="A81" s="5"/>
      <c r="D81" s="6"/>
      <c r="E81" s="6"/>
      <c r="F81" s="6"/>
      <c r="G81" s="6"/>
      <c r="H81" s="6"/>
      <c r="I81" s="6"/>
      <c r="M81" s="6"/>
      <c r="N81" s="6"/>
      <c r="O81" s="6"/>
      <c r="P81" s="6"/>
      <c r="Q81" s="6"/>
      <c r="R81" s="6"/>
      <c r="S81" s="6"/>
      <c r="T81" s="6"/>
      <c r="U81" s="6"/>
      <c r="V81" s="6"/>
    </row>
    <row r="82" spans="1:22" x14ac:dyDescent="0.25">
      <c r="A82" s="5"/>
      <c r="D82" s="6"/>
      <c r="E82" s="6"/>
      <c r="F82" s="6"/>
      <c r="G82" s="6"/>
      <c r="H82" s="6"/>
      <c r="I82" s="6"/>
      <c r="M82" s="6"/>
      <c r="N82" s="6"/>
      <c r="O82" s="6"/>
      <c r="P82" s="6"/>
      <c r="Q82" s="6"/>
      <c r="R82" s="6"/>
      <c r="S82" s="6"/>
      <c r="T82" s="6"/>
      <c r="U82" s="6"/>
      <c r="V82" s="6"/>
    </row>
    <row r="83" spans="1:22" x14ac:dyDescent="0.25">
      <c r="A83" s="5"/>
      <c r="D83" s="6"/>
      <c r="E83" s="6"/>
      <c r="F83" s="6"/>
      <c r="G83" s="6"/>
      <c r="H83" s="6"/>
      <c r="I83" s="6"/>
      <c r="M83" s="6"/>
      <c r="N83" s="6"/>
      <c r="O83" s="6"/>
      <c r="P83" s="6"/>
      <c r="Q83" s="6"/>
      <c r="R83" s="6"/>
      <c r="S83" s="6"/>
      <c r="T83" s="6"/>
      <c r="U83" s="6"/>
      <c r="V83" s="6"/>
    </row>
    <row r="84" spans="1:22" x14ac:dyDescent="0.25">
      <c r="A84" s="5"/>
      <c r="D84" s="6"/>
      <c r="E84" s="6"/>
      <c r="F84" s="6"/>
      <c r="G84" s="6"/>
      <c r="H84" s="6"/>
      <c r="I84" s="6"/>
      <c r="M84" s="6"/>
      <c r="N84" s="6"/>
      <c r="O84" s="6"/>
      <c r="P84" s="6"/>
      <c r="Q84" s="6"/>
      <c r="R84" s="6"/>
      <c r="S84" s="6"/>
      <c r="T84" s="6"/>
      <c r="U84" s="6"/>
      <c r="V84" s="6"/>
    </row>
    <row r="85" spans="1:22" x14ac:dyDescent="0.25">
      <c r="A85" s="5"/>
      <c r="D85" s="6"/>
      <c r="E85" s="6"/>
      <c r="F85" s="6"/>
      <c r="G85" s="6"/>
      <c r="H85" s="6"/>
      <c r="I85" s="6"/>
      <c r="M85" s="6"/>
      <c r="N85" s="6"/>
      <c r="O85" s="6"/>
      <c r="P85" s="6"/>
      <c r="Q85" s="6"/>
      <c r="R85" s="6"/>
      <c r="S85" s="6"/>
      <c r="T85" s="6"/>
      <c r="U85" s="6"/>
      <c r="V85" s="6"/>
    </row>
    <row r="86" spans="1:22" x14ac:dyDescent="0.25">
      <c r="A86" s="5"/>
      <c r="D86" s="6"/>
      <c r="E86" s="6"/>
      <c r="F86" s="6"/>
      <c r="G86" s="6"/>
      <c r="H86" s="6"/>
      <c r="I86" s="6"/>
      <c r="M86" s="6"/>
      <c r="N86" s="6"/>
      <c r="O86" s="6"/>
      <c r="P86" s="6"/>
      <c r="Q86" s="6"/>
      <c r="R86" s="6"/>
      <c r="S86" s="6"/>
      <c r="T86" s="6"/>
      <c r="U86" s="6"/>
      <c r="V86" s="6"/>
    </row>
    <row r="87" spans="1:22" x14ac:dyDescent="0.25">
      <c r="A87" s="5"/>
      <c r="D87" s="6"/>
      <c r="E87" s="6"/>
      <c r="F87" s="6"/>
      <c r="G87" s="6"/>
      <c r="H87" s="6"/>
      <c r="I87" s="6"/>
      <c r="M87" s="6"/>
      <c r="N87" s="6"/>
      <c r="O87" s="6"/>
      <c r="P87" s="6"/>
      <c r="Q87" s="6"/>
      <c r="R87" s="6"/>
      <c r="S87" s="6"/>
      <c r="T87" s="6"/>
      <c r="U87" s="6"/>
      <c r="V87" s="6"/>
    </row>
    <row r="88" spans="1:22" x14ac:dyDescent="0.25">
      <c r="A88" s="5"/>
      <c r="D88" s="6"/>
      <c r="E88" s="6"/>
      <c r="F88" s="6"/>
      <c r="G88" s="6"/>
      <c r="H88" s="6"/>
      <c r="I88" s="6"/>
      <c r="M88" s="6"/>
      <c r="N88" s="6"/>
      <c r="O88" s="6"/>
      <c r="P88" s="6"/>
      <c r="Q88" s="6"/>
      <c r="R88" s="6"/>
      <c r="S88" s="6"/>
      <c r="T88" s="6"/>
      <c r="U88" s="6"/>
      <c r="V88" s="6"/>
    </row>
    <row r="89" spans="1:22" x14ac:dyDescent="0.25">
      <c r="A89" s="5"/>
      <c r="D89" s="6"/>
      <c r="E89" s="6"/>
      <c r="F89" s="6"/>
      <c r="G89" s="6"/>
      <c r="H89" s="6"/>
      <c r="I89" s="6"/>
      <c r="M89" s="6"/>
      <c r="N89" s="6"/>
      <c r="O89" s="6"/>
      <c r="P89" s="6"/>
      <c r="Q89" s="6"/>
      <c r="R89" s="6"/>
      <c r="S89" s="6"/>
      <c r="T89" s="6"/>
      <c r="U89" s="6"/>
      <c r="V89" s="6"/>
    </row>
    <row r="90" spans="1:22" x14ac:dyDescent="0.25">
      <c r="A90" s="5"/>
      <c r="D90" s="6"/>
      <c r="E90" s="6"/>
      <c r="F90" s="6"/>
      <c r="G90" s="6"/>
      <c r="H90" s="6"/>
      <c r="I90" s="6"/>
      <c r="M90" s="6"/>
      <c r="N90" s="6"/>
      <c r="O90" s="6"/>
      <c r="P90" s="6"/>
      <c r="Q90" s="6"/>
      <c r="R90" s="6"/>
      <c r="S90" s="6"/>
      <c r="T90" s="6"/>
      <c r="U90" s="6"/>
      <c r="V90" s="6"/>
    </row>
    <row r="91" spans="1:22" x14ac:dyDescent="0.25">
      <c r="A91" s="5"/>
      <c r="D91" s="6"/>
      <c r="E91" s="6"/>
      <c r="F91" s="6"/>
      <c r="G91" s="6"/>
      <c r="H91" s="6"/>
      <c r="I91" s="6"/>
      <c r="M91" s="6"/>
      <c r="N91" s="6"/>
      <c r="O91" s="6"/>
      <c r="P91" s="6"/>
      <c r="Q91" s="6"/>
      <c r="R91" s="6"/>
      <c r="S91" s="6"/>
      <c r="T91" s="6"/>
      <c r="U91" s="6"/>
      <c r="V91" s="6"/>
    </row>
    <row r="92" spans="1:22" x14ac:dyDescent="0.25">
      <c r="A92" s="5"/>
      <c r="D92" s="6"/>
      <c r="E92" s="6"/>
      <c r="F92" s="6"/>
      <c r="G92" s="6"/>
      <c r="H92" s="6"/>
      <c r="I92" s="6"/>
      <c r="M92" s="6"/>
      <c r="N92" s="6"/>
      <c r="O92" s="6"/>
      <c r="P92" s="6"/>
      <c r="Q92" s="6"/>
      <c r="R92" s="6"/>
      <c r="S92" s="6"/>
      <c r="T92" s="6"/>
      <c r="U92" s="6"/>
      <c r="V92" s="6"/>
    </row>
    <row r="93" spans="1:22" x14ac:dyDescent="0.25">
      <c r="A93" s="5"/>
      <c r="D93" s="6"/>
      <c r="E93" s="6"/>
      <c r="F93" s="6"/>
      <c r="G93" s="6"/>
      <c r="H93" s="6"/>
      <c r="I93" s="6"/>
      <c r="M93" s="6"/>
      <c r="N93" s="6"/>
      <c r="O93" s="6"/>
      <c r="P93" s="6"/>
      <c r="Q93" s="6"/>
      <c r="R93" s="6"/>
      <c r="S93" s="6"/>
      <c r="T93" s="6"/>
      <c r="U93" s="6"/>
      <c r="V93" s="6"/>
    </row>
    <row r="94" spans="1:22" x14ac:dyDescent="0.25">
      <c r="A94" s="5"/>
      <c r="D94" s="6"/>
      <c r="E94" s="6"/>
      <c r="F94" s="6"/>
      <c r="G94" s="6"/>
      <c r="H94" s="6"/>
      <c r="I94" s="6"/>
      <c r="M94" s="6"/>
      <c r="N94" s="6"/>
      <c r="O94" s="6"/>
      <c r="P94" s="6"/>
      <c r="Q94" s="6"/>
      <c r="R94" s="6"/>
      <c r="S94" s="6"/>
      <c r="T94" s="6"/>
      <c r="U94" s="6"/>
      <c r="V94" s="6"/>
    </row>
    <row r="95" spans="1:22" x14ac:dyDescent="0.25">
      <c r="A95" s="5"/>
      <c r="D95" s="6"/>
      <c r="E95" s="6"/>
      <c r="F95" s="6"/>
      <c r="G95" s="6"/>
      <c r="H95" s="6"/>
      <c r="I95" s="6"/>
      <c r="M95" s="6"/>
      <c r="N95" s="6"/>
      <c r="O95" s="6"/>
      <c r="P95" s="6"/>
      <c r="Q95" s="6"/>
      <c r="R95" s="6"/>
      <c r="S95" s="6"/>
      <c r="T95" s="6"/>
      <c r="U95" s="6"/>
      <c r="V95" s="6"/>
    </row>
    <row r="96" spans="1:22" x14ac:dyDescent="0.25">
      <c r="A96" s="5"/>
      <c r="D96" s="6"/>
      <c r="E96" s="6"/>
      <c r="F96" s="6"/>
      <c r="G96" s="6"/>
      <c r="H96" s="6"/>
      <c r="I96" s="6"/>
      <c r="M96" s="6"/>
      <c r="N96" s="6"/>
      <c r="O96" s="6"/>
      <c r="P96" s="6"/>
      <c r="Q96" s="6"/>
      <c r="R96" s="6"/>
      <c r="S96" s="6"/>
      <c r="T96" s="6"/>
      <c r="U96" s="6"/>
      <c r="V96" s="6"/>
    </row>
    <row r="97" spans="1:22" x14ac:dyDescent="0.25">
      <c r="A97" s="5"/>
      <c r="D97" s="6"/>
      <c r="E97" s="6"/>
      <c r="F97" s="6"/>
      <c r="G97" s="6"/>
      <c r="H97" s="6"/>
      <c r="I97" s="6"/>
      <c r="M97" s="6"/>
      <c r="N97" s="6"/>
      <c r="O97" s="6"/>
      <c r="P97" s="6"/>
      <c r="Q97" s="6"/>
      <c r="R97" s="6"/>
      <c r="S97" s="6"/>
      <c r="T97" s="6"/>
      <c r="U97" s="6"/>
      <c r="V97" s="6"/>
    </row>
    <row r="98" spans="1:22" x14ac:dyDescent="0.25">
      <c r="A98" s="5"/>
      <c r="D98" s="6"/>
      <c r="E98" s="6"/>
      <c r="F98" s="6"/>
      <c r="G98" s="6"/>
      <c r="H98" s="6"/>
      <c r="I98" s="6"/>
      <c r="M98" s="6"/>
      <c r="N98" s="6"/>
      <c r="O98" s="6"/>
      <c r="P98" s="6"/>
      <c r="Q98" s="6"/>
      <c r="R98" s="6"/>
      <c r="S98" s="6"/>
      <c r="T98" s="6"/>
      <c r="U98" s="6"/>
      <c r="V98" s="6"/>
    </row>
    <row r="99" spans="1:22" x14ac:dyDescent="0.25">
      <c r="A99" s="5"/>
      <c r="D99" s="6"/>
      <c r="E99" s="6"/>
      <c r="F99" s="6"/>
      <c r="G99" s="6"/>
      <c r="H99" s="6"/>
      <c r="I99" s="6"/>
      <c r="M99" s="6"/>
      <c r="N99" s="6"/>
      <c r="O99" s="6"/>
      <c r="P99" s="6"/>
      <c r="Q99" s="6"/>
      <c r="R99" s="6"/>
      <c r="S99" s="6"/>
      <c r="T99" s="6"/>
      <c r="U99" s="6"/>
      <c r="V99" s="6"/>
    </row>
    <row r="100" spans="1:22" x14ac:dyDescent="0.25">
      <c r="A100" s="5"/>
      <c r="D100" s="6"/>
      <c r="E100" s="6"/>
      <c r="F100" s="6"/>
      <c r="G100" s="6"/>
      <c r="H100" s="6"/>
      <c r="I100" s="6"/>
      <c r="M100" s="6"/>
      <c r="N100" s="6"/>
      <c r="O100" s="6"/>
      <c r="P100" s="6"/>
      <c r="Q100" s="6"/>
      <c r="R100" s="6"/>
      <c r="S100" s="6"/>
      <c r="T100" s="6"/>
      <c r="U100" s="6"/>
      <c r="V100" s="6"/>
    </row>
    <row r="101" spans="1:22" x14ac:dyDescent="0.25">
      <c r="A101" s="5"/>
      <c r="D101" s="6"/>
      <c r="E101" s="6"/>
      <c r="F101" s="6"/>
      <c r="G101" s="6"/>
      <c r="H101" s="6"/>
      <c r="I101" s="6"/>
      <c r="M101" s="6"/>
      <c r="N101" s="6"/>
      <c r="O101" s="6"/>
      <c r="P101" s="6"/>
      <c r="Q101" s="6"/>
      <c r="R101" s="6"/>
      <c r="S101" s="6"/>
      <c r="T101" s="6"/>
      <c r="U101" s="6"/>
      <c r="V101" s="6"/>
    </row>
    <row r="102" spans="1:22" x14ac:dyDescent="0.25">
      <c r="A102" s="5"/>
      <c r="D102" s="6"/>
      <c r="E102" s="6"/>
      <c r="F102" s="6"/>
      <c r="G102" s="6"/>
      <c r="H102" s="6"/>
      <c r="I102" s="6"/>
      <c r="M102" s="6"/>
      <c r="N102" s="6"/>
      <c r="O102" s="6"/>
      <c r="P102" s="6"/>
      <c r="Q102" s="6"/>
      <c r="R102" s="6"/>
      <c r="S102" s="6"/>
      <c r="T102" s="6"/>
      <c r="U102" s="6"/>
      <c r="V102" s="6"/>
    </row>
    <row r="103" spans="1:22" x14ac:dyDescent="0.25">
      <c r="A103" s="5"/>
      <c r="D103" s="6"/>
      <c r="E103" s="6"/>
      <c r="F103" s="6"/>
      <c r="G103" s="6"/>
      <c r="H103" s="6"/>
      <c r="I103" s="6"/>
      <c r="M103" s="6"/>
      <c r="N103" s="6"/>
      <c r="O103" s="6"/>
      <c r="P103" s="6"/>
      <c r="Q103" s="6"/>
      <c r="R103" s="6"/>
      <c r="S103" s="6"/>
      <c r="T103" s="6"/>
      <c r="U103" s="6"/>
      <c r="V103" s="6"/>
    </row>
    <row r="104" spans="1:22" x14ac:dyDescent="0.25">
      <c r="A104" s="5"/>
      <c r="D104" s="6"/>
      <c r="E104" s="6"/>
      <c r="F104" s="6"/>
      <c r="G104" s="6"/>
      <c r="H104" s="6"/>
      <c r="I104" s="6"/>
      <c r="M104" s="6"/>
      <c r="N104" s="6"/>
      <c r="O104" s="6"/>
      <c r="P104" s="6"/>
      <c r="Q104" s="6"/>
      <c r="R104" s="6"/>
      <c r="S104" s="6"/>
      <c r="T104" s="6"/>
      <c r="U104" s="6"/>
      <c r="V104" s="6"/>
    </row>
    <row r="105" spans="1:22" x14ac:dyDescent="0.25">
      <c r="A105" s="5"/>
      <c r="D105" s="6"/>
      <c r="E105" s="6"/>
      <c r="F105" s="6"/>
      <c r="G105" s="6"/>
      <c r="H105" s="6"/>
      <c r="I105" s="6"/>
      <c r="M105" s="6"/>
      <c r="N105" s="6"/>
      <c r="O105" s="6"/>
      <c r="P105" s="6"/>
      <c r="Q105" s="6"/>
      <c r="R105" s="6"/>
      <c r="S105" s="6"/>
      <c r="T105" s="6"/>
      <c r="U105" s="6"/>
      <c r="V105" s="6"/>
    </row>
    <row r="106" spans="1:22" x14ac:dyDescent="0.25">
      <c r="A106" s="5"/>
      <c r="D106" s="6"/>
      <c r="E106" s="6"/>
      <c r="F106" s="6"/>
      <c r="G106" s="6"/>
      <c r="H106" s="6"/>
      <c r="I106" s="6"/>
      <c r="M106" s="6"/>
      <c r="N106" s="6"/>
      <c r="O106" s="6"/>
      <c r="P106" s="6"/>
      <c r="Q106" s="6"/>
      <c r="R106" s="6"/>
      <c r="S106" s="6"/>
      <c r="T106" s="6"/>
      <c r="U106" s="6"/>
      <c r="V106" s="6"/>
    </row>
    <row r="107" spans="1:22" x14ac:dyDescent="0.25">
      <c r="A107" s="5"/>
      <c r="D107" s="6"/>
      <c r="E107" s="6"/>
      <c r="F107" s="6"/>
      <c r="G107" s="6"/>
      <c r="H107" s="6"/>
      <c r="I107" s="6"/>
      <c r="M107" s="6"/>
      <c r="N107" s="6"/>
      <c r="O107" s="6"/>
      <c r="P107" s="6"/>
      <c r="Q107" s="6"/>
      <c r="R107" s="6"/>
      <c r="S107" s="6"/>
      <c r="T107" s="6"/>
      <c r="U107" s="6"/>
      <c r="V107" s="6"/>
    </row>
    <row r="108" spans="1:22" x14ac:dyDescent="0.25">
      <c r="A108" s="5"/>
      <c r="D108" s="6"/>
      <c r="E108" s="6"/>
      <c r="F108" s="6"/>
      <c r="G108" s="6"/>
      <c r="H108" s="6"/>
      <c r="I108" s="6"/>
      <c r="M108" s="6"/>
      <c r="N108" s="6"/>
      <c r="O108" s="6"/>
      <c r="P108" s="6"/>
      <c r="Q108" s="6"/>
      <c r="R108" s="6"/>
      <c r="S108" s="6"/>
      <c r="T108" s="6"/>
      <c r="U108" s="6"/>
      <c r="V108" s="6"/>
    </row>
    <row r="109" spans="1:22" x14ac:dyDescent="0.25">
      <c r="A109" s="5"/>
      <c r="D109" s="6"/>
      <c r="E109" s="6"/>
      <c r="F109" s="6"/>
      <c r="G109" s="6"/>
      <c r="H109" s="6"/>
      <c r="I109" s="6"/>
      <c r="M109" s="6"/>
      <c r="N109" s="6"/>
      <c r="O109" s="6"/>
      <c r="P109" s="6"/>
      <c r="Q109" s="6"/>
      <c r="R109" s="6"/>
      <c r="S109" s="6"/>
      <c r="T109" s="6"/>
      <c r="U109" s="6"/>
      <c r="V109" s="6"/>
    </row>
    <row r="110" spans="1:22" x14ac:dyDescent="0.25">
      <c r="A110" s="5"/>
      <c r="D110" s="6"/>
      <c r="E110" s="6"/>
      <c r="F110" s="6"/>
      <c r="G110" s="6"/>
      <c r="H110" s="6"/>
      <c r="I110" s="6"/>
      <c r="M110" s="6"/>
      <c r="N110" s="6"/>
      <c r="O110" s="6"/>
      <c r="P110" s="6"/>
      <c r="Q110" s="6"/>
      <c r="R110" s="6"/>
      <c r="S110" s="6"/>
      <c r="T110" s="6"/>
      <c r="U110" s="6"/>
      <c r="V110" s="6"/>
    </row>
    <row r="111" spans="1:22" x14ac:dyDescent="0.25">
      <c r="A111" s="5"/>
      <c r="D111" s="6"/>
      <c r="E111" s="6"/>
      <c r="F111" s="6"/>
      <c r="G111" s="6"/>
      <c r="H111" s="6"/>
      <c r="I111" s="6"/>
      <c r="M111" s="6"/>
      <c r="N111" s="6"/>
      <c r="O111" s="6"/>
      <c r="P111" s="6"/>
      <c r="Q111" s="6"/>
      <c r="R111" s="6"/>
      <c r="S111" s="6"/>
      <c r="T111" s="6"/>
      <c r="U111" s="6"/>
      <c r="V111" s="6"/>
    </row>
    <row r="112" spans="1:22" x14ac:dyDescent="0.25">
      <c r="A112" s="5"/>
      <c r="D112" s="6"/>
      <c r="E112" s="6"/>
      <c r="F112" s="6"/>
      <c r="G112" s="6"/>
      <c r="H112" s="6"/>
      <c r="I112" s="6"/>
      <c r="M112" s="6"/>
      <c r="N112" s="6"/>
      <c r="O112" s="6"/>
      <c r="P112" s="6"/>
      <c r="Q112" s="6"/>
      <c r="R112" s="6"/>
      <c r="S112" s="6"/>
      <c r="T112" s="6"/>
      <c r="U112" s="6"/>
      <c r="V112" s="6"/>
    </row>
    <row r="113" spans="1:22" x14ac:dyDescent="0.25">
      <c r="A113" s="5"/>
      <c r="D113" s="6"/>
      <c r="E113" s="6"/>
      <c r="F113" s="6"/>
      <c r="G113" s="6"/>
      <c r="H113" s="6"/>
      <c r="I113" s="6"/>
      <c r="M113" s="6"/>
      <c r="N113" s="6"/>
      <c r="O113" s="6"/>
      <c r="P113" s="6"/>
      <c r="Q113" s="6"/>
      <c r="R113" s="6"/>
      <c r="S113" s="6"/>
      <c r="T113" s="6"/>
      <c r="U113" s="6"/>
      <c r="V113" s="6"/>
    </row>
    <row r="114" spans="1:22" x14ac:dyDescent="0.25">
      <c r="A114" s="5"/>
      <c r="D114" s="6"/>
      <c r="E114" s="6"/>
      <c r="F114" s="6"/>
      <c r="G114" s="6"/>
      <c r="H114" s="6"/>
      <c r="I114" s="6"/>
      <c r="M114" s="6"/>
      <c r="N114" s="6"/>
      <c r="O114" s="6"/>
      <c r="P114" s="6"/>
      <c r="Q114" s="6"/>
      <c r="R114" s="6"/>
      <c r="S114" s="6"/>
      <c r="T114" s="6"/>
      <c r="U114" s="6"/>
      <c r="V114" s="6"/>
    </row>
    <row r="115" spans="1:22" x14ac:dyDescent="0.25">
      <c r="A115" s="5"/>
      <c r="D115" s="6"/>
      <c r="E115" s="6"/>
      <c r="F115" s="6"/>
      <c r="G115" s="6"/>
      <c r="H115" s="6"/>
      <c r="I115" s="6"/>
      <c r="M115" s="6"/>
      <c r="N115" s="6"/>
      <c r="O115" s="6"/>
      <c r="P115" s="6"/>
      <c r="Q115" s="6"/>
      <c r="R115" s="6"/>
      <c r="S115" s="6"/>
      <c r="T115" s="6"/>
      <c r="U115" s="6"/>
      <c r="V115" s="6"/>
    </row>
    <row r="116" spans="1:22" x14ac:dyDescent="0.25">
      <c r="A116" s="5"/>
      <c r="D116" s="6"/>
      <c r="E116" s="6"/>
      <c r="F116" s="6"/>
      <c r="G116" s="6"/>
      <c r="H116" s="6"/>
      <c r="I116" s="6"/>
      <c r="M116" s="6"/>
      <c r="N116" s="6"/>
      <c r="O116" s="6"/>
      <c r="P116" s="6"/>
      <c r="Q116" s="6"/>
      <c r="R116" s="6"/>
      <c r="S116" s="6"/>
      <c r="T116" s="6"/>
      <c r="U116" s="6"/>
      <c r="V116" s="6"/>
    </row>
    <row r="117" spans="1:22" x14ac:dyDescent="0.25">
      <c r="A117" s="5"/>
      <c r="D117" s="6"/>
      <c r="E117" s="6"/>
      <c r="F117" s="6"/>
      <c r="G117" s="6"/>
      <c r="H117" s="6"/>
      <c r="I117" s="6"/>
      <c r="M117" s="6"/>
      <c r="N117" s="6"/>
      <c r="O117" s="6"/>
      <c r="P117" s="6"/>
      <c r="Q117" s="6"/>
      <c r="R117" s="6"/>
      <c r="S117" s="6"/>
      <c r="T117" s="6"/>
      <c r="U117" s="6"/>
      <c r="V117" s="6"/>
    </row>
    <row r="118" spans="1:22" x14ac:dyDescent="0.25">
      <c r="A118" s="5"/>
      <c r="D118" s="6"/>
      <c r="E118" s="6"/>
      <c r="F118" s="6"/>
      <c r="G118" s="6"/>
      <c r="H118" s="6"/>
      <c r="I118" s="6"/>
      <c r="M118" s="6"/>
      <c r="N118" s="6"/>
      <c r="O118" s="6"/>
      <c r="P118" s="6"/>
      <c r="Q118" s="6"/>
      <c r="R118" s="6"/>
      <c r="S118" s="6"/>
      <c r="T118" s="6"/>
      <c r="U118" s="6"/>
      <c r="V118" s="6"/>
    </row>
    <row r="119" spans="1:22" x14ac:dyDescent="0.25">
      <c r="A119" s="5"/>
      <c r="D119" s="6"/>
      <c r="E119" s="6"/>
      <c r="F119" s="6"/>
      <c r="G119" s="6"/>
      <c r="H119" s="6"/>
      <c r="I119" s="6"/>
      <c r="M119" s="6"/>
      <c r="N119" s="6"/>
      <c r="O119" s="6"/>
      <c r="P119" s="6"/>
      <c r="Q119" s="6"/>
      <c r="R119" s="6"/>
      <c r="S119" s="6"/>
      <c r="T119" s="6"/>
      <c r="U119" s="6"/>
      <c r="V119" s="6"/>
    </row>
    <row r="120" spans="1:22" x14ac:dyDescent="0.25">
      <c r="A120" s="5"/>
      <c r="D120" s="6"/>
      <c r="E120" s="6"/>
      <c r="F120" s="6"/>
      <c r="G120" s="6"/>
      <c r="H120" s="6"/>
      <c r="I120" s="6"/>
      <c r="M120" s="6"/>
      <c r="N120" s="6"/>
      <c r="O120" s="6"/>
      <c r="P120" s="6"/>
      <c r="Q120" s="6"/>
      <c r="R120" s="6"/>
      <c r="S120" s="6"/>
      <c r="T120" s="6"/>
      <c r="U120" s="6"/>
      <c r="V120" s="6"/>
    </row>
    <row r="121" spans="1:22" x14ac:dyDescent="0.25">
      <c r="A121" s="5"/>
      <c r="D121" s="6"/>
      <c r="E121" s="6"/>
      <c r="F121" s="6"/>
      <c r="G121" s="6"/>
      <c r="H121" s="6"/>
      <c r="I121" s="6"/>
      <c r="M121" s="6"/>
      <c r="N121" s="6"/>
      <c r="O121" s="6"/>
      <c r="P121" s="6"/>
      <c r="Q121" s="6"/>
      <c r="R121" s="6"/>
      <c r="S121" s="6"/>
      <c r="T121" s="6"/>
      <c r="U121" s="6"/>
      <c r="V121" s="6"/>
    </row>
    <row r="122" spans="1:22" x14ac:dyDescent="0.25">
      <c r="A122" s="5"/>
      <c r="D122" s="6"/>
      <c r="E122" s="6"/>
      <c r="F122" s="6"/>
      <c r="G122" s="6"/>
      <c r="H122" s="6"/>
      <c r="I122" s="6"/>
      <c r="M122" s="6"/>
      <c r="N122" s="6"/>
      <c r="O122" s="6"/>
      <c r="P122" s="6"/>
      <c r="Q122" s="6"/>
      <c r="R122" s="6"/>
      <c r="S122" s="6"/>
      <c r="T122" s="6"/>
      <c r="U122" s="6"/>
      <c r="V122" s="6"/>
    </row>
    <row r="123" spans="1:22" x14ac:dyDescent="0.25">
      <c r="A123" s="5"/>
      <c r="D123" s="6"/>
      <c r="E123" s="6"/>
      <c r="F123" s="6"/>
      <c r="G123" s="6"/>
      <c r="H123" s="6"/>
      <c r="I123" s="6"/>
      <c r="M123" s="6"/>
      <c r="N123" s="6"/>
      <c r="O123" s="6"/>
      <c r="P123" s="6"/>
      <c r="Q123" s="6"/>
      <c r="R123" s="6"/>
      <c r="S123" s="6"/>
      <c r="T123" s="6"/>
      <c r="U123" s="6"/>
      <c r="V123" s="6"/>
    </row>
    <row r="124" spans="1:22" x14ac:dyDescent="0.25">
      <c r="A124" s="5"/>
      <c r="D124" s="6"/>
      <c r="E124" s="6"/>
      <c r="F124" s="6"/>
      <c r="G124" s="6"/>
      <c r="H124" s="6"/>
      <c r="I124" s="6"/>
      <c r="M124" s="6"/>
      <c r="N124" s="6"/>
      <c r="O124" s="6"/>
      <c r="P124" s="6"/>
      <c r="Q124" s="6"/>
      <c r="R124" s="6"/>
      <c r="S124" s="6"/>
      <c r="T124" s="6"/>
      <c r="U124" s="6"/>
      <c r="V124" s="6"/>
    </row>
    <row r="125" spans="1:22" x14ac:dyDescent="0.25">
      <c r="A125" s="5"/>
      <c r="D125" s="6"/>
      <c r="E125" s="6"/>
      <c r="F125" s="6"/>
      <c r="G125" s="6"/>
      <c r="H125" s="6"/>
      <c r="I125" s="6"/>
      <c r="M125" s="6"/>
      <c r="N125" s="6"/>
      <c r="O125" s="6"/>
      <c r="P125" s="6"/>
      <c r="Q125" s="6"/>
      <c r="R125" s="6"/>
      <c r="S125" s="6"/>
      <c r="T125" s="6"/>
      <c r="U125" s="6"/>
      <c r="V125" s="6"/>
    </row>
    <row r="126" spans="1:22" x14ac:dyDescent="0.25">
      <c r="A126" s="5"/>
      <c r="D126" s="6"/>
      <c r="E126" s="6"/>
      <c r="F126" s="6"/>
      <c r="G126" s="6"/>
      <c r="H126" s="6"/>
      <c r="I126" s="6"/>
      <c r="M126" s="6"/>
      <c r="N126" s="6"/>
      <c r="O126" s="6"/>
      <c r="P126" s="6"/>
      <c r="Q126" s="6"/>
      <c r="R126" s="6"/>
      <c r="S126" s="6"/>
      <c r="T126" s="6"/>
      <c r="U126" s="6"/>
      <c r="V126" s="6"/>
    </row>
    <row r="127" spans="1:22" x14ac:dyDescent="0.25">
      <c r="A127" s="5"/>
      <c r="D127" s="6"/>
      <c r="E127" s="6"/>
      <c r="F127" s="6"/>
      <c r="G127" s="6"/>
      <c r="H127" s="6"/>
      <c r="I127" s="6"/>
      <c r="M127" s="6"/>
      <c r="N127" s="6"/>
      <c r="O127" s="6"/>
      <c r="P127" s="6"/>
      <c r="Q127" s="6"/>
      <c r="R127" s="6"/>
      <c r="S127" s="6"/>
      <c r="T127" s="6"/>
      <c r="U127" s="6"/>
      <c r="V127" s="6"/>
    </row>
    <row r="128" spans="1:22" x14ac:dyDescent="0.25">
      <c r="A128" s="5"/>
      <c r="D128" s="6"/>
      <c r="E128" s="6"/>
      <c r="F128" s="6"/>
      <c r="G128" s="6"/>
      <c r="H128" s="6"/>
      <c r="I128" s="6"/>
      <c r="M128" s="6"/>
      <c r="N128" s="6"/>
      <c r="O128" s="6"/>
      <c r="P128" s="6"/>
      <c r="Q128" s="6"/>
      <c r="R128" s="6"/>
      <c r="S128" s="6"/>
      <c r="T128" s="6"/>
      <c r="U128" s="6"/>
      <c r="V128" s="6"/>
    </row>
    <row r="129" spans="1:22" x14ac:dyDescent="0.25">
      <c r="A129" s="5"/>
      <c r="D129" s="6"/>
      <c r="E129" s="6"/>
      <c r="F129" s="6"/>
      <c r="G129" s="6"/>
      <c r="H129" s="6"/>
      <c r="I129" s="6"/>
      <c r="M129" s="6"/>
      <c r="N129" s="6"/>
      <c r="O129" s="6"/>
      <c r="P129" s="6"/>
      <c r="Q129" s="6"/>
      <c r="R129" s="6"/>
      <c r="S129" s="6"/>
      <c r="T129" s="6"/>
      <c r="U129" s="6"/>
      <c r="V129" s="6"/>
    </row>
    <row r="130" spans="1:22" x14ac:dyDescent="0.25">
      <c r="A130" s="5"/>
      <c r="D130" s="6"/>
      <c r="E130" s="6"/>
      <c r="F130" s="6"/>
      <c r="G130" s="6"/>
      <c r="H130" s="6"/>
      <c r="I130" s="6"/>
      <c r="M130" s="6"/>
      <c r="N130" s="6"/>
      <c r="O130" s="6"/>
      <c r="P130" s="6"/>
      <c r="Q130" s="6"/>
      <c r="R130" s="6"/>
      <c r="S130" s="6"/>
      <c r="T130" s="6"/>
      <c r="U130" s="6"/>
      <c r="V130" s="6"/>
    </row>
    <row r="131" spans="1:22" x14ac:dyDescent="0.25">
      <c r="A131" s="5"/>
      <c r="D131" s="6"/>
      <c r="E131" s="6"/>
      <c r="F131" s="6"/>
      <c r="G131" s="6"/>
      <c r="H131" s="6"/>
      <c r="I131" s="6"/>
      <c r="M131" s="6"/>
      <c r="N131" s="6"/>
      <c r="O131" s="6"/>
      <c r="P131" s="6"/>
      <c r="Q131" s="6"/>
      <c r="R131" s="6"/>
      <c r="S131" s="6"/>
      <c r="T131" s="6"/>
      <c r="U131" s="6"/>
      <c r="V131" s="6"/>
    </row>
    <row r="132" spans="1:22" x14ac:dyDescent="0.25">
      <c r="A132" s="5"/>
      <c r="D132" s="6"/>
      <c r="E132" s="6"/>
      <c r="F132" s="6"/>
      <c r="G132" s="6"/>
      <c r="H132" s="6"/>
      <c r="I132" s="6"/>
      <c r="M132" s="6"/>
      <c r="N132" s="6"/>
      <c r="O132" s="6"/>
      <c r="P132" s="6"/>
      <c r="Q132" s="6"/>
      <c r="R132" s="6"/>
      <c r="S132" s="6"/>
      <c r="T132" s="6"/>
      <c r="U132" s="6"/>
      <c r="V132" s="6"/>
    </row>
    <row r="133" spans="1:22" x14ac:dyDescent="0.25">
      <c r="A133" s="5"/>
      <c r="D133" s="6"/>
      <c r="E133" s="6"/>
      <c r="F133" s="6"/>
      <c r="G133" s="6"/>
      <c r="H133" s="6"/>
      <c r="I133" s="6"/>
      <c r="M133" s="6"/>
      <c r="N133" s="6"/>
      <c r="O133" s="6"/>
      <c r="P133" s="6"/>
      <c r="Q133" s="6"/>
      <c r="R133" s="6"/>
      <c r="S133" s="6"/>
      <c r="T133" s="6"/>
      <c r="U133" s="6"/>
      <c r="V133" s="6"/>
    </row>
    <row r="134" spans="1:22" x14ac:dyDescent="0.25">
      <c r="A134" s="5"/>
      <c r="D134" s="6"/>
      <c r="E134" s="6"/>
      <c r="F134" s="6"/>
      <c r="G134" s="6"/>
      <c r="H134" s="6"/>
      <c r="I134" s="6"/>
      <c r="M134" s="6"/>
      <c r="N134" s="6"/>
      <c r="O134" s="6"/>
      <c r="P134" s="6"/>
      <c r="Q134" s="6"/>
      <c r="R134" s="6"/>
      <c r="S134" s="6"/>
      <c r="T134" s="6"/>
      <c r="U134" s="6"/>
      <c r="V134" s="6"/>
    </row>
    <row r="135" spans="1:22" x14ac:dyDescent="0.25">
      <c r="A135" s="5"/>
      <c r="D135" s="6"/>
      <c r="E135" s="6"/>
      <c r="F135" s="6"/>
      <c r="G135" s="6"/>
      <c r="H135" s="6"/>
      <c r="I135" s="6"/>
      <c r="M135" s="6"/>
      <c r="N135" s="6"/>
      <c r="O135" s="6"/>
      <c r="P135" s="6"/>
      <c r="Q135" s="6"/>
      <c r="R135" s="6"/>
      <c r="S135" s="6"/>
      <c r="T135" s="6"/>
      <c r="U135" s="6"/>
      <c r="V135" s="6"/>
    </row>
    <row r="136" spans="1:22" x14ac:dyDescent="0.25">
      <c r="A136" s="5"/>
      <c r="D136" s="6"/>
      <c r="E136" s="6"/>
      <c r="F136" s="6"/>
      <c r="G136" s="6"/>
      <c r="H136" s="6"/>
      <c r="I136" s="6"/>
      <c r="M136" s="6"/>
      <c r="N136" s="6"/>
      <c r="O136" s="6"/>
      <c r="P136" s="6"/>
      <c r="Q136" s="6"/>
      <c r="R136" s="6"/>
      <c r="S136" s="6"/>
      <c r="T136" s="6"/>
      <c r="U136" s="6"/>
      <c r="V136" s="6"/>
    </row>
    <row r="137" spans="1:22" x14ac:dyDescent="0.25">
      <c r="A137" s="5"/>
      <c r="D137" s="6"/>
      <c r="E137" s="6"/>
      <c r="F137" s="6"/>
      <c r="G137" s="6"/>
      <c r="H137" s="6"/>
      <c r="I137" s="6"/>
      <c r="M137" s="6"/>
      <c r="N137" s="6"/>
      <c r="O137" s="6"/>
      <c r="P137" s="6"/>
      <c r="Q137" s="6"/>
      <c r="R137" s="6"/>
      <c r="S137" s="6"/>
      <c r="T137" s="6"/>
      <c r="U137" s="6"/>
      <c r="V137" s="6"/>
    </row>
    <row r="138" spans="1:22" x14ac:dyDescent="0.25">
      <c r="A138" s="5"/>
      <c r="D138" s="6"/>
      <c r="E138" s="6"/>
      <c r="F138" s="6"/>
      <c r="G138" s="6"/>
      <c r="H138" s="6"/>
      <c r="I138" s="6"/>
      <c r="M138" s="6"/>
      <c r="N138" s="6"/>
      <c r="O138" s="6"/>
      <c r="P138" s="6"/>
      <c r="Q138" s="6"/>
      <c r="R138" s="6"/>
      <c r="S138" s="6"/>
      <c r="T138" s="6"/>
      <c r="U138" s="6"/>
      <c r="V138" s="6"/>
    </row>
    <row r="139" spans="1:22" x14ac:dyDescent="0.25">
      <c r="A139" s="5"/>
      <c r="D139" s="6"/>
      <c r="E139" s="6"/>
      <c r="F139" s="6"/>
      <c r="G139" s="6"/>
      <c r="H139" s="6"/>
      <c r="I139" s="6"/>
      <c r="M139" s="6"/>
      <c r="N139" s="6"/>
      <c r="O139" s="6"/>
      <c r="P139" s="6"/>
      <c r="Q139" s="6"/>
      <c r="R139" s="6"/>
      <c r="S139" s="6"/>
      <c r="T139" s="6"/>
      <c r="U139" s="6"/>
      <c r="V139" s="6"/>
    </row>
    <row r="140" spans="1:22" x14ac:dyDescent="0.25">
      <c r="A140" s="5"/>
      <c r="D140" s="6"/>
      <c r="E140" s="6"/>
      <c r="F140" s="6"/>
      <c r="G140" s="6"/>
      <c r="H140" s="6"/>
      <c r="I140" s="6"/>
      <c r="M140" s="6"/>
      <c r="N140" s="6"/>
      <c r="O140" s="6"/>
      <c r="P140" s="6"/>
      <c r="Q140" s="6"/>
      <c r="R140" s="6"/>
      <c r="S140" s="6"/>
      <c r="T140" s="6"/>
      <c r="U140" s="6"/>
      <c r="V140" s="6"/>
    </row>
    <row r="141" spans="1:22" x14ac:dyDescent="0.25">
      <c r="A141" s="5"/>
      <c r="D141" s="6"/>
      <c r="E141" s="6"/>
      <c r="F141" s="6"/>
      <c r="G141" s="6"/>
      <c r="H141" s="6"/>
      <c r="I141" s="6"/>
      <c r="M141" s="6"/>
      <c r="N141" s="6"/>
      <c r="O141" s="6"/>
      <c r="P141" s="6"/>
      <c r="Q141" s="6"/>
      <c r="R141" s="6"/>
      <c r="S141" s="6"/>
      <c r="T141" s="6"/>
      <c r="U141" s="6"/>
      <c r="V141" s="6"/>
    </row>
    <row r="142" spans="1:22" x14ac:dyDescent="0.25">
      <c r="A142" s="5"/>
      <c r="D142" s="6"/>
      <c r="E142" s="6"/>
      <c r="F142" s="6"/>
      <c r="G142" s="6"/>
      <c r="H142" s="6"/>
      <c r="I142" s="6"/>
      <c r="M142" s="6"/>
      <c r="N142" s="6"/>
      <c r="O142" s="6"/>
      <c r="P142" s="6"/>
      <c r="Q142" s="6"/>
      <c r="R142" s="6"/>
      <c r="S142" s="6"/>
      <c r="T142" s="6"/>
      <c r="U142" s="6"/>
      <c r="V142" s="6"/>
    </row>
    <row r="143" spans="1:22" x14ac:dyDescent="0.25">
      <c r="A143" s="5"/>
      <c r="D143" s="6"/>
      <c r="E143" s="6"/>
      <c r="F143" s="6"/>
      <c r="G143" s="6"/>
      <c r="H143" s="6"/>
      <c r="I143" s="6"/>
      <c r="M143" s="6"/>
      <c r="N143" s="6"/>
      <c r="O143" s="6"/>
      <c r="P143" s="6"/>
      <c r="Q143" s="6"/>
      <c r="R143" s="6"/>
      <c r="S143" s="6"/>
      <c r="T143" s="6"/>
      <c r="U143" s="6"/>
      <c r="V143" s="6"/>
    </row>
    <row r="144" spans="1:22" x14ac:dyDescent="0.25">
      <c r="A144" s="5"/>
      <c r="D144" s="6"/>
      <c r="E144" s="6"/>
      <c r="F144" s="6"/>
      <c r="G144" s="6"/>
      <c r="H144" s="6"/>
      <c r="I144" s="6"/>
      <c r="M144" s="6"/>
      <c r="N144" s="6"/>
      <c r="O144" s="6"/>
      <c r="P144" s="6"/>
      <c r="Q144" s="6"/>
      <c r="R144" s="6"/>
      <c r="S144" s="6"/>
      <c r="T144" s="6"/>
      <c r="U144" s="6"/>
      <c r="V144" s="6"/>
    </row>
    <row r="145" spans="1:22" x14ac:dyDescent="0.25">
      <c r="A145" s="5"/>
      <c r="D145" s="6"/>
      <c r="E145" s="6"/>
      <c r="F145" s="6"/>
      <c r="G145" s="6"/>
      <c r="H145" s="6"/>
      <c r="I145" s="6"/>
      <c r="M145" s="6"/>
      <c r="N145" s="6"/>
      <c r="O145" s="6"/>
      <c r="P145" s="6"/>
      <c r="Q145" s="6"/>
      <c r="R145" s="6"/>
      <c r="S145" s="6"/>
      <c r="T145" s="6"/>
      <c r="U145" s="6"/>
      <c r="V145" s="6"/>
    </row>
    <row r="146" spans="1:22" x14ac:dyDescent="0.25">
      <c r="A146" s="5"/>
      <c r="D146" s="6"/>
      <c r="E146" s="6"/>
      <c r="F146" s="6"/>
      <c r="G146" s="6"/>
      <c r="H146" s="6"/>
      <c r="I146" s="6"/>
      <c r="M146" s="6"/>
      <c r="N146" s="6"/>
      <c r="O146" s="6"/>
      <c r="P146" s="6"/>
      <c r="Q146" s="6"/>
      <c r="R146" s="6"/>
      <c r="S146" s="6"/>
      <c r="T146" s="6"/>
      <c r="U146" s="6"/>
      <c r="V146" s="6"/>
    </row>
    <row r="147" spans="1:22" x14ac:dyDescent="0.25">
      <c r="A147" s="5"/>
      <c r="D147" s="6"/>
      <c r="E147" s="6"/>
      <c r="F147" s="6"/>
      <c r="G147" s="6"/>
      <c r="H147" s="6"/>
      <c r="I147" s="6"/>
      <c r="M147" s="6"/>
      <c r="N147" s="6"/>
      <c r="O147" s="6"/>
      <c r="P147" s="6"/>
      <c r="Q147" s="6"/>
      <c r="R147" s="6"/>
      <c r="S147" s="6"/>
      <c r="T147" s="6"/>
      <c r="U147" s="6"/>
      <c r="V147" s="6"/>
    </row>
    <row r="148" spans="1:22" x14ac:dyDescent="0.25">
      <c r="A148" s="5"/>
      <c r="D148" s="6"/>
      <c r="E148" s="6"/>
      <c r="F148" s="6"/>
      <c r="G148" s="6"/>
      <c r="H148" s="6"/>
      <c r="I148" s="6"/>
      <c r="M148" s="6"/>
      <c r="N148" s="6"/>
      <c r="O148" s="6"/>
      <c r="P148" s="6"/>
      <c r="Q148" s="6"/>
      <c r="R148" s="6"/>
      <c r="S148" s="6"/>
      <c r="T148" s="6"/>
      <c r="U148" s="6"/>
      <c r="V148" s="6"/>
    </row>
    <row r="149" spans="1:22" x14ac:dyDescent="0.25">
      <c r="A149" s="5"/>
      <c r="D149" s="6"/>
      <c r="E149" s="6"/>
      <c r="F149" s="6"/>
      <c r="G149" s="6"/>
      <c r="H149" s="6"/>
      <c r="I149" s="6"/>
      <c r="M149" s="6"/>
      <c r="N149" s="6"/>
      <c r="O149" s="6"/>
      <c r="P149" s="6"/>
      <c r="Q149" s="6"/>
      <c r="R149" s="6"/>
      <c r="S149" s="6"/>
      <c r="T149" s="6"/>
      <c r="U149" s="6"/>
      <c r="V149" s="6"/>
    </row>
    <row r="150" spans="1:22" x14ac:dyDescent="0.25">
      <c r="A150" s="5"/>
      <c r="D150" s="6"/>
      <c r="E150" s="6"/>
      <c r="F150" s="6"/>
      <c r="G150" s="6"/>
      <c r="H150" s="6"/>
      <c r="I150" s="6"/>
      <c r="M150" s="6"/>
      <c r="N150" s="6"/>
      <c r="O150" s="6"/>
      <c r="P150" s="6"/>
      <c r="Q150" s="6"/>
      <c r="R150" s="6"/>
      <c r="S150" s="6"/>
      <c r="T150" s="6"/>
      <c r="U150" s="6"/>
      <c r="V150" s="6"/>
    </row>
    <row r="151" spans="1:22" x14ac:dyDescent="0.25">
      <c r="A151" s="5"/>
      <c r="D151" s="6"/>
      <c r="E151" s="6"/>
      <c r="F151" s="6"/>
      <c r="G151" s="6"/>
      <c r="H151" s="6"/>
      <c r="I151" s="6"/>
      <c r="M151" s="6"/>
      <c r="N151" s="6"/>
      <c r="O151" s="6"/>
      <c r="P151" s="6"/>
      <c r="Q151" s="6"/>
      <c r="R151" s="6"/>
      <c r="S151" s="6"/>
      <c r="T151" s="6"/>
      <c r="U151" s="6"/>
      <c r="V151" s="6"/>
    </row>
    <row r="152" spans="1:22" x14ac:dyDescent="0.25">
      <c r="A152" s="5"/>
      <c r="D152" s="6"/>
      <c r="E152" s="6"/>
      <c r="F152" s="6"/>
      <c r="G152" s="6"/>
      <c r="H152" s="6"/>
      <c r="I152" s="6"/>
      <c r="M152" s="6"/>
      <c r="N152" s="6"/>
      <c r="O152" s="6"/>
      <c r="P152" s="6"/>
      <c r="Q152" s="6"/>
      <c r="R152" s="6"/>
      <c r="S152" s="6"/>
      <c r="T152" s="6"/>
      <c r="U152" s="6"/>
      <c r="V152" s="6"/>
    </row>
    <row r="153" spans="1:22" x14ac:dyDescent="0.25">
      <c r="A153" s="5"/>
      <c r="D153" s="6"/>
      <c r="E153" s="6"/>
      <c r="F153" s="6"/>
      <c r="G153" s="6"/>
      <c r="H153" s="6"/>
      <c r="I153" s="6"/>
      <c r="M153" s="6"/>
      <c r="N153" s="6"/>
      <c r="O153" s="6"/>
      <c r="P153" s="6"/>
      <c r="Q153" s="6"/>
      <c r="R153" s="6"/>
      <c r="S153" s="6"/>
      <c r="T153" s="6"/>
      <c r="U153" s="6"/>
      <c r="V153" s="6"/>
    </row>
    <row r="154" spans="1:22" x14ac:dyDescent="0.25">
      <c r="A154" s="5"/>
      <c r="D154" s="6"/>
      <c r="E154" s="6"/>
      <c r="F154" s="6"/>
      <c r="G154" s="6"/>
      <c r="H154" s="6"/>
      <c r="I154" s="6"/>
      <c r="M154" s="6"/>
      <c r="N154" s="6"/>
      <c r="O154" s="6"/>
      <c r="P154" s="6"/>
      <c r="Q154" s="6"/>
      <c r="R154" s="6"/>
      <c r="S154" s="6"/>
      <c r="T154" s="6"/>
      <c r="U154" s="6"/>
      <c r="V154" s="6"/>
    </row>
    <row r="155" spans="1:22" x14ac:dyDescent="0.25">
      <c r="A155" s="5"/>
      <c r="D155" s="6"/>
      <c r="E155" s="6"/>
      <c r="F155" s="6"/>
      <c r="G155" s="6"/>
      <c r="H155" s="6"/>
      <c r="I155" s="6"/>
      <c r="M155" s="6"/>
      <c r="N155" s="6"/>
      <c r="O155" s="6"/>
      <c r="P155" s="6"/>
      <c r="Q155" s="6"/>
      <c r="R155" s="6"/>
      <c r="S155" s="6"/>
      <c r="T155" s="6"/>
      <c r="U155" s="6"/>
      <c r="V155" s="6"/>
    </row>
    <row r="156" spans="1:22" x14ac:dyDescent="0.25">
      <c r="A156" s="5"/>
      <c r="D156" s="6"/>
      <c r="E156" s="6"/>
      <c r="F156" s="6"/>
      <c r="G156" s="6"/>
      <c r="H156" s="6"/>
      <c r="I156" s="6"/>
      <c r="M156" s="6"/>
      <c r="N156" s="6"/>
      <c r="O156" s="6"/>
      <c r="P156" s="6"/>
      <c r="Q156" s="6"/>
      <c r="R156" s="6"/>
      <c r="S156" s="6"/>
      <c r="T156" s="6"/>
      <c r="U156" s="6"/>
      <c r="V156" s="6"/>
    </row>
    <row r="157" spans="1:22" x14ac:dyDescent="0.25">
      <c r="A157" s="5"/>
      <c r="D157" s="6"/>
      <c r="E157" s="6"/>
      <c r="F157" s="6"/>
      <c r="G157" s="6"/>
      <c r="H157" s="6"/>
      <c r="I157" s="6"/>
      <c r="M157" s="6"/>
      <c r="N157" s="6"/>
      <c r="O157" s="6"/>
      <c r="P157" s="6"/>
      <c r="Q157" s="6"/>
      <c r="R157" s="6"/>
      <c r="S157" s="6"/>
      <c r="T157" s="6"/>
      <c r="U157" s="6"/>
      <c r="V157" s="6"/>
    </row>
    <row r="158" spans="1:22" x14ac:dyDescent="0.25">
      <c r="A158" s="5"/>
      <c r="D158" s="6"/>
      <c r="E158" s="6"/>
      <c r="F158" s="6"/>
      <c r="G158" s="6"/>
      <c r="H158" s="6"/>
      <c r="I158" s="6"/>
      <c r="M158" s="6"/>
      <c r="N158" s="6"/>
      <c r="O158" s="6"/>
      <c r="P158" s="6"/>
      <c r="Q158" s="6"/>
      <c r="R158" s="6"/>
      <c r="S158" s="6"/>
      <c r="T158" s="6"/>
      <c r="U158" s="6"/>
      <c r="V158" s="6"/>
    </row>
    <row r="159" spans="1:22" x14ac:dyDescent="0.25">
      <c r="A159" s="5"/>
      <c r="D159" s="6"/>
      <c r="E159" s="6"/>
      <c r="F159" s="6"/>
      <c r="G159" s="6"/>
      <c r="H159" s="6"/>
      <c r="I159" s="6"/>
      <c r="M159" s="6"/>
      <c r="N159" s="6"/>
      <c r="O159" s="6"/>
      <c r="P159" s="6"/>
      <c r="Q159" s="6"/>
      <c r="R159" s="6"/>
      <c r="S159" s="6"/>
      <c r="T159" s="6"/>
      <c r="U159" s="6"/>
      <c r="V159" s="6"/>
    </row>
    <row r="160" spans="1:22" x14ac:dyDescent="0.25">
      <c r="A160" s="5"/>
      <c r="D160" s="6"/>
      <c r="E160" s="6"/>
      <c r="F160" s="6"/>
      <c r="G160" s="6"/>
      <c r="H160" s="6"/>
      <c r="I160" s="6"/>
      <c r="M160" s="6"/>
      <c r="N160" s="6"/>
      <c r="O160" s="6"/>
      <c r="P160" s="6"/>
      <c r="Q160" s="6"/>
      <c r="R160" s="6"/>
      <c r="S160" s="6"/>
      <c r="T160" s="6"/>
      <c r="U160" s="6"/>
      <c r="V160" s="6"/>
    </row>
    <row r="161" spans="1:22" x14ac:dyDescent="0.25">
      <c r="A161" s="5"/>
      <c r="D161" s="6"/>
      <c r="E161" s="6"/>
      <c r="F161" s="6"/>
      <c r="G161" s="6"/>
      <c r="H161" s="6"/>
      <c r="I161" s="6"/>
      <c r="M161" s="6"/>
      <c r="N161" s="6"/>
      <c r="O161" s="6"/>
      <c r="P161" s="6"/>
      <c r="Q161" s="6"/>
      <c r="R161" s="6"/>
      <c r="S161" s="6"/>
      <c r="T161" s="6"/>
      <c r="U161" s="6"/>
      <c r="V161" s="6"/>
    </row>
    <row r="162" spans="1:22" x14ac:dyDescent="0.25">
      <c r="A162" s="5"/>
      <c r="D162" s="6"/>
      <c r="E162" s="6"/>
      <c r="F162" s="6"/>
      <c r="G162" s="6"/>
      <c r="H162" s="6"/>
      <c r="I162" s="6"/>
      <c r="M162" s="6"/>
      <c r="N162" s="6"/>
      <c r="O162" s="6"/>
      <c r="P162" s="6"/>
      <c r="Q162" s="6"/>
      <c r="R162" s="6"/>
      <c r="S162" s="6"/>
      <c r="T162" s="6"/>
      <c r="U162" s="6"/>
      <c r="V162" s="6"/>
    </row>
    <row r="163" spans="1:22" x14ac:dyDescent="0.25">
      <c r="A163" s="5"/>
      <c r="D163" s="6"/>
      <c r="E163" s="6"/>
      <c r="F163" s="6"/>
      <c r="G163" s="6"/>
      <c r="H163" s="6"/>
      <c r="I163" s="6"/>
      <c r="M163" s="6"/>
      <c r="N163" s="6"/>
      <c r="O163" s="6"/>
      <c r="P163" s="6"/>
      <c r="Q163" s="6"/>
      <c r="R163" s="6"/>
      <c r="S163" s="6"/>
      <c r="T163" s="6"/>
      <c r="U163" s="6"/>
      <c r="V163" s="6"/>
    </row>
    <row r="164" spans="1:22" x14ac:dyDescent="0.25">
      <c r="A164" s="5"/>
      <c r="D164" s="6"/>
      <c r="E164" s="6"/>
      <c r="F164" s="6"/>
      <c r="G164" s="6"/>
      <c r="H164" s="6"/>
      <c r="I164" s="6"/>
      <c r="M164" s="6"/>
      <c r="N164" s="6"/>
      <c r="O164" s="6"/>
      <c r="P164" s="6"/>
      <c r="Q164" s="6"/>
      <c r="R164" s="6"/>
      <c r="S164" s="6"/>
      <c r="T164" s="6"/>
      <c r="U164" s="6"/>
      <c r="V164" s="6"/>
    </row>
    <row r="165" spans="1:22" x14ac:dyDescent="0.25">
      <c r="A165" s="5"/>
      <c r="D165" s="6"/>
      <c r="E165" s="6"/>
      <c r="F165" s="6"/>
      <c r="G165" s="6"/>
      <c r="H165" s="6"/>
      <c r="I165" s="6"/>
      <c r="M165" s="6"/>
      <c r="N165" s="6"/>
      <c r="O165" s="6"/>
      <c r="P165" s="6"/>
      <c r="Q165" s="6"/>
      <c r="R165" s="6"/>
      <c r="S165" s="6"/>
      <c r="T165" s="6"/>
      <c r="U165" s="6"/>
      <c r="V165" s="6"/>
    </row>
    <row r="166" spans="1:22" x14ac:dyDescent="0.25">
      <c r="A166" s="5"/>
      <c r="D166" s="6"/>
      <c r="E166" s="6"/>
      <c r="F166" s="6"/>
      <c r="G166" s="6"/>
      <c r="H166" s="6"/>
      <c r="I166" s="6"/>
      <c r="M166" s="6"/>
      <c r="N166" s="6"/>
      <c r="O166" s="6"/>
      <c r="P166" s="6"/>
      <c r="Q166" s="6"/>
      <c r="R166" s="6"/>
      <c r="S166" s="6"/>
      <c r="T166" s="6"/>
      <c r="U166" s="6"/>
      <c r="V166" s="6"/>
    </row>
  </sheetData>
  <mergeCells count="9">
    <mergeCell ref="J2:L2"/>
    <mergeCell ref="M2:O2"/>
    <mergeCell ref="A23:V24"/>
    <mergeCell ref="R2:S2"/>
    <mergeCell ref="D1:V1"/>
    <mergeCell ref="D2:F2"/>
    <mergeCell ref="T2:V2"/>
    <mergeCell ref="G2:I2"/>
    <mergeCell ref="P2:Q2"/>
  </mergeCells>
  <phoneticPr fontId="23" type="noConversion"/>
  <conditionalFormatting sqref="D25:F67 M25:Q67 W22:AM22">
    <cfRule type="cellIs" dxfId="349" priority="178" stopIfTrue="1" operator="equal">
      <formula>3</formula>
    </cfRule>
  </conditionalFormatting>
  <conditionalFormatting sqref="W21:AO21">
    <cfRule type="cellIs" dxfId="348" priority="179" stopIfTrue="1" operator="equal">
      <formula>3</formula>
    </cfRule>
    <cfRule type="cellIs" dxfId="347" priority="180" stopIfTrue="1" operator="equal">
      <formula>4</formula>
    </cfRule>
  </conditionalFormatting>
  <conditionalFormatting sqref="R25:S67">
    <cfRule type="cellIs" dxfId="346" priority="172" stopIfTrue="1" operator="equal">
      <formula>3</formula>
    </cfRule>
  </conditionalFormatting>
  <conditionalFormatting sqref="T25:V67">
    <cfRule type="cellIs" dxfId="345" priority="146" stopIfTrue="1" operator="equal">
      <formula>3</formula>
    </cfRule>
  </conditionalFormatting>
  <conditionalFormatting sqref="AN22:AO22">
    <cfRule type="cellIs" dxfId="344" priority="131" stopIfTrue="1" operator="equal">
      <formula>3</formula>
    </cfRule>
  </conditionalFormatting>
  <conditionalFormatting sqref="G25:I67">
    <cfRule type="cellIs" dxfId="343" priority="83" stopIfTrue="1" operator="equal">
      <formula>3</formula>
    </cfRule>
  </conditionalFormatting>
  <conditionalFormatting sqref="D14:V22">
    <cfRule type="cellIs" dxfId="342" priority="13" stopIfTrue="1" operator="equal">
      <formula>4</formula>
    </cfRule>
    <cfRule type="cellIs" dxfId="341" priority="14" stopIfTrue="1" operator="equal">
      <formula>3</formula>
    </cfRule>
    <cfRule type="cellIs" dxfId="340" priority="15" stopIfTrue="1" operator="equal">
      <formula>2</formula>
    </cfRule>
  </conditionalFormatting>
  <conditionalFormatting sqref="D6:V13">
    <cfRule type="cellIs" dxfId="339" priority="1" stopIfTrue="1" operator="equal">
      <formula>4</formula>
    </cfRule>
    <cfRule type="cellIs" dxfId="338" priority="2" stopIfTrue="1" operator="equal">
      <formula>3</formula>
    </cfRule>
    <cfRule type="cellIs" dxfId="337"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2:V22 U21:V21 D21 F21:T21"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6">
    <tabColor indexed="10"/>
  </sheetPr>
  <dimension ref="A1:W164"/>
  <sheetViews>
    <sheetView zoomScale="104" workbookViewId="0">
      <pane xSplit="1" ySplit="3" topLeftCell="B4" activePane="bottomRight" state="frozenSplit"/>
      <selection activeCell="B42" sqref="B42"/>
      <selection pane="topRight" activeCell="B42" sqref="B42"/>
      <selection pane="bottomLeft" activeCell="B42" sqref="B42"/>
      <selection pane="bottomRight" activeCell="I18" sqref="I18"/>
    </sheetView>
  </sheetViews>
  <sheetFormatPr baseColWidth="10" defaultColWidth="11.44140625" defaultRowHeight="12.6" outlineLevelCol="1" x14ac:dyDescent="0.25"/>
  <cols>
    <col min="1" max="1" width="29.33203125" style="4" customWidth="1"/>
    <col min="2" max="2" width="24.5546875" style="5" customWidth="1" outlineLevel="1"/>
    <col min="3" max="3" width="2.6640625" style="5" customWidth="1" outlineLevel="1"/>
    <col min="4" max="6" width="5.5546875" style="7" customWidth="1"/>
    <col min="7" max="8" width="6.109375" style="7" customWidth="1" collapsed="1"/>
    <col min="9" max="10" width="6.109375" style="7" customWidth="1"/>
    <col min="11" max="11" width="11.33203125" style="7" customWidth="1"/>
    <col min="12" max="12" width="7.44140625" style="7" customWidth="1"/>
    <col min="13" max="21" width="7.44140625" style="686" hidden="1" customWidth="1"/>
    <col min="22" max="22" width="7.44140625" style="3" customWidth="1"/>
    <col min="23" max="70" width="9.109375" style="3" customWidth="1"/>
    <col min="71" max="16384" width="11.44140625" style="3"/>
  </cols>
  <sheetData>
    <row r="1" spans="1:23" ht="12.75" customHeight="1" x14ac:dyDescent="0.25">
      <c r="A1" s="974" t="s">
        <v>577</v>
      </c>
      <c r="B1" s="1010"/>
      <c r="C1" s="1011"/>
      <c r="D1" s="1262" t="s">
        <v>3193</v>
      </c>
      <c r="E1" s="1262"/>
      <c r="F1" s="1262"/>
      <c r="G1" s="1262"/>
      <c r="H1" s="1262"/>
      <c r="I1" s="1262"/>
      <c r="J1" s="1262"/>
      <c r="K1" s="1262"/>
      <c r="L1" s="1263"/>
    </row>
    <row r="2" spans="1:23" s="4" customFormat="1" ht="60.75" customHeight="1" x14ac:dyDescent="0.2">
      <c r="A2" s="977" t="s">
        <v>208</v>
      </c>
      <c r="B2" s="978" t="s">
        <v>578</v>
      </c>
      <c r="C2" s="979" t="s">
        <v>2184</v>
      </c>
      <c r="D2" s="1266" t="s">
        <v>420</v>
      </c>
      <c r="E2" s="1267"/>
      <c r="F2" s="1267"/>
      <c r="G2" s="1266" t="s">
        <v>1408</v>
      </c>
      <c r="H2" s="1268"/>
      <c r="I2" s="1266" t="s">
        <v>582</v>
      </c>
      <c r="J2" s="1267"/>
      <c r="K2" s="1012" t="s">
        <v>3194</v>
      </c>
      <c r="L2" s="1013" t="s">
        <v>3195</v>
      </c>
      <c r="M2" s="7"/>
      <c r="N2" s="7"/>
      <c r="O2" s="7"/>
      <c r="P2" s="7"/>
      <c r="Q2" s="7"/>
      <c r="R2" s="7"/>
      <c r="S2" s="7"/>
      <c r="T2" s="7"/>
      <c r="U2" s="7"/>
    </row>
    <row r="3" spans="1:23" s="4" customFormat="1" ht="18.75" customHeight="1" x14ac:dyDescent="0.2">
      <c r="A3" s="980"/>
      <c r="B3" s="981"/>
      <c r="C3" s="979"/>
      <c r="D3" s="1014" t="s">
        <v>539</v>
      </c>
      <c r="E3" s="1014" t="s">
        <v>268</v>
      </c>
      <c r="F3" s="1014" t="s">
        <v>309</v>
      </c>
      <c r="G3" s="1014" t="s">
        <v>539</v>
      </c>
      <c r="H3" s="1014" t="s">
        <v>268</v>
      </c>
      <c r="I3" s="1014" t="s">
        <v>539</v>
      </c>
      <c r="J3" s="1014" t="s">
        <v>268</v>
      </c>
      <c r="K3" s="1014" t="s">
        <v>357</v>
      </c>
      <c r="L3" s="1015" t="s">
        <v>357</v>
      </c>
      <c r="M3" s="7"/>
      <c r="N3" s="7"/>
      <c r="O3" s="7"/>
      <c r="P3" s="7"/>
      <c r="Q3" s="7"/>
      <c r="R3" s="7"/>
      <c r="S3" s="7"/>
      <c r="T3" s="7"/>
      <c r="U3" s="7"/>
    </row>
    <row r="4" spans="1:23" s="4" customFormat="1" ht="13.5" customHeight="1" x14ac:dyDescent="0.2">
      <c r="A4" s="986" t="s">
        <v>2186</v>
      </c>
      <c r="B4" s="987"/>
      <c r="C4" s="987"/>
      <c r="D4" s="989" t="s">
        <v>396</v>
      </c>
      <c r="E4" s="989" t="s">
        <v>396</v>
      </c>
      <c r="F4" s="989" t="s">
        <v>396</v>
      </c>
      <c r="G4" s="989" t="s">
        <v>518</v>
      </c>
      <c r="H4" s="989" t="s">
        <v>518</v>
      </c>
      <c r="I4" s="989" t="s">
        <v>313</v>
      </c>
      <c r="J4" s="989" t="s">
        <v>313</v>
      </c>
      <c r="K4" s="989" t="s">
        <v>3196</v>
      </c>
      <c r="L4" s="990" t="s">
        <v>3197</v>
      </c>
      <c r="M4" s="7"/>
      <c r="N4" s="7"/>
      <c r="O4" s="7"/>
      <c r="P4" s="7"/>
      <c r="Q4" s="7"/>
      <c r="R4" s="7"/>
      <c r="S4" s="7"/>
      <c r="T4" s="7"/>
      <c r="U4" s="7"/>
    </row>
    <row r="5" spans="1:23" s="4" customFormat="1" ht="10.199999999999999" x14ac:dyDescent="0.2">
      <c r="A5" s="991" t="s">
        <v>260</v>
      </c>
      <c r="B5" s="992"/>
      <c r="C5" s="992"/>
      <c r="D5" s="993"/>
      <c r="E5" s="993"/>
      <c r="F5" s="993"/>
      <c r="G5" s="993"/>
      <c r="H5" s="993"/>
      <c r="I5" s="993"/>
      <c r="J5" s="993"/>
      <c r="K5" s="993"/>
      <c r="L5" s="994"/>
      <c r="M5" s="7"/>
      <c r="N5" s="7"/>
      <c r="O5" s="7"/>
      <c r="P5" s="7"/>
      <c r="Q5" s="7"/>
      <c r="R5" s="7"/>
      <c r="S5" s="7"/>
      <c r="T5" s="7"/>
      <c r="U5" s="7"/>
    </row>
    <row r="6" spans="1:23" s="4" customFormat="1" ht="15" customHeight="1" x14ac:dyDescent="0.2">
      <c r="A6" s="1016" t="str">
        <f>'T1'!A6</f>
        <v>Domaine 1 : Prospection et inscription</v>
      </c>
      <c r="B6" s="1017" t="str">
        <f>IF('T1'!B6="","",'T1'!B6)</f>
        <v>Présenter l’offre de formation et inscrire les apprenants (identités, coordonnées)</v>
      </c>
      <c r="C6" s="1018">
        <f>'T1'!C6</f>
        <v>1</v>
      </c>
      <c r="D6" s="998"/>
      <c r="E6" s="998"/>
      <c r="F6" s="998"/>
      <c r="G6" s="998">
        <v>2</v>
      </c>
      <c r="H6" s="998">
        <v>2</v>
      </c>
      <c r="I6" s="998"/>
      <c r="J6" s="998"/>
      <c r="K6" s="998">
        <v>2</v>
      </c>
      <c r="L6" s="998"/>
      <c r="M6" s="7" t="str">
        <f>IF($C6=1,IF(D6&gt;0,D6,""),"")</f>
        <v/>
      </c>
      <c r="N6" s="7" t="str">
        <f t="shared" ref="N6:U6" si="0">IF($C6=1,IF(E6&gt;0,E6,""),"")</f>
        <v/>
      </c>
      <c r="O6" s="7" t="str">
        <f t="shared" si="0"/>
        <v/>
      </c>
      <c r="P6" s="7">
        <f t="shared" si="0"/>
        <v>2</v>
      </c>
      <c r="Q6" s="7">
        <f t="shared" si="0"/>
        <v>2</v>
      </c>
      <c r="R6" s="7" t="str">
        <f t="shared" si="0"/>
        <v/>
      </c>
      <c r="S6" s="7" t="str">
        <f t="shared" si="0"/>
        <v/>
      </c>
      <c r="T6" s="7">
        <f t="shared" si="0"/>
        <v>2</v>
      </c>
      <c r="U6" s="7" t="str">
        <f t="shared" si="0"/>
        <v/>
      </c>
      <c r="W6" s="4" t="str">
        <f>IF('T1'!B8="","",'T1'!B8)</f>
        <v>Dispenser les formations à distance ou hybrides via la plateforme LMS, la visioconférence et la messagerie</v>
      </c>
    </row>
    <row r="7" spans="1:23" s="4" customFormat="1" ht="15" customHeight="1" x14ac:dyDescent="0.2">
      <c r="A7" s="1016" t="str">
        <f>'T1'!A7</f>
        <v>Domaine 2 : Gestion administrative et financement</v>
      </c>
      <c r="B7" s="1017" t="str">
        <f>IF('T1'!B7="","",'T1'!B7)</f>
        <v>Gérer les dossiers administratifs des apprenants, leurs dossiers de financement et les contrats</v>
      </c>
      <c r="C7" s="1018">
        <f>'T1'!C7</f>
        <v>1</v>
      </c>
      <c r="D7" s="998"/>
      <c r="E7" s="998"/>
      <c r="F7" s="998"/>
      <c r="G7" s="998">
        <v>2</v>
      </c>
      <c r="H7" s="998">
        <v>2</v>
      </c>
      <c r="I7" s="998"/>
      <c r="J7" s="998"/>
      <c r="K7" s="998">
        <v>2</v>
      </c>
      <c r="L7" s="999"/>
      <c r="M7" s="7" t="str">
        <f t="shared" ref="M7:M20" si="1">IF($C7=1,IF(D7&gt;0,D7,""),"")</f>
        <v/>
      </c>
      <c r="N7" s="7" t="str">
        <f t="shared" ref="N7:N20" si="2">IF($C7=1,IF(E7&gt;0,E7,""),"")</f>
        <v/>
      </c>
      <c r="O7" s="7" t="str">
        <f t="shared" ref="O7:O20" si="3">IF($C7=1,IF(F7&gt;0,F7,""),"")</f>
        <v/>
      </c>
      <c r="P7" s="7">
        <f t="shared" ref="P7:P20" si="4">IF($C7=1,IF(G7&gt;0,G7,""),"")</f>
        <v>2</v>
      </c>
      <c r="Q7" s="7">
        <f t="shared" ref="Q7:Q20" si="5">IF($C7=1,IF(H7&gt;0,H7,""),"")</f>
        <v>2</v>
      </c>
      <c r="R7" s="7" t="str">
        <f t="shared" ref="R7:R20" si="6">IF($C7=1,IF(I7&gt;0,I7,""),"")</f>
        <v/>
      </c>
      <c r="S7" s="7" t="str">
        <f t="shared" ref="S7:S20" si="7">IF($C7=1,IF(J7&gt;0,J7,""),"")</f>
        <v/>
      </c>
      <c r="T7" s="7">
        <f t="shared" ref="T7:T20" si="8">IF($C7=1,IF(K7&gt;0,K7,""),"")</f>
        <v>2</v>
      </c>
      <c r="U7" s="7" t="str">
        <f t="shared" ref="U7:U20" si="9">IF($C7=1,IF(L7&gt;0,L7,""),"")</f>
        <v/>
      </c>
    </row>
    <row r="8" spans="1:23" s="4" customFormat="1" ht="14.25" customHeight="1" x14ac:dyDescent="0.2">
      <c r="A8" s="1016" t="str">
        <f>'T1'!A8</f>
        <v>Domaine 3 : Délivrance des formations</v>
      </c>
      <c r="B8" s="1017" t="str">
        <f>IF('T1'!B8="","",'T1'!B8)</f>
        <v>Dispenser les formations à distance ou hybrides via la plateforme LMS, la visioconférence et la messagerie</v>
      </c>
      <c r="C8" s="1018">
        <f>'T1'!C8</f>
        <v>1</v>
      </c>
      <c r="D8" s="998"/>
      <c r="E8" s="998"/>
      <c r="F8" s="998"/>
      <c r="G8" s="998">
        <v>3</v>
      </c>
      <c r="H8" s="998">
        <v>2</v>
      </c>
      <c r="I8" s="998"/>
      <c r="J8" s="998"/>
      <c r="K8" s="998"/>
      <c r="L8" s="999"/>
      <c r="M8" s="7" t="str">
        <f t="shared" si="1"/>
        <v/>
      </c>
      <c r="N8" s="7" t="str">
        <f t="shared" si="2"/>
        <v/>
      </c>
      <c r="O8" s="7" t="str">
        <f t="shared" si="3"/>
        <v/>
      </c>
      <c r="P8" s="7">
        <f t="shared" si="4"/>
        <v>3</v>
      </c>
      <c r="Q8" s="7">
        <f t="shared" si="5"/>
        <v>2</v>
      </c>
      <c r="R8" s="7" t="str">
        <f t="shared" si="6"/>
        <v/>
      </c>
      <c r="S8" s="7" t="str">
        <f t="shared" si="7"/>
        <v/>
      </c>
      <c r="T8" s="7" t="str">
        <f t="shared" si="8"/>
        <v/>
      </c>
      <c r="U8" s="7" t="str">
        <f t="shared" si="9"/>
        <v/>
      </c>
    </row>
    <row r="9" spans="1:23" s="4" customFormat="1" ht="15" customHeight="1" x14ac:dyDescent="0.2">
      <c r="A9" s="1016" t="str">
        <f>'T1'!A9</f>
        <v>Domaine 4 : Evaluation et attestation</v>
      </c>
      <c r="B9" s="1017" t="str">
        <f>IF('T1'!B9="","",'T1'!B9)</f>
        <v>Recueillir les feuilles d’émargement et les résultats d’évaluation</v>
      </c>
      <c r="C9" s="1018">
        <f>'T1'!C9</f>
        <v>1</v>
      </c>
      <c r="D9" s="998"/>
      <c r="E9" s="998"/>
      <c r="F9" s="998"/>
      <c r="G9" s="998">
        <v>2</v>
      </c>
      <c r="H9" s="998">
        <v>2</v>
      </c>
      <c r="I9" s="998"/>
      <c r="J9" s="998"/>
      <c r="K9" s="998"/>
      <c r="L9" s="999"/>
      <c r="M9" s="7" t="str">
        <f t="shared" si="1"/>
        <v/>
      </c>
      <c r="N9" s="7" t="str">
        <f t="shared" si="2"/>
        <v/>
      </c>
      <c r="O9" s="7" t="str">
        <f t="shared" si="3"/>
        <v/>
      </c>
      <c r="P9" s="7">
        <f t="shared" si="4"/>
        <v>2</v>
      </c>
      <c r="Q9" s="7">
        <f t="shared" si="5"/>
        <v>2</v>
      </c>
      <c r="R9" s="7" t="str">
        <f t="shared" si="6"/>
        <v/>
      </c>
      <c r="S9" s="7" t="str">
        <f t="shared" si="7"/>
        <v/>
      </c>
      <c r="T9" s="7" t="str">
        <f t="shared" si="8"/>
        <v/>
      </c>
      <c r="U9" s="7" t="str">
        <f t="shared" si="9"/>
        <v/>
      </c>
    </row>
    <row r="10" spans="1:23" s="4" customFormat="1" ht="20.399999999999999" x14ac:dyDescent="0.2">
      <c r="A10" s="1016" t="str">
        <f>'T1'!A10</f>
        <v>Domaine 5 : Facturation et encaissement</v>
      </c>
      <c r="B10" s="1017" t="str">
        <f>IF('T1'!B10="","",'T1'!B10)</f>
        <v>Établir les factures avec la solution de facturation</v>
      </c>
      <c r="C10" s="1018">
        <f>'T1'!C10</f>
        <v>1</v>
      </c>
      <c r="D10" s="998"/>
      <c r="E10" s="998"/>
      <c r="F10" s="998"/>
      <c r="G10" s="998">
        <v>2</v>
      </c>
      <c r="H10" s="998">
        <v>2</v>
      </c>
      <c r="I10" s="998"/>
      <c r="J10" s="998"/>
      <c r="K10" s="998">
        <v>2</v>
      </c>
      <c r="L10" s="999"/>
      <c r="M10" s="7" t="str">
        <f t="shared" si="1"/>
        <v/>
      </c>
      <c r="N10" s="7" t="str">
        <f t="shared" si="2"/>
        <v/>
      </c>
      <c r="O10" s="7" t="str">
        <f t="shared" si="3"/>
        <v/>
      </c>
      <c r="P10" s="7">
        <f t="shared" si="4"/>
        <v>2</v>
      </c>
      <c r="Q10" s="7">
        <f t="shared" si="5"/>
        <v>2</v>
      </c>
      <c r="R10" s="7" t="str">
        <f t="shared" si="6"/>
        <v/>
      </c>
      <c r="S10" s="7" t="str">
        <f t="shared" si="7"/>
        <v/>
      </c>
      <c r="T10" s="7">
        <f t="shared" si="8"/>
        <v>2</v>
      </c>
      <c r="U10" s="7" t="str">
        <f t="shared" si="9"/>
        <v/>
      </c>
    </row>
    <row r="11" spans="1:23" s="4" customFormat="1" ht="15.75" customHeight="1" x14ac:dyDescent="0.2">
      <c r="A11" s="1016" t="str">
        <f>'T1'!A11</f>
        <v>Domaine 6 : Gestion RH</v>
      </c>
      <c r="B11" s="1017" t="str">
        <f>IF('T1'!B11="","",'T1'!B11)</f>
        <v>Gérer les données de ressources humaines du personnel</v>
      </c>
      <c r="C11" s="1018">
        <f>'T1'!C11</f>
        <v>1</v>
      </c>
      <c r="D11" s="998">
        <v>2</v>
      </c>
      <c r="E11" s="998">
        <v>2</v>
      </c>
      <c r="F11" s="998"/>
      <c r="G11" s="998"/>
      <c r="H11" s="998"/>
      <c r="I11" s="998"/>
      <c r="J11" s="998"/>
      <c r="K11" s="998">
        <v>2</v>
      </c>
      <c r="L11" s="999"/>
      <c r="M11" s="7">
        <f t="shared" si="1"/>
        <v>2</v>
      </c>
      <c r="N11" s="7">
        <f t="shared" si="2"/>
        <v>2</v>
      </c>
      <c r="O11" s="7" t="str">
        <f t="shared" si="3"/>
        <v/>
      </c>
      <c r="P11" s="7" t="str">
        <f t="shared" si="4"/>
        <v/>
      </c>
      <c r="Q11" s="7" t="str">
        <f t="shared" si="5"/>
        <v/>
      </c>
      <c r="R11" s="7" t="str">
        <f t="shared" si="6"/>
        <v/>
      </c>
      <c r="S11" s="7" t="str">
        <f t="shared" si="7"/>
        <v/>
      </c>
      <c r="T11" s="7">
        <f t="shared" si="8"/>
        <v>2</v>
      </c>
      <c r="U11" s="7" t="str">
        <f t="shared" si="9"/>
        <v/>
      </c>
    </row>
    <row r="12" spans="1:23" s="4" customFormat="1" ht="14.25" customHeight="1" x14ac:dyDescent="0.2">
      <c r="A12" s="1016" t="str">
        <f>'T1'!A12</f>
        <v>Domaine 7 : Exploitation du SI</v>
      </c>
      <c r="B12" s="1017" t="str">
        <f>IF('T1'!B12="","",'T1'!B12)</f>
        <v>Faire fonctionner le NAS, les serveurs virtuels, les postes de travail, les comptes à privilèges, les sauvegardes et les équipements réseau</v>
      </c>
      <c r="C12" s="1018">
        <f>'T1'!C12</f>
        <v>1</v>
      </c>
      <c r="D12" s="998">
        <v>2</v>
      </c>
      <c r="E12" s="998">
        <v>2</v>
      </c>
      <c r="F12" s="998"/>
      <c r="G12" s="998"/>
      <c r="H12" s="998"/>
      <c r="I12" s="998"/>
      <c r="J12" s="998"/>
      <c r="K12" s="998"/>
      <c r="L12" s="999"/>
      <c r="M12" s="7">
        <f t="shared" si="1"/>
        <v>2</v>
      </c>
      <c r="N12" s="7">
        <f t="shared" si="2"/>
        <v>2</v>
      </c>
      <c r="O12" s="7" t="str">
        <f t="shared" si="3"/>
        <v/>
      </c>
      <c r="P12" s="7" t="str">
        <f t="shared" si="4"/>
        <v/>
      </c>
      <c r="Q12" s="7" t="str">
        <f t="shared" si="5"/>
        <v/>
      </c>
      <c r="R12" s="7" t="str">
        <f t="shared" si="6"/>
        <v/>
      </c>
      <c r="S12" s="7" t="str">
        <f t="shared" si="7"/>
        <v/>
      </c>
      <c r="T12" s="7" t="str">
        <f t="shared" si="8"/>
        <v/>
      </c>
      <c r="U12" s="7" t="str">
        <f t="shared" si="9"/>
        <v/>
      </c>
    </row>
    <row r="13" spans="1:23" s="4" customFormat="1" ht="20.399999999999999" x14ac:dyDescent="0.2">
      <c r="A13" s="1016" t="str">
        <f>'T1'!A13</f>
        <v xml:space="preserve">Domaine 8 : Communication et site vitrine </v>
      </c>
      <c r="B13" s="1017" t="str">
        <f>IF('T1'!B13="","",'T1'!B13)</f>
        <v>Présenter l’offre de formation au public sur le site vitrine</v>
      </c>
      <c r="C13" s="1018">
        <f>'T1'!C13</f>
        <v>1</v>
      </c>
      <c r="D13" s="998"/>
      <c r="E13" s="998"/>
      <c r="F13" s="998"/>
      <c r="G13" s="998"/>
      <c r="H13" s="998"/>
      <c r="I13" s="998">
        <v>2</v>
      </c>
      <c r="J13" s="998">
        <v>2</v>
      </c>
      <c r="K13" s="998"/>
      <c r="L13" s="999"/>
      <c r="M13" s="7" t="str">
        <f t="shared" si="1"/>
        <v/>
      </c>
      <c r="N13" s="7" t="str">
        <f t="shared" si="2"/>
        <v/>
      </c>
      <c r="O13" s="7" t="str">
        <f t="shared" si="3"/>
        <v/>
      </c>
      <c r="P13" s="7" t="str">
        <f t="shared" si="4"/>
        <v/>
      </c>
      <c r="Q13" s="7" t="str">
        <f t="shared" si="5"/>
        <v/>
      </c>
      <c r="R13" s="7">
        <f t="shared" si="6"/>
        <v>2</v>
      </c>
      <c r="S13" s="7">
        <f t="shared" si="7"/>
        <v>2</v>
      </c>
      <c r="T13" s="7" t="str">
        <f t="shared" si="8"/>
        <v/>
      </c>
      <c r="U13" s="7" t="str">
        <f t="shared" si="9"/>
        <v/>
      </c>
    </row>
    <row r="14" spans="1:23" s="4" customFormat="1" ht="30.6" x14ac:dyDescent="0.2">
      <c r="A14" s="1016" t="str">
        <f>'T1'!A14</f>
        <v>Domaine 9 : Gestion des données personnelles, contractuelles et financières</v>
      </c>
      <c r="B14" s="1017" t="str">
        <f>IF('T1'!B14="","",'T1'!B14)</f>
        <v>Conserver et protéger les données des apprenants, les contrats, les factures et les données RH</v>
      </c>
      <c r="C14" s="1018">
        <f>'T1'!C13</f>
        <v>1</v>
      </c>
      <c r="D14" s="998"/>
      <c r="E14" s="998"/>
      <c r="F14" s="998"/>
      <c r="G14" s="998"/>
      <c r="H14" s="998"/>
      <c r="I14" s="998"/>
      <c r="J14" s="998"/>
      <c r="K14" s="998">
        <v>2</v>
      </c>
      <c r="L14" s="999"/>
      <c r="M14" s="7" t="str">
        <f t="shared" ref="M14:U14" si="10">IF($C14=1,IF(D14&gt;0,D14,""),"")</f>
        <v/>
      </c>
      <c r="N14" s="7" t="str">
        <f t="shared" si="10"/>
        <v/>
      </c>
      <c r="O14" s="7" t="str">
        <f t="shared" si="10"/>
        <v/>
      </c>
      <c r="P14" s="7" t="str">
        <f t="shared" si="10"/>
        <v/>
      </c>
      <c r="Q14" s="7" t="str">
        <f t="shared" si="10"/>
        <v/>
      </c>
      <c r="R14" s="7" t="str">
        <f t="shared" si="10"/>
        <v/>
      </c>
      <c r="S14" s="7" t="str">
        <f t="shared" si="10"/>
        <v/>
      </c>
      <c r="T14" s="7">
        <f t="shared" si="10"/>
        <v>2</v>
      </c>
      <c r="U14" s="7" t="str">
        <f t="shared" si="10"/>
        <v/>
      </c>
    </row>
    <row r="15" spans="1:23" s="4" customFormat="1" ht="30.6" x14ac:dyDescent="0.2">
      <c r="A15" s="1016" t="str">
        <f>'T1'!A15</f>
        <v>Domaine 10 : Travail à distance des équipes</v>
      </c>
      <c r="B15" s="1017" t="str">
        <f>IF('T1'!B15="","",'T1'!B15)</f>
        <v>Permettre aux salariés et formateurs de travailler hors des locaux via l’accès distant</v>
      </c>
      <c r="C15" s="1018">
        <f>'T1'!C14</f>
        <v>1</v>
      </c>
      <c r="D15" s="998">
        <v>2</v>
      </c>
      <c r="E15" s="998">
        <v>2</v>
      </c>
      <c r="F15" s="998"/>
      <c r="G15" s="998"/>
      <c r="H15" s="998"/>
      <c r="I15" s="998"/>
      <c r="J15" s="998"/>
      <c r="K15" s="998"/>
      <c r="L15" s="999"/>
      <c r="M15" s="7">
        <f t="shared" si="1"/>
        <v>2</v>
      </c>
      <c r="N15" s="7">
        <f t="shared" si="2"/>
        <v>2</v>
      </c>
      <c r="O15" s="7" t="str">
        <f t="shared" si="3"/>
        <v/>
      </c>
      <c r="P15" s="7" t="str">
        <f t="shared" si="4"/>
        <v/>
      </c>
      <c r="Q15" s="7" t="str">
        <f t="shared" si="5"/>
        <v/>
      </c>
      <c r="R15" s="7" t="str">
        <f t="shared" si="6"/>
        <v/>
      </c>
      <c r="S15" s="7" t="str">
        <f t="shared" si="7"/>
        <v/>
      </c>
      <c r="T15" s="7" t="str">
        <f t="shared" si="8"/>
        <v/>
      </c>
      <c r="U15" s="7" t="str">
        <f t="shared" si="9"/>
        <v/>
      </c>
    </row>
    <row r="16" spans="1:23" ht="13.2" x14ac:dyDescent="0.25">
      <c r="A16" s="991" t="str">
        <f>'T1'!A16</f>
        <v>Processus transverses</v>
      </c>
      <c r="B16" s="1017" t="str">
        <f>IF('T1'!B16="","",'T1'!B16)</f>
        <v/>
      </c>
      <c r="C16" s="1018"/>
      <c r="D16" s="998"/>
      <c r="E16" s="998"/>
      <c r="F16" s="998"/>
      <c r="G16" s="998"/>
      <c r="H16" s="998"/>
      <c r="I16" s="998"/>
      <c r="J16" s="998"/>
      <c r="K16" s="998"/>
      <c r="L16" s="999"/>
      <c r="M16" s="7" t="str">
        <f t="shared" si="1"/>
        <v/>
      </c>
      <c r="N16" s="7" t="str">
        <f t="shared" si="2"/>
        <v/>
      </c>
      <c r="O16" s="7" t="str">
        <f t="shared" si="3"/>
        <v/>
      </c>
      <c r="P16" s="7" t="str">
        <f t="shared" si="4"/>
        <v/>
      </c>
      <c r="Q16" s="7" t="str">
        <f t="shared" si="5"/>
        <v/>
      </c>
      <c r="R16" s="7" t="str">
        <f t="shared" si="6"/>
        <v/>
      </c>
      <c r="S16" s="7" t="str">
        <f t="shared" si="7"/>
        <v/>
      </c>
      <c r="T16" s="7" t="str">
        <f t="shared" si="8"/>
        <v/>
      </c>
      <c r="U16" s="7" t="str">
        <f t="shared" si="9"/>
        <v/>
      </c>
    </row>
    <row r="17" spans="1:21" ht="30.6" x14ac:dyDescent="0.25">
      <c r="A17" s="1016" t="str">
        <f>'T1'!A17</f>
        <v>Processus 1 : Messagerie et stockage collaboratif</v>
      </c>
      <c r="B17" s="1017" t="str">
        <f>IF('T1'!B17="","",'T1'!B17)</f>
        <v>Fournir la messagerie et le stockage collaboratif utilisés par toutes les activités</v>
      </c>
      <c r="C17" s="1018">
        <f>'T1'!C17</f>
        <v>1</v>
      </c>
      <c r="D17" s="998"/>
      <c r="E17" s="998"/>
      <c r="F17" s="998"/>
      <c r="G17" s="998">
        <v>3</v>
      </c>
      <c r="H17" s="998">
        <v>2</v>
      </c>
      <c r="I17" s="998"/>
      <c r="J17" s="998"/>
      <c r="K17" s="998"/>
      <c r="L17" s="999"/>
      <c r="M17" s="7" t="str">
        <f t="shared" si="1"/>
        <v/>
      </c>
      <c r="N17" s="7" t="str">
        <f t="shared" si="2"/>
        <v/>
      </c>
      <c r="O17" s="7" t="str">
        <f t="shared" si="3"/>
        <v/>
      </c>
      <c r="P17" s="7">
        <f t="shared" si="4"/>
        <v>3</v>
      </c>
      <c r="Q17" s="7">
        <f t="shared" si="5"/>
        <v>2</v>
      </c>
      <c r="R17" s="7" t="str">
        <f t="shared" si="6"/>
        <v/>
      </c>
      <c r="S17" s="7" t="str">
        <f t="shared" si="7"/>
        <v/>
      </c>
      <c r="T17" s="7" t="str">
        <f t="shared" si="8"/>
        <v/>
      </c>
      <c r="U17" s="7" t="str">
        <f t="shared" si="9"/>
        <v/>
      </c>
    </row>
    <row r="18" spans="1:21" ht="20.399999999999999" x14ac:dyDescent="0.25">
      <c r="A18" s="1016" t="str">
        <f>'T1'!A18</f>
        <v>Processus 2 : Sauvegardes et restauration</v>
      </c>
      <c r="B18" s="1017" t="str">
        <f>IF('T1'!B18="","",'T1'!B18)</f>
        <v>Sauvegarder les données et pouvoir les restaurer après incident</v>
      </c>
      <c r="C18" s="1018">
        <f>'T1'!C18</f>
        <v>1</v>
      </c>
      <c r="D18" s="998">
        <v>2</v>
      </c>
      <c r="E18" s="998">
        <v>2</v>
      </c>
      <c r="F18" s="998"/>
      <c r="G18" s="998">
        <v>2</v>
      </c>
      <c r="H18" s="998"/>
      <c r="I18" s="998"/>
      <c r="J18" s="998"/>
      <c r="K18" s="998"/>
      <c r="L18" s="999"/>
      <c r="M18" s="7">
        <f t="shared" si="1"/>
        <v>2</v>
      </c>
      <c r="N18" s="7">
        <f t="shared" si="2"/>
        <v>2</v>
      </c>
      <c r="O18" s="7" t="str">
        <f t="shared" si="3"/>
        <v/>
      </c>
      <c r="P18" s="7">
        <f t="shared" si="4"/>
        <v>2</v>
      </c>
      <c r="Q18" s="7" t="str">
        <f t="shared" si="5"/>
        <v/>
      </c>
      <c r="R18" s="7" t="str">
        <f t="shared" si="6"/>
        <v/>
      </c>
      <c r="S18" s="7" t="str">
        <f t="shared" si="7"/>
        <v/>
      </c>
      <c r="T18" s="7" t="str">
        <f t="shared" si="8"/>
        <v/>
      </c>
      <c r="U18" s="7" t="str">
        <f t="shared" si="9"/>
        <v/>
      </c>
    </row>
    <row r="19" spans="1:21" ht="13.2" x14ac:dyDescent="0.25">
      <c r="A19" s="1016" t="str">
        <f>'T1'!A19</f>
        <v xml:space="preserve">Processus 3 : </v>
      </c>
      <c r="B19" s="1017" t="str">
        <f>IF('T1'!B19="","",'T1'!B19)</f>
        <v/>
      </c>
      <c r="C19" s="1018">
        <f>'T1'!C19</f>
        <v>0</v>
      </c>
      <c r="D19" s="998"/>
      <c r="E19" s="998"/>
      <c r="F19" s="998"/>
      <c r="G19" s="998"/>
      <c r="H19" s="998"/>
      <c r="I19" s="998"/>
      <c r="J19" s="998"/>
      <c r="K19" s="998"/>
      <c r="L19" s="999"/>
      <c r="M19" s="7" t="str">
        <f t="shared" si="1"/>
        <v/>
      </c>
      <c r="N19" s="7" t="str">
        <f t="shared" si="2"/>
        <v/>
      </c>
      <c r="O19" s="7" t="str">
        <f t="shared" si="3"/>
        <v/>
      </c>
      <c r="P19" s="7" t="str">
        <f t="shared" si="4"/>
        <v/>
      </c>
      <c r="Q19" s="7" t="str">
        <f t="shared" si="5"/>
        <v/>
      </c>
      <c r="R19" s="7" t="str">
        <f t="shared" si="6"/>
        <v/>
      </c>
      <c r="S19" s="7" t="str">
        <f t="shared" si="7"/>
        <v/>
      </c>
      <c r="T19" s="7" t="str">
        <f t="shared" si="8"/>
        <v/>
      </c>
      <c r="U19" s="7" t="str">
        <f t="shared" si="9"/>
        <v/>
      </c>
    </row>
    <row r="20" spans="1:21" ht="13.2" x14ac:dyDescent="0.25">
      <c r="A20" s="1016" t="str">
        <f>'T1'!A20</f>
        <v>Administration/ politique d'ensemble</v>
      </c>
      <c r="B20" s="1017" t="str">
        <f>IF('T1'!B20="","",'T1'!B20)</f>
        <v/>
      </c>
      <c r="C20" s="1018">
        <f>'T1'!C20</f>
        <v>0</v>
      </c>
      <c r="D20" s="998"/>
      <c r="E20" s="998"/>
      <c r="F20" s="998"/>
      <c r="G20" s="998"/>
      <c r="H20" s="998"/>
      <c r="I20" s="998"/>
      <c r="J20" s="998"/>
      <c r="K20" s="998"/>
      <c r="L20" s="999"/>
      <c r="M20" s="7" t="str">
        <f t="shared" si="1"/>
        <v/>
      </c>
      <c r="N20" s="7" t="str">
        <f t="shared" si="2"/>
        <v/>
      </c>
      <c r="O20" s="7" t="str">
        <f t="shared" si="3"/>
        <v/>
      </c>
      <c r="P20" s="7" t="str">
        <f t="shared" si="4"/>
        <v/>
      </c>
      <c r="Q20" s="7" t="str">
        <f t="shared" si="5"/>
        <v/>
      </c>
      <c r="R20" s="7" t="str">
        <f t="shared" si="6"/>
        <v/>
      </c>
      <c r="S20" s="7" t="str">
        <f t="shared" si="7"/>
        <v/>
      </c>
      <c r="T20" s="7" t="str">
        <f t="shared" si="8"/>
        <v/>
      </c>
      <c r="U20" s="7" t="str">
        <f t="shared" si="9"/>
        <v/>
      </c>
    </row>
    <row r="21" spans="1:21" ht="18.75" customHeight="1" x14ac:dyDescent="0.25">
      <c r="A21" s="1004" t="s">
        <v>2187</v>
      </c>
      <c r="B21" s="1019"/>
      <c r="C21" s="1020"/>
      <c r="D21" s="998">
        <f>IF(MAX(D6:D20)&gt;0,MAX(D6:D20),"")</f>
        <v>2</v>
      </c>
      <c r="E21" s="998">
        <f t="shared" ref="E21:L21" si="11">IF(MAX(E6:E20)&gt;0,MAX(E6:E20),"")</f>
        <v>2</v>
      </c>
      <c r="F21" s="998" t="str">
        <f t="shared" si="11"/>
        <v/>
      </c>
      <c r="G21" s="998">
        <f t="shared" si="11"/>
        <v>3</v>
      </c>
      <c r="H21" s="998">
        <f t="shared" si="11"/>
        <v>2</v>
      </c>
      <c r="I21" s="998">
        <f t="shared" si="11"/>
        <v>2</v>
      </c>
      <c r="J21" s="998">
        <f t="shared" si="11"/>
        <v>2</v>
      </c>
      <c r="K21" s="998">
        <f t="shared" si="11"/>
        <v>2</v>
      </c>
      <c r="L21" s="999" t="str">
        <f t="shared" si="11"/>
        <v/>
      </c>
      <c r="M21" s="6">
        <f>IF(MAX(M6:M20)&gt;0,MAX(M6:M20),"")</f>
        <v>2</v>
      </c>
      <c r="N21" s="6">
        <f t="shared" ref="N21:U21" si="12">IF(MAX(N6:N20)&gt;0,MAX(N6:N20),"")</f>
        <v>2</v>
      </c>
      <c r="O21" s="6" t="str">
        <f t="shared" si="12"/>
        <v/>
      </c>
      <c r="P21" s="6">
        <f t="shared" si="12"/>
        <v>3</v>
      </c>
      <c r="Q21" s="6">
        <f t="shared" si="12"/>
        <v>2</v>
      </c>
      <c r="R21" s="6">
        <f t="shared" si="12"/>
        <v>2</v>
      </c>
      <c r="S21" s="6">
        <f t="shared" si="12"/>
        <v>2</v>
      </c>
      <c r="T21" s="6">
        <f t="shared" si="12"/>
        <v>2</v>
      </c>
      <c r="U21" s="6" t="str">
        <f t="shared" si="12"/>
        <v/>
      </c>
    </row>
    <row r="22" spans="1:21" ht="27" customHeight="1" thickBot="1" x14ac:dyDescent="0.3">
      <c r="A22" s="1006" t="s">
        <v>2188</v>
      </c>
      <c r="B22" s="1021"/>
      <c r="C22" s="1022"/>
      <c r="D22" s="1008">
        <f>IF(M21="","",M21)</f>
        <v>2</v>
      </c>
      <c r="E22" s="1008">
        <f t="shared" ref="E22:L22" si="13">IF(N21="","",N21)</f>
        <v>2</v>
      </c>
      <c r="F22" s="1008" t="str">
        <f t="shared" si="13"/>
        <v/>
      </c>
      <c r="G22" s="1008">
        <f t="shared" si="13"/>
        <v>3</v>
      </c>
      <c r="H22" s="1008">
        <f t="shared" si="13"/>
        <v>2</v>
      </c>
      <c r="I22" s="1008">
        <f t="shared" si="13"/>
        <v>2</v>
      </c>
      <c r="J22" s="1008">
        <f t="shared" si="13"/>
        <v>2</v>
      </c>
      <c r="K22" s="1008">
        <f t="shared" si="13"/>
        <v>2</v>
      </c>
      <c r="L22" s="1008" t="str">
        <f t="shared" si="13"/>
        <v/>
      </c>
      <c r="M22" s="6"/>
      <c r="N22" s="6"/>
      <c r="O22" s="6"/>
      <c r="P22" s="6"/>
    </row>
    <row r="23" spans="1:21" ht="24" customHeight="1" x14ac:dyDescent="0.25">
      <c r="A23" s="1192" t="s">
        <v>2212</v>
      </c>
      <c r="B23" s="1193"/>
      <c r="C23" s="1193"/>
      <c r="D23" s="1193"/>
      <c r="E23" s="1193"/>
      <c r="F23" s="1193"/>
      <c r="G23" s="1193"/>
      <c r="H23" s="1193"/>
      <c r="I23" s="1193"/>
      <c r="J23" s="1193"/>
      <c r="K23" s="1193"/>
      <c r="L23" s="1193"/>
      <c r="M23" s="1264"/>
      <c r="N23" s="1264"/>
      <c r="O23" s="1264"/>
      <c r="P23" s="1264"/>
      <c r="Q23" s="1264"/>
      <c r="R23" s="1265"/>
      <c r="S23" s="1264"/>
    </row>
    <row r="24" spans="1:21" x14ac:dyDescent="0.25">
      <c r="A24" s="1193"/>
      <c r="B24" s="1193"/>
      <c r="C24" s="1193"/>
      <c r="D24" s="1193"/>
      <c r="E24" s="1193"/>
      <c r="F24" s="1193"/>
      <c r="G24" s="1193"/>
      <c r="H24" s="1193"/>
      <c r="I24" s="1193"/>
      <c r="J24" s="1193"/>
      <c r="K24" s="1193"/>
      <c r="L24" s="1193"/>
      <c r="M24" s="1193"/>
      <c r="N24" s="1193"/>
      <c r="O24" s="1193"/>
      <c r="P24" s="1193"/>
      <c r="Q24" s="1193"/>
      <c r="R24" s="1193"/>
      <c r="S24" s="1193"/>
    </row>
    <row r="25" spans="1:21" x14ac:dyDescent="0.25">
      <c r="A25" s="5"/>
      <c r="D25" s="6"/>
      <c r="E25" s="6"/>
      <c r="F25" s="6"/>
      <c r="G25" s="6"/>
      <c r="H25" s="6"/>
      <c r="I25" s="6"/>
      <c r="J25" s="6"/>
      <c r="K25" s="6"/>
      <c r="L25" s="6"/>
    </row>
    <row r="26" spans="1:21" x14ac:dyDescent="0.25">
      <c r="A26" s="5"/>
      <c r="D26" s="6"/>
      <c r="E26" s="6"/>
      <c r="F26" s="6"/>
      <c r="G26" s="6"/>
      <c r="H26" s="6"/>
      <c r="I26" s="6"/>
      <c r="J26" s="6"/>
      <c r="K26" s="6"/>
      <c r="L26" s="6"/>
    </row>
    <row r="27" spans="1:21" x14ac:dyDescent="0.25">
      <c r="A27" s="5"/>
      <c r="D27" s="6"/>
      <c r="E27" s="6"/>
      <c r="F27" s="6"/>
      <c r="G27" s="6"/>
      <c r="H27" s="6"/>
      <c r="I27" s="6"/>
      <c r="J27" s="6"/>
      <c r="K27" s="6"/>
      <c r="L27" s="6"/>
    </row>
    <row r="28" spans="1:21" x14ac:dyDescent="0.25">
      <c r="A28" s="5"/>
      <c r="D28" s="6"/>
      <c r="E28" s="6"/>
      <c r="F28" s="6"/>
      <c r="G28" s="6"/>
      <c r="H28" s="6"/>
      <c r="I28" s="6"/>
      <c r="J28" s="6"/>
      <c r="K28" s="6"/>
      <c r="L28" s="6"/>
    </row>
    <row r="29" spans="1:21" x14ac:dyDescent="0.25">
      <c r="A29" s="5"/>
      <c r="D29" s="6"/>
      <c r="E29" s="6"/>
      <c r="F29" s="6"/>
      <c r="G29" s="6"/>
      <c r="H29" s="6"/>
      <c r="I29" s="6"/>
      <c r="J29" s="6"/>
      <c r="K29" s="6"/>
      <c r="L29" s="6"/>
    </row>
    <row r="30" spans="1:21" x14ac:dyDescent="0.25">
      <c r="A30" s="5"/>
      <c r="D30" s="6"/>
      <c r="E30" s="6"/>
      <c r="F30" s="6"/>
      <c r="G30" s="6"/>
      <c r="H30" s="6"/>
      <c r="I30" s="6"/>
      <c r="J30" s="6"/>
      <c r="K30" s="6"/>
      <c r="L30" s="6"/>
    </row>
    <row r="31" spans="1:21" x14ac:dyDescent="0.25">
      <c r="A31" s="5"/>
      <c r="D31" s="6"/>
      <c r="E31" s="6"/>
      <c r="F31" s="6"/>
      <c r="G31" s="6"/>
      <c r="H31" s="6"/>
      <c r="I31" s="6"/>
      <c r="J31" s="6"/>
      <c r="K31" s="6"/>
      <c r="L31" s="6"/>
    </row>
    <row r="32" spans="1:21" x14ac:dyDescent="0.25">
      <c r="A32" s="5"/>
      <c r="D32" s="6"/>
      <c r="E32" s="6"/>
      <c r="F32" s="6"/>
      <c r="G32" s="6"/>
      <c r="H32" s="6"/>
      <c r="I32" s="6"/>
      <c r="J32" s="6"/>
      <c r="K32" s="6"/>
      <c r="L32" s="6"/>
    </row>
    <row r="33" spans="1:12" x14ac:dyDescent="0.25">
      <c r="A33" s="5"/>
      <c r="D33" s="6"/>
      <c r="E33" s="6"/>
      <c r="F33" s="6"/>
      <c r="G33" s="6"/>
      <c r="H33" s="6"/>
      <c r="I33" s="6"/>
      <c r="J33" s="6"/>
      <c r="K33" s="6"/>
      <c r="L33" s="6"/>
    </row>
    <row r="34" spans="1:12" x14ac:dyDescent="0.25">
      <c r="A34" s="5"/>
      <c r="D34" s="6"/>
      <c r="E34" s="6"/>
      <c r="F34" s="6"/>
      <c r="G34" s="6"/>
      <c r="H34" s="6"/>
      <c r="I34" s="6"/>
      <c r="J34" s="6"/>
      <c r="K34" s="6"/>
      <c r="L34" s="6"/>
    </row>
    <row r="35" spans="1:12" x14ac:dyDescent="0.25">
      <c r="A35" s="5"/>
      <c r="D35" s="6"/>
      <c r="E35" s="6"/>
      <c r="F35" s="6"/>
      <c r="G35" s="6"/>
      <c r="H35" s="6"/>
      <c r="I35" s="6"/>
      <c r="J35" s="6"/>
      <c r="K35" s="6"/>
      <c r="L35" s="6"/>
    </row>
    <row r="36" spans="1:12" x14ac:dyDescent="0.25">
      <c r="A36" s="5"/>
      <c r="D36" s="6"/>
      <c r="E36" s="6"/>
      <c r="F36" s="6"/>
      <c r="G36" s="6"/>
      <c r="H36" s="6"/>
      <c r="I36" s="6"/>
      <c r="J36" s="6"/>
      <c r="K36" s="6"/>
      <c r="L36" s="6"/>
    </row>
    <row r="37" spans="1:12" x14ac:dyDescent="0.25">
      <c r="A37" s="5"/>
      <c r="D37" s="6"/>
      <c r="E37" s="6"/>
      <c r="F37" s="6"/>
      <c r="G37" s="6"/>
      <c r="H37" s="6"/>
      <c r="I37" s="6"/>
      <c r="J37" s="6"/>
      <c r="K37" s="6"/>
      <c r="L37" s="6"/>
    </row>
    <row r="38" spans="1:12" x14ac:dyDescent="0.25">
      <c r="A38" s="5"/>
      <c r="D38" s="6"/>
      <c r="E38" s="6"/>
      <c r="F38" s="6"/>
      <c r="G38" s="6"/>
      <c r="H38" s="6"/>
      <c r="I38" s="6"/>
      <c r="J38" s="6"/>
      <c r="K38" s="6"/>
      <c r="L38" s="6"/>
    </row>
    <row r="39" spans="1:12" x14ac:dyDescent="0.25">
      <c r="A39" s="5"/>
      <c r="D39" s="6"/>
      <c r="E39" s="6"/>
      <c r="F39" s="6"/>
      <c r="G39" s="6"/>
      <c r="H39" s="6"/>
      <c r="I39" s="6"/>
      <c r="J39" s="6"/>
      <c r="K39" s="6"/>
      <c r="L39" s="6"/>
    </row>
    <row r="40" spans="1:12" x14ac:dyDescent="0.25">
      <c r="A40" s="5"/>
      <c r="D40" s="6"/>
      <c r="E40" s="6"/>
      <c r="F40" s="6"/>
      <c r="G40" s="6"/>
      <c r="H40" s="6"/>
      <c r="I40" s="6"/>
      <c r="J40" s="6"/>
      <c r="K40" s="6"/>
      <c r="L40" s="6"/>
    </row>
    <row r="41" spans="1:12" x14ac:dyDescent="0.25">
      <c r="A41" s="5"/>
      <c r="D41" s="6"/>
      <c r="E41" s="6"/>
      <c r="F41" s="6"/>
      <c r="G41" s="6"/>
      <c r="H41" s="6"/>
      <c r="I41" s="6"/>
      <c r="J41" s="6"/>
      <c r="K41" s="6"/>
      <c r="L41" s="6"/>
    </row>
    <row r="42" spans="1:12" x14ac:dyDescent="0.25">
      <c r="A42" s="5"/>
      <c r="D42" s="6"/>
      <c r="E42" s="6"/>
      <c r="F42" s="6"/>
      <c r="G42" s="6"/>
      <c r="H42" s="6"/>
      <c r="I42" s="6"/>
      <c r="J42" s="6"/>
      <c r="K42" s="6"/>
      <c r="L42" s="6"/>
    </row>
    <row r="43" spans="1:12" x14ac:dyDescent="0.25">
      <c r="A43" s="5"/>
      <c r="D43" s="6"/>
      <c r="E43" s="6"/>
      <c r="F43" s="6"/>
      <c r="G43" s="6"/>
      <c r="H43" s="6"/>
      <c r="I43" s="6"/>
      <c r="J43" s="6"/>
      <c r="K43" s="6"/>
      <c r="L43" s="6"/>
    </row>
    <row r="44" spans="1:12" x14ac:dyDescent="0.25">
      <c r="A44" s="5"/>
      <c r="D44" s="6"/>
      <c r="E44" s="6"/>
      <c r="F44" s="6"/>
      <c r="G44" s="6"/>
      <c r="H44" s="6"/>
      <c r="I44" s="6"/>
      <c r="J44" s="6"/>
      <c r="K44" s="6"/>
      <c r="L44" s="6"/>
    </row>
    <row r="45" spans="1:12" x14ac:dyDescent="0.25">
      <c r="A45" s="5"/>
      <c r="D45" s="6"/>
      <c r="E45" s="6"/>
      <c r="F45" s="6"/>
      <c r="G45" s="6"/>
      <c r="H45" s="6"/>
      <c r="I45" s="6"/>
      <c r="J45" s="6"/>
      <c r="K45" s="6"/>
      <c r="L45" s="6"/>
    </row>
    <row r="46" spans="1:12" x14ac:dyDescent="0.25">
      <c r="A46" s="5"/>
      <c r="D46" s="6"/>
      <c r="E46" s="6"/>
      <c r="F46" s="6"/>
      <c r="G46" s="6"/>
      <c r="H46" s="6"/>
      <c r="I46" s="6"/>
      <c r="J46" s="6"/>
      <c r="K46" s="6"/>
      <c r="L46" s="6"/>
    </row>
    <row r="47" spans="1:12" x14ac:dyDescent="0.25">
      <c r="A47" s="5"/>
      <c r="D47" s="6"/>
      <c r="E47" s="6"/>
      <c r="F47" s="6"/>
      <c r="G47" s="6"/>
      <c r="H47" s="6"/>
      <c r="I47" s="6"/>
      <c r="J47" s="6"/>
      <c r="K47" s="6"/>
      <c r="L47" s="6"/>
    </row>
    <row r="48" spans="1:12" x14ac:dyDescent="0.25">
      <c r="A48" s="5"/>
      <c r="D48" s="6"/>
      <c r="E48" s="6"/>
      <c r="F48" s="6"/>
      <c r="G48" s="6"/>
      <c r="H48" s="6"/>
      <c r="I48" s="6"/>
      <c r="J48" s="6"/>
      <c r="K48" s="6"/>
      <c r="L48" s="6"/>
    </row>
    <row r="49" spans="1:12" x14ac:dyDescent="0.25">
      <c r="A49" s="5"/>
      <c r="D49" s="6"/>
      <c r="E49" s="6"/>
      <c r="F49" s="6"/>
      <c r="G49" s="6"/>
      <c r="H49" s="6"/>
      <c r="I49" s="6"/>
      <c r="J49" s="6"/>
      <c r="K49" s="6"/>
      <c r="L49" s="6"/>
    </row>
    <row r="50" spans="1:12" x14ac:dyDescent="0.25">
      <c r="A50" s="5"/>
      <c r="D50" s="6"/>
      <c r="E50" s="6"/>
      <c r="F50" s="6"/>
      <c r="G50" s="6"/>
      <c r="H50" s="6"/>
      <c r="I50" s="6"/>
      <c r="J50" s="6"/>
      <c r="K50" s="6"/>
      <c r="L50" s="6"/>
    </row>
    <row r="51" spans="1:12" x14ac:dyDescent="0.25">
      <c r="A51" s="5"/>
      <c r="D51" s="6"/>
      <c r="E51" s="6"/>
      <c r="F51" s="6"/>
      <c r="G51" s="6"/>
      <c r="H51" s="6"/>
      <c r="I51" s="6"/>
      <c r="J51" s="6"/>
      <c r="K51" s="6"/>
      <c r="L51" s="6"/>
    </row>
    <row r="52" spans="1:12" x14ac:dyDescent="0.25">
      <c r="A52" s="5"/>
      <c r="D52" s="6"/>
      <c r="E52" s="6"/>
      <c r="F52" s="6"/>
      <c r="G52" s="6"/>
      <c r="H52" s="6"/>
      <c r="I52" s="6"/>
      <c r="J52" s="6"/>
      <c r="K52" s="6"/>
      <c r="L52" s="6"/>
    </row>
    <row r="53" spans="1:12" x14ac:dyDescent="0.25">
      <c r="A53" s="5"/>
      <c r="D53" s="6"/>
      <c r="E53" s="6"/>
      <c r="F53" s="6"/>
      <c r="G53" s="6"/>
      <c r="H53" s="6"/>
      <c r="I53" s="6"/>
      <c r="J53" s="6"/>
      <c r="K53" s="6"/>
      <c r="L53" s="6"/>
    </row>
    <row r="54" spans="1:12" x14ac:dyDescent="0.25">
      <c r="A54" s="5"/>
      <c r="D54" s="6"/>
      <c r="E54" s="6"/>
      <c r="F54" s="6"/>
      <c r="G54" s="6"/>
      <c r="H54" s="6"/>
      <c r="I54" s="6"/>
      <c r="J54" s="6"/>
      <c r="K54" s="6"/>
      <c r="L54" s="6"/>
    </row>
    <row r="55" spans="1:12" x14ac:dyDescent="0.25">
      <c r="A55" s="5"/>
      <c r="D55" s="6"/>
      <c r="E55" s="6"/>
      <c r="F55" s="6"/>
      <c r="G55" s="6"/>
      <c r="H55" s="6"/>
      <c r="I55" s="6"/>
      <c r="J55" s="6"/>
      <c r="K55" s="6"/>
      <c r="L55" s="6"/>
    </row>
    <row r="56" spans="1:12" x14ac:dyDescent="0.25">
      <c r="A56" s="5"/>
      <c r="D56" s="6"/>
      <c r="E56" s="6"/>
      <c r="F56" s="6"/>
      <c r="G56" s="6"/>
      <c r="H56" s="6"/>
      <c r="I56" s="6"/>
      <c r="J56" s="6"/>
      <c r="K56" s="6"/>
      <c r="L56" s="6"/>
    </row>
    <row r="57" spans="1:12" x14ac:dyDescent="0.25">
      <c r="A57" s="5"/>
      <c r="D57" s="6"/>
      <c r="E57" s="6"/>
      <c r="F57" s="6"/>
      <c r="G57" s="6"/>
      <c r="H57" s="6"/>
      <c r="I57" s="6"/>
      <c r="J57" s="6"/>
      <c r="K57" s="6"/>
      <c r="L57" s="6"/>
    </row>
    <row r="58" spans="1:12" x14ac:dyDescent="0.25">
      <c r="A58" s="5"/>
      <c r="D58" s="6"/>
      <c r="E58" s="6"/>
      <c r="F58" s="6"/>
      <c r="G58" s="6"/>
      <c r="H58" s="6"/>
      <c r="I58" s="6"/>
      <c r="J58" s="6"/>
      <c r="K58" s="6"/>
      <c r="L58" s="6"/>
    </row>
    <row r="59" spans="1:12" x14ac:dyDescent="0.25">
      <c r="A59" s="5"/>
      <c r="D59" s="6"/>
      <c r="E59" s="6"/>
      <c r="F59" s="6"/>
      <c r="G59" s="6"/>
      <c r="H59" s="6"/>
      <c r="I59" s="6"/>
      <c r="J59" s="6"/>
      <c r="K59" s="6"/>
      <c r="L59" s="6"/>
    </row>
    <row r="60" spans="1:12" x14ac:dyDescent="0.25">
      <c r="A60" s="5"/>
      <c r="D60" s="6"/>
      <c r="E60" s="6"/>
      <c r="F60" s="6"/>
      <c r="G60" s="6"/>
      <c r="H60" s="6"/>
      <c r="I60" s="6"/>
      <c r="J60" s="6"/>
      <c r="K60" s="6"/>
      <c r="L60" s="6"/>
    </row>
    <row r="61" spans="1:12" x14ac:dyDescent="0.25">
      <c r="A61" s="5"/>
      <c r="D61" s="6"/>
      <c r="E61" s="6"/>
      <c r="F61" s="6"/>
      <c r="G61" s="6"/>
      <c r="H61" s="6"/>
      <c r="I61" s="6"/>
      <c r="J61" s="6"/>
      <c r="K61" s="6"/>
      <c r="L61" s="6"/>
    </row>
    <row r="62" spans="1:12" x14ac:dyDescent="0.25">
      <c r="A62" s="5"/>
      <c r="D62" s="6"/>
      <c r="E62" s="6"/>
      <c r="F62" s="6"/>
      <c r="G62" s="6"/>
      <c r="H62" s="6"/>
      <c r="I62" s="6"/>
      <c r="J62" s="6"/>
      <c r="K62" s="6"/>
      <c r="L62" s="6"/>
    </row>
    <row r="63" spans="1:12" x14ac:dyDescent="0.25">
      <c r="A63" s="5"/>
      <c r="D63" s="6"/>
      <c r="E63" s="6"/>
      <c r="F63" s="6"/>
      <c r="G63" s="6"/>
      <c r="H63" s="6"/>
      <c r="I63" s="6"/>
      <c r="J63" s="6"/>
      <c r="K63" s="6"/>
      <c r="L63" s="6"/>
    </row>
    <row r="64" spans="1:12" x14ac:dyDescent="0.25">
      <c r="A64" s="5"/>
      <c r="D64" s="6"/>
      <c r="E64" s="6"/>
      <c r="F64" s="6"/>
      <c r="G64" s="6"/>
      <c r="H64" s="6"/>
      <c r="I64" s="6"/>
      <c r="J64" s="6"/>
      <c r="K64" s="6"/>
      <c r="L64" s="6"/>
    </row>
    <row r="65" spans="1:12" x14ac:dyDescent="0.25">
      <c r="A65" s="5"/>
      <c r="D65" s="6"/>
      <c r="E65" s="6"/>
      <c r="F65" s="6"/>
      <c r="G65" s="6"/>
      <c r="H65" s="6"/>
      <c r="I65" s="6"/>
      <c r="J65" s="6"/>
      <c r="K65" s="6"/>
      <c r="L65" s="6"/>
    </row>
    <row r="66" spans="1:12" x14ac:dyDescent="0.25">
      <c r="A66" s="5"/>
      <c r="D66" s="6"/>
      <c r="E66" s="6"/>
      <c r="F66" s="6"/>
      <c r="G66" s="6"/>
      <c r="H66" s="6"/>
      <c r="I66" s="6"/>
      <c r="J66" s="6"/>
      <c r="K66" s="6"/>
      <c r="L66" s="6"/>
    </row>
    <row r="67" spans="1:12" x14ac:dyDescent="0.25">
      <c r="A67" s="5"/>
      <c r="D67" s="6"/>
      <c r="E67" s="6"/>
      <c r="F67" s="6"/>
      <c r="G67" s="6"/>
      <c r="H67" s="6"/>
      <c r="I67" s="6"/>
      <c r="J67" s="6"/>
      <c r="K67" s="6"/>
      <c r="L67" s="6"/>
    </row>
    <row r="68" spans="1:12" x14ac:dyDescent="0.25">
      <c r="A68" s="5"/>
      <c r="D68" s="6"/>
      <c r="E68" s="6"/>
      <c r="F68" s="6"/>
      <c r="G68" s="6"/>
      <c r="H68" s="6"/>
      <c r="I68" s="6"/>
      <c r="J68" s="6"/>
      <c r="K68" s="6"/>
      <c r="L68" s="6"/>
    </row>
    <row r="69" spans="1:12" x14ac:dyDescent="0.25">
      <c r="A69" s="5"/>
      <c r="D69" s="6"/>
      <c r="E69" s="6"/>
      <c r="F69" s="6"/>
      <c r="G69" s="6"/>
      <c r="H69" s="6"/>
      <c r="I69" s="6"/>
      <c r="J69" s="6"/>
      <c r="K69" s="6"/>
      <c r="L69" s="6"/>
    </row>
    <row r="70" spans="1:12" x14ac:dyDescent="0.25">
      <c r="A70" s="5"/>
      <c r="D70" s="6"/>
      <c r="E70" s="6"/>
      <c r="F70" s="6"/>
      <c r="G70" s="6"/>
      <c r="H70" s="6"/>
      <c r="I70" s="6"/>
      <c r="J70" s="6"/>
      <c r="K70" s="6"/>
      <c r="L70" s="6"/>
    </row>
    <row r="71" spans="1:12" x14ac:dyDescent="0.25">
      <c r="A71" s="5"/>
      <c r="D71" s="6"/>
      <c r="E71" s="6"/>
      <c r="F71" s="6"/>
      <c r="G71" s="6"/>
      <c r="H71" s="6"/>
      <c r="I71" s="6"/>
      <c r="J71" s="6"/>
      <c r="K71" s="6"/>
      <c r="L71" s="6"/>
    </row>
    <row r="72" spans="1:12" x14ac:dyDescent="0.25">
      <c r="A72" s="5"/>
      <c r="D72" s="6"/>
      <c r="E72" s="6"/>
      <c r="F72" s="6"/>
      <c r="G72" s="6"/>
      <c r="H72" s="6"/>
      <c r="I72" s="6"/>
      <c r="J72" s="6"/>
      <c r="K72" s="6"/>
      <c r="L72" s="6"/>
    </row>
    <row r="73" spans="1:12" x14ac:dyDescent="0.25">
      <c r="A73" s="5"/>
      <c r="D73" s="6"/>
      <c r="E73" s="6"/>
      <c r="F73" s="6"/>
      <c r="G73" s="6"/>
      <c r="H73" s="6"/>
      <c r="I73" s="6"/>
      <c r="J73" s="6"/>
      <c r="K73" s="6"/>
      <c r="L73" s="6"/>
    </row>
    <row r="74" spans="1:12" x14ac:dyDescent="0.25">
      <c r="A74" s="5"/>
      <c r="D74" s="6"/>
      <c r="E74" s="6"/>
      <c r="F74" s="6"/>
      <c r="G74" s="6"/>
      <c r="H74" s="6"/>
      <c r="I74" s="6"/>
      <c r="J74" s="6"/>
      <c r="K74" s="6"/>
      <c r="L74" s="6"/>
    </row>
    <row r="75" spans="1:12" x14ac:dyDescent="0.25">
      <c r="A75" s="5"/>
      <c r="D75" s="6"/>
      <c r="E75" s="6"/>
      <c r="F75" s="6"/>
      <c r="G75" s="6"/>
      <c r="H75" s="6"/>
      <c r="I75" s="6"/>
      <c r="J75" s="6"/>
      <c r="K75" s="6"/>
      <c r="L75" s="6"/>
    </row>
    <row r="76" spans="1:12" x14ac:dyDescent="0.25">
      <c r="A76" s="5"/>
      <c r="D76" s="6"/>
      <c r="E76" s="6"/>
      <c r="F76" s="6"/>
      <c r="G76" s="6"/>
      <c r="H76" s="6"/>
      <c r="I76" s="6"/>
      <c r="J76" s="6"/>
      <c r="K76" s="6"/>
      <c r="L76" s="6"/>
    </row>
    <row r="77" spans="1:12" x14ac:dyDescent="0.25">
      <c r="A77" s="5"/>
      <c r="D77" s="6"/>
      <c r="E77" s="6"/>
      <c r="F77" s="6"/>
      <c r="G77" s="6"/>
      <c r="H77" s="6"/>
      <c r="I77" s="6"/>
      <c r="J77" s="6"/>
      <c r="K77" s="6"/>
      <c r="L77" s="6"/>
    </row>
    <row r="78" spans="1:12" x14ac:dyDescent="0.25">
      <c r="A78" s="5"/>
      <c r="D78" s="6"/>
      <c r="E78" s="6"/>
      <c r="F78" s="6"/>
      <c r="G78" s="6"/>
      <c r="H78" s="6"/>
      <c r="I78" s="6"/>
      <c r="J78" s="6"/>
      <c r="K78" s="6"/>
      <c r="L78" s="6"/>
    </row>
    <row r="79" spans="1:12" x14ac:dyDescent="0.25">
      <c r="A79" s="5"/>
      <c r="D79" s="6"/>
      <c r="E79" s="6"/>
      <c r="F79" s="6"/>
      <c r="G79" s="6"/>
      <c r="H79" s="6"/>
      <c r="I79" s="6"/>
      <c r="J79" s="6"/>
      <c r="K79" s="6"/>
      <c r="L79" s="6"/>
    </row>
    <row r="80" spans="1:12" x14ac:dyDescent="0.25">
      <c r="A80" s="5"/>
      <c r="D80" s="6"/>
      <c r="E80" s="6"/>
      <c r="F80" s="6"/>
      <c r="G80" s="6"/>
      <c r="H80" s="6"/>
      <c r="I80" s="6"/>
      <c r="J80" s="6"/>
      <c r="K80" s="6"/>
      <c r="L80" s="6"/>
    </row>
    <row r="81" spans="1:12" x14ac:dyDescent="0.25">
      <c r="A81" s="5"/>
      <c r="D81" s="6"/>
      <c r="E81" s="6"/>
      <c r="F81" s="6"/>
      <c r="G81" s="6"/>
      <c r="H81" s="6"/>
      <c r="I81" s="6"/>
      <c r="J81" s="6"/>
      <c r="K81" s="6"/>
      <c r="L81" s="6"/>
    </row>
    <row r="82" spans="1:12" x14ac:dyDescent="0.25">
      <c r="A82" s="5"/>
      <c r="D82" s="6"/>
      <c r="E82" s="6"/>
      <c r="F82" s="6"/>
      <c r="G82" s="6"/>
      <c r="H82" s="6"/>
      <c r="I82" s="6"/>
      <c r="J82" s="6"/>
      <c r="K82" s="6"/>
      <c r="L82" s="6"/>
    </row>
    <row r="83" spans="1:12" x14ac:dyDescent="0.25">
      <c r="A83" s="5"/>
      <c r="D83" s="6"/>
      <c r="E83" s="6"/>
      <c r="F83" s="6"/>
      <c r="G83" s="6"/>
      <c r="H83" s="6"/>
      <c r="I83" s="6"/>
      <c r="J83" s="6"/>
      <c r="K83" s="6"/>
      <c r="L83" s="6"/>
    </row>
    <row r="84" spans="1:12" x14ac:dyDescent="0.25">
      <c r="A84" s="5"/>
      <c r="D84" s="6"/>
      <c r="E84" s="6"/>
      <c r="F84" s="6"/>
      <c r="G84" s="6"/>
      <c r="H84" s="6"/>
      <c r="I84" s="6"/>
      <c r="J84" s="6"/>
      <c r="K84" s="6"/>
      <c r="L84" s="6"/>
    </row>
    <row r="85" spans="1:12" x14ac:dyDescent="0.25">
      <c r="A85" s="5"/>
      <c r="D85" s="6"/>
      <c r="E85" s="6"/>
      <c r="F85" s="6"/>
      <c r="G85" s="6"/>
      <c r="H85" s="6"/>
      <c r="I85" s="6"/>
      <c r="J85" s="6"/>
      <c r="K85" s="6"/>
      <c r="L85" s="6"/>
    </row>
    <row r="86" spans="1:12" x14ac:dyDescent="0.25">
      <c r="A86" s="5"/>
      <c r="D86" s="6"/>
      <c r="E86" s="6"/>
      <c r="F86" s="6"/>
      <c r="G86" s="6"/>
      <c r="H86" s="6"/>
      <c r="I86" s="6"/>
      <c r="J86" s="6"/>
      <c r="K86" s="6"/>
      <c r="L86" s="6"/>
    </row>
    <row r="87" spans="1:12" x14ac:dyDescent="0.25">
      <c r="A87" s="5"/>
      <c r="D87" s="6"/>
      <c r="E87" s="6"/>
      <c r="F87" s="6"/>
      <c r="G87" s="6"/>
      <c r="H87" s="6"/>
      <c r="I87" s="6"/>
      <c r="J87" s="6"/>
      <c r="K87" s="6"/>
      <c r="L87" s="6"/>
    </row>
    <row r="88" spans="1:12" x14ac:dyDescent="0.25">
      <c r="A88" s="5"/>
      <c r="D88" s="6"/>
      <c r="E88" s="6"/>
      <c r="F88" s="6"/>
      <c r="G88" s="6"/>
      <c r="H88" s="6"/>
      <c r="I88" s="6"/>
      <c r="J88" s="6"/>
      <c r="K88" s="6"/>
      <c r="L88" s="6"/>
    </row>
    <row r="89" spans="1:12" x14ac:dyDescent="0.25">
      <c r="A89" s="5"/>
      <c r="D89" s="6"/>
      <c r="E89" s="6"/>
      <c r="F89" s="6"/>
      <c r="G89" s="6"/>
      <c r="H89" s="6"/>
      <c r="I89" s="6"/>
      <c r="J89" s="6"/>
      <c r="K89" s="6"/>
      <c r="L89" s="6"/>
    </row>
    <row r="90" spans="1:12" x14ac:dyDescent="0.25">
      <c r="A90" s="5"/>
      <c r="D90" s="6"/>
      <c r="E90" s="6"/>
      <c r="F90" s="6"/>
      <c r="G90" s="6"/>
      <c r="H90" s="6"/>
      <c r="I90" s="6"/>
      <c r="J90" s="6"/>
      <c r="K90" s="6"/>
      <c r="L90" s="6"/>
    </row>
    <row r="91" spans="1:12" x14ac:dyDescent="0.25">
      <c r="A91" s="5"/>
      <c r="D91" s="6"/>
      <c r="E91" s="6"/>
      <c r="F91" s="6"/>
      <c r="G91" s="6"/>
      <c r="H91" s="6"/>
      <c r="I91" s="6"/>
      <c r="J91" s="6"/>
      <c r="K91" s="6"/>
      <c r="L91" s="6"/>
    </row>
    <row r="92" spans="1:12" x14ac:dyDescent="0.25">
      <c r="A92" s="5"/>
      <c r="D92" s="6"/>
      <c r="E92" s="6"/>
      <c r="F92" s="6"/>
      <c r="G92" s="6"/>
      <c r="H92" s="6"/>
      <c r="I92" s="6"/>
      <c r="J92" s="6"/>
      <c r="K92" s="6"/>
      <c r="L92" s="6"/>
    </row>
    <row r="93" spans="1:12" x14ac:dyDescent="0.25">
      <c r="A93" s="5"/>
      <c r="D93" s="6"/>
      <c r="E93" s="6"/>
      <c r="F93" s="6"/>
      <c r="G93" s="6"/>
      <c r="H93" s="6"/>
      <c r="I93" s="6"/>
      <c r="J93" s="6"/>
      <c r="K93" s="6"/>
      <c r="L93" s="6"/>
    </row>
    <row r="94" spans="1:12" x14ac:dyDescent="0.25">
      <c r="A94" s="5"/>
      <c r="D94" s="6"/>
      <c r="E94" s="6"/>
      <c r="F94" s="6"/>
      <c r="G94" s="6"/>
      <c r="H94" s="6"/>
      <c r="I94" s="6"/>
      <c r="J94" s="6"/>
      <c r="K94" s="6"/>
      <c r="L94" s="6"/>
    </row>
    <row r="95" spans="1:12" x14ac:dyDescent="0.25">
      <c r="A95" s="5"/>
      <c r="D95" s="6"/>
      <c r="E95" s="6"/>
      <c r="F95" s="6"/>
      <c r="G95" s="6"/>
      <c r="H95" s="6"/>
      <c r="I95" s="6"/>
      <c r="J95" s="6"/>
      <c r="K95" s="6"/>
      <c r="L95" s="6"/>
    </row>
    <row r="96" spans="1:12" x14ac:dyDescent="0.25">
      <c r="A96" s="5"/>
      <c r="D96" s="6"/>
      <c r="E96" s="6"/>
      <c r="F96" s="6"/>
      <c r="G96" s="6"/>
      <c r="H96" s="6"/>
      <c r="I96" s="6"/>
      <c r="J96" s="6"/>
      <c r="K96" s="6"/>
      <c r="L96" s="6"/>
    </row>
    <row r="97" spans="1:12" x14ac:dyDescent="0.25">
      <c r="A97" s="5"/>
      <c r="D97" s="6"/>
      <c r="E97" s="6"/>
      <c r="F97" s="6"/>
      <c r="G97" s="6"/>
      <c r="H97" s="6"/>
      <c r="I97" s="6"/>
      <c r="J97" s="6"/>
      <c r="K97" s="6"/>
      <c r="L97" s="6"/>
    </row>
    <row r="98" spans="1:12" x14ac:dyDescent="0.25">
      <c r="A98" s="5"/>
      <c r="D98" s="6"/>
      <c r="E98" s="6"/>
      <c r="F98" s="6"/>
      <c r="G98" s="6"/>
      <c r="H98" s="6"/>
      <c r="I98" s="6"/>
      <c r="J98" s="6"/>
      <c r="K98" s="6"/>
      <c r="L98" s="6"/>
    </row>
    <row r="99" spans="1:12" x14ac:dyDescent="0.25">
      <c r="A99" s="5"/>
      <c r="D99" s="6"/>
      <c r="E99" s="6"/>
      <c r="F99" s="6"/>
      <c r="G99" s="6"/>
      <c r="H99" s="6"/>
      <c r="I99" s="6"/>
      <c r="J99" s="6"/>
      <c r="K99" s="6"/>
      <c r="L99" s="6"/>
    </row>
    <row r="100" spans="1:12" x14ac:dyDescent="0.25">
      <c r="A100" s="5"/>
      <c r="D100" s="6"/>
      <c r="E100" s="6"/>
      <c r="F100" s="6"/>
      <c r="G100" s="6"/>
      <c r="H100" s="6"/>
      <c r="I100" s="6"/>
      <c r="J100" s="6"/>
      <c r="K100" s="6"/>
      <c r="L100" s="6"/>
    </row>
    <row r="101" spans="1:12" x14ac:dyDescent="0.25">
      <c r="A101" s="5"/>
      <c r="D101" s="6"/>
      <c r="E101" s="6"/>
      <c r="F101" s="6"/>
      <c r="G101" s="6"/>
      <c r="H101" s="6"/>
      <c r="I101" s="6"/>
      <c r="J101" s="6"/>
      <c r="K101" s="6"/>
      <c r="L101" s="6"/>
    </row>
    <row r="102" spans="1:12" x14ac:dyDescent="0.25">
      <c r="A102" s="5"/>
      <c r="D102" s="6"/>
      <c r="E102" s="6"/>
      <c r="F102" s="6"/>
      <c r="G102" s="6"/>
      <c r="H102" s="6"/>
      <c r="I102" s="6"/>
      <c r="J102" s="6"/>
      <c r="K102" s="6"/>
      <c r="L102" s="6"/>
    </row>
    <row r="103" spans="1:12" x14ac:dyDescent="0.25">
      <c r="A103" s="5"/>
      <c r="D103" s="6"/>
      <c r="E103" s="6"/>
      <c r="F103" s="6"/>
      <c r="G103" s="6"/>
      <c r="H103" s="6"/>
      <c r="I103" s="6"/>
      <c r="J103" s="6"/>
      <c r="K103" s="6"/>
      <c r="L103" s="6"/>
    </row>
    <row r="104" spans="1:12" x14ac:dyDescent="0.25">
      <c r="A104" s="5"/>
      <c r="D104" s="6"/>
      <c r="E104" s="6"/>
      <c r="F104" s="6"/>
      <c r="G104" s="6"/>
      <c r="H104" s="6"/>
      <c r="I104" s="6"/>
      <c r="J104" s="6"/>
      <c r="K104" s="6"/>
      <c r="L104" s="6"/>
    </row>
    <row r="105" spans="1:12" x14ac:dyDescent="0.25">
      <c r="A105" s="5"/>
      <c r="D105" s="6"/>
      <c r="E105" s="6"/>
      <c r="F105" s="6"/>
      <c r="G105" s="6"/>
      <c r="H105" s="6"/>
      <c r="I105" s="6"/>
      <c r="J105" s="6"/>
      <c r="K105" s="6"/>
      <c r="L105" s="6"/>
    </row>
    <row r="106" spans="1:12" x14ac:dyDescent="0.25">
      <c r="A106" s="5"/>
      <c r="D106" s="6"/>
      <c r="E106" s="6"/>
      <c r="F106" s="6"/>
      <c r="G106" s="6"/>
      <c r="H106" s="6"/>
      <c r="I106" s="6"/>
      <c r="J106" s="6"/>
      <c r="K106" s="6"/>
      <c r="L106" s="6"/>
    </row>
    <row r="107" spans="1:12" x14ac:dyDescent="0.25">
      <c r="A107" s="5"/>
      <c r="D107" s="6"/>
      <c r="E107" s="6"/>
      <c r="F107" s="6"/>
      <c r="G107" s="6"/>
      <c r="H107" s="6"/>
      <c r="I107" s="6"/>
      <c r="J107" s="6"/>
      <c r="K107" s="6"/>
      <c r="L107" s="6"/>
    </row>
    <row r="108" spans="1:12" x14ac:dyDescent="0.25">
      <c r="A108" s="5"/>
      <c r="D108" s="6"/>
      <c r="E108" s="6"/>
      <c r="F108" s="6"/>
      <c r="G108" s="6"/>
      <c r="H108" s="6"/>
      <c r="I108" s="6"/>
      <c r="J108" s="6"/>
      <c r="K108" s="6"/>
      <c r="L108" s="6"/>
    </row>
    <row r="109" spans="1:12" x14ac:dyDescent="0.25">
      <c r="A109" s="5"/>
      <c r="D109" s="6"/>
      <c r="E109" s="6"/>
      <c r="F109" s="6"/>
      <c r="G109" s="6"/>
      <c r="H109" s="6"/>
      <c r="I109" s="6"/>
      <c r="J109" s="6"/>
      <c r="K109" s="6"/>
      <c r="L109" s="6"/>
    </row>
    <row r="110" spans="1:12" x14ac:dyDescent="0.25">
      <c r="A110" s="5"/>
      <c r="D110" s="6"/>
      <c r="E110" s="6"/>
      <c r="F110" s="6"/>
      <c r="G110" s="6"/>
      <c r="H110" s="6"/>
      <c r="I110" s="6"/>
      <c r="J110" s="6"/>
      <c r="K110" s="6"/>
      <c r="L110" s="6"/>
    </row>
    <row r="111" spans="1:12" x14ac:dyDescent="0.25">
      <c r="A111" s="5"/>
      <c r="D111" s="6"/>
      <c r="E111" s="6"/>
      <c r="F111" s="6"/>
      <c r="G111" s="6"/>
      <c r="H111" s="6"/>
      <c r="I111" s="6"/>
      <c r="J111" s="6"/>
      <c r="K111" s="6"/>
      <c r="L111" s="6"/>
    </row>
    <row r="112" spans="1:12" x14ac:dyDescent="0.25">
      <c r="A112" s="5"/>
      <c r="D112" s="6"/>
      <c r="E112" s="6"/>
      <c r="F112" s="6"/>
      <c r="G112" s="6"/>
      <c r="H112" s="6"/>
      <c r="I112" s="6"/>
      <c r="J112" s="6"/>
      <c r="K112" s="6"/>
      <c r="L112" s="6"/>
    </row>
    <row r="113" spans="1:12" x14ac:dyDescent="0.25">
      <c r="A113" s="5"/>
      <c r="D113" s="6"/>
      <c r="E113" s="6"/>
      <c r="F113" s="6"/>
      <c r="G113" s="6"/>
      <c r="H113" s="6"/>
      <c r="I113" s="6"/>
      <c r="J113" s="6"/>
      <c r="K113" s="6"/>
      <c r="L113" s="6"/>
    </row>
    <row r="114" spans="1:12" x14ac:dyDescent="0.25">
      <c r="A114" s="5"/>
      <c r="D114" s="6"/>
      <c r="E114" s="6"/>
      <c r="F114" s="6"/>
      <c r="G114" s="6"/>
      <c r="H114" s="6"/>
      <c r="I114" s="6"/>
      <c r="J114" s="6"/>
      <c r="K114" s="6"/>
      <c r="L114" s="6"/>
    </row>
    <row r="115" spans="1:12" x14ac:dyDescent="0.25">
      <c r="A115" s="5"/>
      <c r="D115" s="6"/>
      <c r="E115" s="6"/>
      <c r="F115" s="6"/>
      <c r="G115" s="6"/>
      <c r="H115" s="6"/>
      <c r="I115" s="6"/>
      <c r="J115" s="6"/>
      <c r="K115" s="6"/>
      <c r="L115" s="6"/>
    </row>
    <row r="116" spans="1:12" x14ac:dyDescent="0.25">
      <c r="A116" s="5"/>
      <c r="D116" s="6"/>
      <c r="E116" s="6"/>
      <c r="F116" s="6"/>
      <c r="G116" s="6"/>
      <c r="H116" s="6"/>
      <c r="I116" s="6"/>
      <c r="J116" s="6"/>
      <c r="K116" s="6"/>
      <c r="L116" s="6"/>
    </row>
    <row r="117" spans="1:12" x14ac:dyDescent="0.25">
      <c r="A117" s="5"/>
      <c r="D117" s="6"/>
      <c r="E117" s="6"/>
      <c r="F117" s="6"/>
      <c r="G117" s="6"/>
      <c r="H117" s="6"/>
      <c r="I117" s="6"/>
      <c r="J117" s="6"/>
      <c r="K117" s="6"/>
      <c r="L117" s="6"/>
    </row>
    <row r="118" spans="1:12" x14ac:dyDescent="0.25">
      <c r="A118" s="5"/>
      <c r="D118" s="6"/>
      <c r="E118" s="6"/>
      <c r="F118" s="6"/>
      <c r="G118" s="6"/>
      <c r="H118" s="6"/>
      <c r="I118" s="6"/>
      <c r="J118" s="6"/>
      <c r="K118" s="6"/>
      <c r="L118" s="6"/>
    </row>
    <row r="119" spans="1:12" x14ac:dyDescent="0.25">
      <c r="A119" s="5"/>
      <c r="D119" s="6"/>
      <c r="E119" s="6"/>
      <c r="F119" s="6"/>
      <c r="G119" s="6"/>
      <c r="H119" s="6"/>
      <c r="I119" s="6"/>
      <c r="J119" s="6"/>
      <c r="K119" s="6"/>
      <c r="L119" s="6"/>
    </row>
    <row r="120" spans="1:12" x14ac:dyDescent="0.25">
      <c r="A120" s="5"/>
      <c r="D120" s="6"/>
      <c r="E120" s="6"/>
      <c r="F120" s="6"/>
      <c r="G120" s="6"/>
      <c r="H120" s="6"/>
      <c r="I120" s="6"/>
      <c r="J120" s="6"/>
      <c r="K120" s="6"/>
      <c r="L120" s="6"/>
    </row>
    <row r="121" spans="1:12" x14ac:dyDescent="0.25">
      <c r="A121" s="5"/>
      <c r="D121" s="6"/>
      <c r="E121" s="6"/>
      <c r="F121" s="6"/>
      <c r="G121" s="6"/>
      <c r="H121" s="6"/>
      <c r="I121" s="6"/>
      <c r="J121" s="6"/>
      <c r="K121" s="6"/>
      <c r="L121" s="6"/>
    </row>
    <row r="122" spans="1:12" x14ac:dyDescent="0.25">
      <c r="A122" s="5"/>
      <c r="D122" s="6"/>
      <c r="E122" s="6"/>
      <c r="F122" s="6"/>
      <c r="G122" s="6"/>
      <c r="H122" s="6"/>
      <c r="I122" s="6"/>
      <c r="J122" s="6"/>
      <c r="K122" s="6"/>
      <c r="L122" s="6"/>
    </row>
    <row r="123" spans="1:12" x14ac:dyDescent="0.25">
      <c r="A123" s="5"/>
      <c r="D123" s="6"/>
      <c r="E123" s="6"/>
      <c r="F123" s="6"/>
      <c r="G123" s="6"/>
      <c r="H123" s="6"/>
      <c r="I123" s="6"/>
      <c r="J123" s="6"/>
      <c r="K123" s="6"/>
      <c r="L123" s="6"/>
    </row>
    <row r="124" spans="1:12" x14ac:dyDescent="0.25">
      <c r="A124" s="5"/>
      <c r="D124" s="6"/>
      <c r="E124" s="6"/>
      <c r="F124" s="6"/>
      <c r="G124" s="6"/>
      <c r="H124" s="6"/>
      <c r="I124" s="6"/>
      <c r="J124" s="6"/>
      <c r="K124" s="6"/>
      <c r="L124" s="6"/>
    </row>
    <row r="125" spans="1:12" x14ac:dyDescent="0.25">
      <c r="A125" s="5"/>
      <c r="D125" s="6"/>
      <c r="E125" s="6"/>
      <c r="F125" s="6"/>
      <c r="G125" s="6"/>
      <c r="H125" s="6"/>
      <c r="I125" s="6"/>
      <c r="J125" s="6"/>
      <c r="K125" s="6"/>
      <c r="L125" s="6"/>
    </row>
    <row r="126" spans="1:12" x14ac:dyDescent="0.25">
      <c r="A126" s="5"/>
      <c r="D126" s="6"/>
      <c r="E126" s="6"/>
      <c r="F126" s="6"/>
      <c r="G126" s="6"/>
      <c r="H126" s="6"/>
      <c r="I126" s="6"/>
      <c r="J126" s="6"/>
      <c r="K126" s="6"/>
      <c r="L126" s="6"/>
    </row>
    <row r="127" spans="1:12" x14ac:dyDescent="0.25">
      <c r="A127" s="5"/>
      <c r="D127" s="6"/>
      <c r="E127" s="6"/>
      <c r="F127" s="6"/>
      <c r="G127" s="6"/>
      <c r="H127" s="6"/>
      <c r="I127" s="6"/>
      <c r="J127" s="6"/>
      <c r="K127" s="6"/>
      <c r="L127" s="6"/>
    </row>
    <row r="128" spans="1:12" x14ac:dyDescent="0.25">
      <c r="A128" s="5"/>
      <c r="D128" s="6"/>
      <c r="E128" s="6"/>
      <c r="F128" s="6"/>
      <c r="G128" s="6"/>
      <c r="H128" s="6"/>
      <c r="I128" s="6"/>
      <c r="J128" s="6"/>
      <c r="K128" s="6"/>
      <c r="L128" s="6"/>
    </row>
    <row r="129" spans="1:12" x14ac:dyDescent="0.25">
      <c r="A129" s="5"/>
      <c r="D129" s="6"/>
      <c r="E129" s="6"/>
      <c r="F129" s="6"/>
      <c r="G129" s="6"/>
      <c r="H129" s="6"/>
      <c r="I129" s="6"/>
      <c r="J129" s="6"/>
      <c r="K129" s="6"/>
      <c r="L129" s="6"/>
    </row>
    <row r="130" spans="1:12" x14ac:dyDescent="0.25">
      <c r="A130" s="5"/>
      <c r="D130" s="6"/>
      <c r="E130" s="6"/>
      <c r="F130" s="6"/>
      <c r="G130" s="6"/>
      <c r="H130" s="6"/>
      <c r="I130" s="6"/>
      <c r="J130" s="6"/>
      <c r="K130" s="6"/>
      <c r="L130" s="6"/>
    </row>
    <row r="131" spans="1:12" x14ac:dyDescent="0.25">
      <c r="A131" s="5"/>
      <c r="D131" s="6"/>
      <c r="E131" s="6"/>
      <c r="F131" s="6"/>
      <c r="G131" s="6"/>
      <c r="H131" s="6"/>
      <c r="I131" s="6"/>
      <c r="J131" s="6"/>
      <c r="K131" s="6"/>
      <c r="L131" s="6"/>
    </row>
    <row r="132" spans="1:12" x14ac:dyDescent="0.25">
      <c r="A132" s="5"/>
      <c r="D132" s="6"/>
      <c r="E132" s="6"/>
      <c r="F132" s="6"/>
      <c r="G132" s="6"/>
      <c r="H132" s="6"/>
      <c r="I132" s="6"/>
      <c r="J132" s="6"/>
      <c r="K132" s="6"/>
      <c r="L132" s="6"/>
    </row>
    <row r="133" spans="1:12" x14ac:dyDescent="0.25">
      <c r="A133" s="5"/>
      <c r="D133" s="6"/>
      <c r="E133" s="6"/>
      <c r="F133" s="6"/>
      <c r="G133" s="6"/>
      <c r="H133" s="6"/>
      <c r="I133" s="6"/>
      <c r="J133" s="6"/>
      <c r="K133" s="6"/>
      <c r="L133" s="6"/>
    </row>
    <row r="134" spans="1:12" x14ac:dyDescent="0.25">
      <c r="A134" s="5"/>
      <c r="D134" s="6"/>
      <c r="E134" s="6"/>
      <c r="F134" s="6"/>
      <c r="G134" s="6"/>
      <c r="H134" s="6"/>
      <c r="I134" s="6"/>
      <c r="J134" s="6"/>
      <c r="K134" s="6"/>
      <c r="L134" s="6"/>
    </row>
    <row r="135" spans="1:12" x14ac:dyDescent="0.25">
      <c r="A135" s="5"/>
      <c r="D135" s="6"/>
      <c r="E135" s="6"/>
      <c r="F135" s="6"/>
      <c r="G135" s="6"/>
      <c r="H135" s="6"/>
      <c r="I135" s="6"/>
      <c r="J135" s="6"/>
      <c r="K135" s="6"/>
      <c r="L135" s="6"/>
    </row>
    <row r="136" spans="1:12" x14ac:dyDescent="0.25">
      <c r="A136" s="5"/>
      <c r="D136" s="6"/>
      <c r="E136" s="6"/>
      <c r="F136" s="6"/>
      <c r="G136" s="6"/>
      <c r="H136" s="6"/>
      <c r="I136" s="6"/>
      <c r="J136" s="6"/>
      <c r="K136" s="6"/>
      <c r="L136" s="6"/>
    </row>
    <row r="137" spans="1:12" x14ac:dyDescent="0.25">
      <c r="A137" s="5"/>
      <c r="D137" s="6"/>
      <c r="E137" s="6"/>
      <c r="F137" s="6"/>
      <c r="G137" s="6"/>
      <c r="H137" s="6"/>
      <c r="I137" s="6"/>
      <c r="J137" s="6"/>
      <c r="K137" s="6"/>
      <c r="L137" s="6"/>
    </row>
    <row r="138" spans="1:12" x14ac:dyDescent="0.25">
      <c r="A138" s="5"/>
      <c r="D138" s="6"/>
      <c r="E138" s="6"/>
      <c r="F138" s="6"/>
      <c r="G138" s="6"/>
      <c r="H138" s="6"/>
      <c r="I138" s="6"/>
      <c r="J138" s="6"/>
      <c r="K138" s="6"/>
      <c r="L138" s="6"/>
    </row>
    <row r="139" spans="1:12" x14ac:dyDescent="0.25">
      <c r="A139" s="5"/>
      <c r="D139" s="6"/>
      <c r="E139" s="6"/>
      <c r="F139" s="6"/>
      <c r="G139" s="6"/>
      <c r="H139" s="6"/>
      <c r="I139" s="6"/>
      <c r="J139" s="6"/>
      <c r="K139" s="6"/>
      <c r="L139" s="6"/>
    </row>
    <row r="140" spans="1:12" x14ac:dyDescent="0.25">
      <c r="A140" s="5"/>
      <c r="D140" s="6"/>
      <c r="E140" s="6"/>
      <c r="F140" s="6"/>
      <c r="G140" s="6"/>
      <c r="H140" s="6"/>
      <c r="I140" s="6"/>
      <c r="J140" s="6"/>
      <c r="K140" s="6"/>
      <c r="L140" s="6"/>
    </row>
    <row r="141" spans="1:12" x14ac:dyDescent="0.25">
      <c r="A141" s="5"/>
      <c r="D141" s="6"/>
      <c r="E141" s="6"/>
      <c r="F141" s="6"/>
      <c r="G141" s="6"/>
      <c r="H141" s="6"/>
      <c r="I141" s="6"/>
      <c r="J141" s="6"/>
      <c r="K141" s="6"/>
      <c r="L141" s="6"/>
    </row>
    <row r="142" spans="1:12" x14ac:dyDescent="0.25">
      <c r="A142" s="5"/>
      <c r="D142" s="6"/>
      <c r="E142" s="6"/>
      <c r="F142" s="6"/>
      <c r="G142" s="6"/>
      <c r="H142" s="6"/>
      <c r="I142" s="6"/>
      <c r="J142" s="6"/>
      <c r="K142" s="6"/>
      <c r="L142" s="6"/>
    </row>
    <row r="143" spans="1:12" x14ac:dyDescent="0.25">
      <c r="A143" s="5"/>
      <c r="D143" s="6"/>
      <c r="E143" s="6"/>
      <c r="F143" s="6"/>
      <c r="G143" s="6"/>
      <c r="H143" s="6"/>
      <c r="I143" s="6"/>
      <c r="J143" s="6"/>
      <c r="K143" s="6"/>
      <c r="L143" s="6"/>
    </row>
    <row r="144" spans="1:12" x14ac:dyDescent="0.25">
      <c r="A144" s="5"/>
      <c r="D144" s="6"/>
      <c r="E144" s="6"/>
      <c r="F144" s="6"/>
      <c r="G144" s="6"/>
      <c r="H144" s="6"/>
      <c r="I144" s="6"/>
      <c r="J144" s="6"/>
      <c r="K144" s="6"/>
      <c r="L144" s="6"/>
    </row>
    <row r="145" spans="1:12" x14ac:dyDescent="0.25">
      <c r="A145" s="5"/>
      <c r="D145" s="6"/>
      <c r="E145" s="6"/>
      <c r="F145" s="6"/>
      <c r="G145" s="6"/>
      <c r="H145" s="6"/>
      <c r="I145" s="6"/>
      <c r="J145" s="6"/>
      <c r="K145" s="6"/>
      <c r="L145" s="6"/>
    </row>
    <row r="146" spans="1:12" x14ac:dyDescent="0.25">
      <c r="A146" s="5"/>
      <c r="D146" s="6"/>
      <c r="E146" s="6"/>
      <c r="F146" s="6"/>
      <c r="G146" s="6"/>
      <c r="H146" s="6"/>
      <c r="I146" s="6"/>
      <c r="J146" s="6"/>
      <c r="K146" s="6"/>
      <c r="L146" s="6"/>
    </row>
    <row r="147" spans="1:12" x14ac:dyDescent="0.25">
      <c r="A147" s="5"/>
      <c r="D147" s="6"/>
      <c r="E147" s="6"/>
      <c r="F147" s="6"/>
      <c r="G147" s="6"/>
      <c r="H147" s="6"/>
      <c r="I147" s="6"/>
      <c r="J147" s="6"/>
      <c r="K147" s="6"/>
      <c r="L147" s="6"/>
    </row>
    <row r="148" spans="1:12" x14ac:dyDescent="0.25">
      <c r="A148" s="5"/>
      <c r="D148" s="6"/>
      <c r="E148" s="6"/>
      <c r="F148" s="6"/>
      <c r="G148" s="6"/>
      <c r="H148" s="6"/>
      <c r="I148" s="6"/>
      <c r="J148" s="6"/>
      <c r="K148" s="6"/>
      <c r="L148" s="6"/>
    </row>
    <row r="149" spans="1:12" x14ac:dyDescent="0.25">
      <c r="A149" s="5"/>
      <c r="D149" s="6"/>
      <c r="E149" s="6"/>
      <c r="F149" s="6"/>
      <c r="G149" s="6"/>
      <c r="H149" s="6"/>
      <c r="I149" s="6"/>
      <c r="J149" s="6"/>
      <c r="K149" s="6"/>
      <c r="L149" s="6"/>
    </row>
    <row r="150" spans="1:12" x14ac:dyDescent="0.25">
      <c r="A150" s="5"/>
      <c r="D150" s="6"/>
      <c r="E150" s="6"/>
      <c r="F150" s="6"/>
      <c r="G150" s="6"/>
      <c r="H150" s="6"/>
      <c r="I150" s="6"/>
      <c r="J150" s="6"/>
      <c r="K150" s="6"/>
      <c r="L150" s="6"/>
    </row>
    <row r="151" spans="1:12" x14ac:dyDescent="0.25">
      <c r="A151" s="5"/>
      <c r="D151" s="6"/>
      <c r="E151" s="6"/>
      <c r="F151" s="6"/>
      <c r="G151" s="6"/>
      <c r="H151" s="6"/>
      <c r="I151" s="6"/>
      <c r="J151" s="6"/>
      <c r="K151" s="6"/>
      <c r="L151" s="6"/>
    </row>
    <row r="152" spans="1:12" x14ac:dyDescent="0.25">
      <c r="A152" s="5"/>
      <c r="D152" s="6"/>
      <c r="E152" s="6"/>
      <c r="F152" s="6"/>
      <c r="G152" s="6"/>
      <c r="H152" s="6"/>
      <c r="I152" s="6"/>
      <c r="J152" s="6"/>
      <c r="K152" s="6"/>
      <c r="L152" s="6"/>
    </row>
    <row r="153" spans="1:12" x14ac:dyDescent="0.25">
      <c r="A153" s="5"/>
      <c r="D153" s="6"/>
      <c r="E153" s="6"/>
      <c r="F153" s="6"/>
      <c r="G153" s="6"/>
      <c r="H153" s="6"/>
      <c r="I153" s="6"/>
      <c r="J153" s="6"/>
      <c r="K153" s="6"/>
      <c r="L153" s="6"/>
    </row>
    <row r="154" spans="1:12" x14ac:dyDescent="0.25">
      <c r="A154" s="5"/>
      <c r="D154" s="6"/>
      <c r="E154" s="6"/>
      <c r="F154" s="6"/>
      <c r="G154" s="6"/>
      <c r="H154" s="6"/>
      <c r="I154" s="6"/>
      <c r="J154" s="6"/>
      <c r="K154" s="6"/>
      <c r="L154" s="6"/>
    </row>
    <row r="155" spans="1:12" x14ac:dyDescent="0.25">
      <c r="A155" s="5"/>
      <c r="D155" s="6"/>
      <c r="E155" s="6"/>
      <c r="F155" s="6"/>
      <c r="G155" s="6"/>
      <c r="H155" s="6"/>
      <c r="I155" s="6"/>
      <c r="J155" s="6"/>
      <c r="K155" s="6"/>
      <c r="L155" s="6"/>
    </row>
    <row r="156" spans="1:12" x14ac:dyDescent="0.25">
      <c r="A156" s="5"/>
      <c r="D156" s="6"/>
      <c r="E156" s="6"/>
      <c r="F156" s="6"/>
      <c r="G156" s="6"/>
      <c r="H156" s="6"/>
      <c r="I156" s="6"/>
      <c r="J156" s="6"/>
      <c r="K156" s="6"/>
      <c r="L156" s="6"/>
    </row>
    <row r="157" spans="1:12" x14ac:dyDescent="0.25">
      <c r="A157" s="5"/>
      <c r="D157" s="6"/>
      <c r="E157" s="6"/>
      <c r="F157" s="6"/>
      <c r="G157" s="6"/>
      <c r="H157" s="6"/>
      <c r="I157" s="6"/>
      <c r="J157" s="6"/>
      <c r="K157" s="6"/>
      <c r="L157" s="6"/>
    </row>
    <row r="158" spans="1:12" x14ac:dyDescent="0.25">
      <c r="A158" s="5"/>
      <c r="D158" s="6"/>
      <c r="E158" s="6"/>
      <c r="F158" s="6"/>
      <c r="G158" s="6"/>
      <c r="H158" s="6"/>
      <c r="I158" s="6"/>
      <c r="J158" s="6"/>
      <c r="K158" s="6"/>
      <c r="L158" s="6"/>
    </row>
    <row r="159" spans="1:12" x14ac:dyDescent="0.25">
      <c r="A159" s="5"/>
      <c r="D159" s="6"/>
      <c r="E159" s="6"/>
      <c r="F159" s="6"/>
      <c r="G159" s="6"/>
      <c r="H159" s="6"/>
      <c r="I159" s="6"/>
      <c r="J159" s="6"/>
      <c r="K159" s="6"/>
      <c r="L159" s="6"/>
    </row>
    <row r="160" spans="1:12" x14ac:dyDescent="0.25">
      <c r="A160" s="5"/>
      <c r="D160" s="6"/>
      <c r="E160" s="6"/>
      <c r="F160" s="6"/>
      <c r="G160" s="6"/>
      <c r="H160" s="6"/>
      <c r="I160" s="6"/>
      <c r="J160" s="6"/>
      <c r="K160" s="6"/>
      <c r="L160" s="6"/>
    </row>
    <row r="161" spans="1:12" x14ac:dyDescent="0.25">
      <c r="A161" s="5"/>
      <c r="D161" s="6"/>
      <c r="E161" s="6"/>
      <c r="F161" s="6"/>
      <c r="G161" s="6"/>
      <c r="H161" s="6"/>
      <c r="I161" s="6"/>
      <c r="J161" s="6"/>
      <c r="K161" s="6"/>
      <c r="L161" s="6"/>
    </row>
    <row r="162" spans="1:12" x14ac:dyDescent="0.25">
      <c r="A162" s="5"/>
      <c r="D162" s="6"/>
      <c r="E162" s="6"/>
      <c r="F162" s="6"/>
      <c r="G162" s="6"/>
      <c r="H162" s="6"/>
      <c r="I162" s="6"/>
      <c r="J162" s="6"/>
      <c r="K162" s="6"/>
      <c r="L162" s="6"/>
    </row>
    <row r="163" spans="1:12" x14ac:dyDescent="0.25">
      <c r="A163" s="5"/>
      <c r="D163" s="6"/>
      <c r="E163" s="6"/>
      <c r="F163" s="6"/>
      <c r="G163" s="6"/>
      <c r="H163" s="6"/>
      <c r="I163" s="6"/>
      <c r="J163" s="6"/>
      <c r="K163" s="6"/>
      <c r="L163" s="6"/>
    </row>
    <row r="164" spans="1:12" x14ac:dyDescent="0.25">
      <c r="A164" s="5"/>
      <c r="D164" s="6"/>
      <c r="E164" s="6"/>
      <c r="F164" s="6"/>
      <c r="G164" s="6"/>
      <c r="H164" s="6"/>
      <c r="I164" s="6"/>
      <c r="J164" s="6"/>
      <c r="K164" s="6"/>
      <c r="L164" s="6"/>
    </row>
  </sheetData>
  <sheetProtection sheet="1" objects="1" scenarios="1"/>
  <mergeCells count="5">
    <mergeCell ref="D1:L1"/>
    <mergeCell ref="A23:S24"/>
    <mergeCell ref="I2:J2"/>
    <mergeCell ref="D2:F2"/>
    <mergeCell ref="G2:H2"/>
  </mergeCells>
  <phoneticPr fontId="23" type="noConversion"/>
  <conditionalFormatting sqref="M21:U21">
    <cfRule type="cellIs" dxfId="336" priority="148" stopIfTrue="1" operator="equal">
      <formula>3</formula>
    </cfRule>
    <cfRule type="cellIs" dxfId="335" priority="149" stopIfTrue="1" operator="equal">
      <formula>4</formula>
    </cfRule>
  </conditionalFormatting>
  <conditionalFormatting sqref="D25:D65 F25:F65 I25:J65 M22:P22">
    <cfRule type="cellIs" dxfId="334" priority="150" stopIfTrue="1" operator="equal">
      <formula>3</formula>
    </cfRule>
  </conditionalFormatting>
  <conditionalFormatting sqref="L25:L65">
    <cfRule type="cellIs" dxfId="333" priority="140" stopIfTrue="1" operator="equal">
      <formula>3</formula>
    </cfRule>
  </conditionalFormatting>
  <conditionalFormatting sqref="E25:E65">
    <cfRule type="cellIs" dxfId="332" priority="63" stopIfTrue="1" operator="equal">
      <formula>3</formula>
    </cfRule>
  </conditionalFormatting>
  <conditionalFormatting sqref="K25:K65">
    <cfRule type="cellIs" dxfId="331" priority="43" stopIfTrue="1" operator="equal">
      <formula>3</formula>
    </cfRule>
  </conditionalFormatting>
  <conditionalFormatting sqref="H25:H65">
    <cfRule type="cellIs" dxfId="330" priority="32" stopIfTrue="1" operator="equal">
      <formula>3</formula>
    </cfRule>
  </conditionalFormatting>
  <conditionalFormatting sqref="G25:G65">
    <cfRule type="cellIs" dxfId="329" priority="16" stopIfTrue="1" operator="equal">
      <formula>3</formula>
    </cfRule>
  </conditionalFormatting>
  <conditionalFormatting sqref="D15:L21 D6:L13">
    <cfRule type="cellIs" dxfId="328" priority="7" stopIfTrue="1" operator="equal">
      <formula>4</formula>
    </cfRule>
    <cfRule type="cellIs" dxfId="327" priority="8" stopIfTrue="1" operator="equal">
      <formula>3</formula>
    </cfRule>
    <cfRule type="cellIs" dxfId="326" priority="9" stopIfTrue="1" operator="equal">
      <formula>2</formula>
    </cfRule>
  </conditionalFormatting>
  <conditionalFormatting sqref="D14:L14">
    <cfRule type="cellIs" dxfId="325" priority="4" stopIfTrue="1" operator="equal">
      <formula>4</formula>
    </cfRule>
    <cfRule type="cellIs" dxfId="324" priority="5" stopIfTrue="1" operator="equal">
      <formula>3</formula>
    </cfRule>
    <cfRule type="cellIs" dxfId="323" priority="6" stopIfTrue="1" operator="equal">
      <formula>2</formula>
    </cfRule>
  </conditionalFormatting>
  <conditionalFormatting sqref="D22:L22">
    <cfRule type="cellIs" dxfId="322" priority="1" stopIfTrue="1" operator="equal">
      <formula>4</formula>
    </cfRule>
    <cfRule type="cellIs" dxfId="321" priority="2" stopIfTrue="1" operator="equal">
      <formula>3</formula>
    </cfRule>
    <cfRule type="cellIs" dxfId="320"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1:L21"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3">
    <tabColor indexed="16"/>
  </sheetPr>
  <dimension ref="A1:I28"/>
  <sheetViews>
    <sheetView zoomScale="90" zoomScaleNormal="90" workbookViewId="0">
      <pane ySplit="1" topLeftCell="A2" activePane="bottomLeft" state="frozen"/>
      <selection activeCell="B42" sqref="B42"/>
      <selection pane="bottomLeft" activeCell="B6" sqref="B6"/>
    </sheetView>
  </sheetViews>
  <sheetFormatPr baseColWidth="10" defaultColWidth="11.44140625" defaultRowHeight="13.2" x14ac:dyDescent="0.25"/>
  <cols>
    <col min="1" max="1" width="4.5546875" style="8" customWidth="1"/>
    <col min="2" max="2" width="34.6640625" style="10" customWidth="1"/>
    <col min="3" max="3" width="84.44140625" style="10" customWidth="1"/>
    <col min="4" max="7" width="4.5546875" style="8" customWidth="1"/>
    <col min="8" max="8" width="9.5546875" style="192" customWidth="1"/>
    <col min="9" max="9" width="19" style="8" customWidth="1"/>
    <col min="10" max="16384" width="11.44140625" style="8"/>
  </cols>
  <sheetData>
    <row r="1" spans="1:9" s="18" customFormat="1" ht="33" customHeight="1" x14ac:dyDescent="0.25">
      <c r="A1" s="1271" t="s">
        <v>2189</v>
      </c>
      <c r="B1" s="1272"/>
      <c r="C1" s="1272"/>
      <c r="D1" s="1272"/>
      <c r="E1" s="1272"/>
      <c r="F1" s="1272"/>
      <c r="G1" s="1273"/>
      <c r="H1" s="1023" t="s">
        <v>2190</v>
      </c>
      <c r="I1" s="1024" t="s">
        <v>2191</v>
      </c>
    </row>
    <row r="2" spans="1:9" ht="15.6" x14ac:dyDescent="0.25">
      <c r="A2" s="1025" t="s">
        <v>301</v>
      </c>
      <c r="B2" s="1026"/>
      <c r="C2" s="1026"/>
      <c r="D2" s="1027" t="s">
        <v>539</v>
      </c>
      <c r="E2" s="1027" t="s">
        <v>268</v>
      </c>
      <c r="F2" s="1028" t="s">
        <v>309</v>
      </c>
      <c r="G2" s="1027" t="s">
        <v>357</v>
      </c>
      <c r="H2" s="1029"/>
      <c r="I2" s="1030"/>
    </row>
    <row r="3" spans="1:9" ht="13.8" thickBot="1" x14ac:dyDescent="0.3">
      <c r="A3" s="1269" t="s">
        <v>395</v>
      </c>
      <c r="B3" s="1270"/>
      <c r="C3" s="97"/>
      <c r="D3" s="695"/>
      <c r="E3" s="695"/>
      <c r="F3" s="695"/>
      <c r="G3" s="1031"/>
      <c r="H3" s="1049"/>
      <c r="I3" s="1050"/>
    </row>
    <row r="4" spans="1:9" ht="27.75" customHeight="1" x14ac:dyDescent="0.25">
      <c r="A4" s="1046" t="s">
        <v>538</v>
      </c>
      <c r="B4" s="1036" t="s">
        <v>4696</v>
      </c>
      <c r="C4" s="1036" t="s">
        <v>6695</v>
      </c>
      <c r="D4" s="1093">
        <f>'T1'!D22</f>
        <v>3</v>
      </c>
      <c r="E4" s="1093">
        <f>'T1'!E22</f>
        <v>3</v>
      </c>
      <c r="F4" s="1093">
        <f>'T1'!F22</f>
        <v>3</v>
      </c>
      <c r="G4" s="1039"/>
      <c r="H4" s="1040">
        <v>1</v>
      </c>
      <c r="I4" s="1050"/>
    </row>
    <row r="5" spans="1:9" ht="27.75" customHeight="1" x14ac:dyDescent="0.25">
      <c r="A5" s="1047" t="s">
        <v>346</v>
      </c>
      <c r="B5" s="1037" t="s">
        <v>4697</v>
      </c>
      <c r="C5" s="1037" t="s">
        <v>6696</v>
      </c>
      <c r="D5" s="1093">
        <f>'T1'!G22</f>
        <v>2</v>
      </c>
      <c r="E5" s="1093">
        <f>'T1'!H22</f>
        <v>2</v>
      </c>
      <c r="F5" s="1093">
        <f>'T1'!I22</f>
        <v>3</v>
      </c>
      <c r="G5" s="1039"/>
      <c r="H5" s="1040">
        <v>1</v>
      </c>
      <c r="I5" s="1032"/>
    </row>
    <row r="6" spans="1:9" ht="27.75" customHeight="1" x14ac:dyDescent="0.25">
      <c r="A6" s="1047" t="s">
        <v>348</v>
      </c>
      <c r="B6" s="1037" t="s">
        <v>3187</v>
      </c>
      <c r="C6" s="1037" t="s">
        <v>6697</v>
      </c>
      <c r="D6" s="1093" t="str">
        <f>'T1'!J22</f>
        <v/>
      </c>
      <c r="E6" s="1093" t="str">
        <f>'T1'!K22</f>
        <v/>
      </c>
      <c r="F6" s="1093" t="str">
        <f>'T1'!L22</f>
        <v/>
      </c>
      <c r="G6" s="1039"/>
      <c r="H6" s="1040">
        <v>0</v>
      </c>
      <c r="I6" s="1032" t="s">
        <v>7489</v>
      </c>
    </row>
    <row r="7" spans="1:9" ht="27.75" customHeight="1" x14ac:dyDescent="0.25">
      <c r="A7" s="1047" t="s">
        <v>519</v>
      </c>
      <c r="B7" s="1038" t="s">
        <v>4698</v>
      </c>
      <c r="C7" s="1037" t="s">
        <v>6698</v>
      </c>
      <c r="D7" s="1093">
        <f>'T1'!M22</f>
        <v>3</v>
      </c>
      <c r="E7" s="1093">
        <f>'T1'!N22</f>
        <v>2</v>
      </c>
      <c r="F7" s="1093">
        <f>'T1'!O22</f>
        <v>2</v>
      </c>
      <c r="G7" s="1039"/>
      <c r="H7" s="1040">
        <v>1</v>
      </c>
      <c r="I7" s="1032"/>
    </row>
    <row r="8" spans="1:9" ht="27.75" customHeight="1" x14ac:dyDescent="0.25">
      <c r="A8" s="1047" t="s">
        <v>311</v>
      </c>
      <c r="B8" s="1038" t="s">
        <v>4699</v>
      </c>
      <c r="C8" s="1037" t="s">
        <v>6699</v>
      </c>
      <c r="D8" s="1093" t="str">
        <f>'T1'!P22</f>
        <v/>
      </c>
      <c r="E8" s="1039"/>
      <c r="F8" s="1093" t="str">
        <f>'T1'!Q22</f>
        <v/>
      </c>
      <c r="G8" s="1039"/>
      <c r="H8" s="1040">
        <v>0</v>
      </c>
      <c r="I8" s="1032" t="s">
        <v>7490</v>
      </c>
    </row>
    <row r="9" spans="1:9" ht="27.75" customHeight="1" x14ac:dyDescent="0.25">
      <c r="A9" s="1047" t="s">
        <v>267</v>
      </c>
      <c r="B9" s="1038" t="s">
        <v>4700</v>
      </c>
      <c r="C9" s="1037" t="s">
        <v>6700</v>
      </c>
      <c r="D9" s="1093">
        <f>'T1'!R22</f>
        <v>2</v>
      </c>
      <c r="E9" s="1093">
        <f>'T1'!S22</f>
        <v>2</v>
      </c>
      <c r="F9" s="1039"/>
      <c r="G9" s="1039"/>
      <c r="H9" s="1040">
        <v>1</v>
      </c>
      <c r="I9" s="1032"/>
    </row>
    <row r="10" spans="1:9" ht="27.75" customHeight="1" x14ac:dyDescent="0.25">
      <c r="A10" s="1047" t="s">
        <v>520</v>
      </c>
      <c r="B10" s="1038" t="s">
        <v>4701</v>
      </c>
      <c r="C10" s="1037" t="s">
        <v>6701</v>
      </c>
      <c r="D10" s="1093">
        <f>'T1'!T22</f>
        <v>3</v>
      </c>
      <c r="E10" s="1093">
        <f>'T1'!U22</f>
        <v>3</v>
      </c>
      <c r="F10" s="1093">
        <f>'T1'!V22</f>
        <v>3</v>
      </c>
      <c r="G10" s="1039"/>
      <c r="H10" s="1040">
        <v>1</v>
      </c>
      <c r="I10" s="1032"/>
    </row>
    <row r="11" spans="1:9" ht="15.6" x14ac:dyDescent="0.25">
      <c r="A11" s="1025" t="s">
        <v>823</v>
      </c>
      <c r="B11" s="1026"/>
      <c r="C11" s="1026"/>
      <c r="D11" s="1027" t="s">
        <v>539</v>
      </c>
      <c r="E11" s="1027" t="s">
        <v>268</v>
      </c>
      <c r="F11" s="1028" t="s">
        <v>309</v>
      </c>
      <c r="G11" s="1028"/>
      <c r="H11" s="1033"/>
      <c r="I11" s="1032"/>
    </row>
    <row r="12" spans="1:9" x14ac:dyDescent="0.25">
      <c r="A12" s="1048" t="s">
        <v>2213</v>
      </c>
      <c r="B12" s="97"/>
      <c r="C12" s="97"/>
      <c r="D12" s="1094"/>
      <c r="E12" s="1095"/>
      <c r="F12" s="1095"/>
      <c r="G12" s="1094"/>
      <c r="H12" s="1033"/>
      <c r="I12" s="1032"/>
    </row>
    <row r="13" spans="1:9" ht="27.75" customHeight="1" x14ac:dyDescent="0.25">
      <c r="A13" s="1047" t="s">
        <v>396</v>
      </c>
      <c r="B13" s="1041" t="s">
        <v>420</v>
      </c>
      <c r="C13" s="1037" t="s">
        <v>6702</v>
      </c>
      <c r="D13" s="1093">
        <f>'T2'!D22</f>
        <v>2</v>
      </c>
      <c r="E13" s="1093">
        <f>'T2'!E22</f>
        <v>2</v>
      </c>
      <c r="F13" s="1093" t="str">
        <f>'T2'!F22</f>
        <v/>
      </c>
      <c r="G13" s="1039"/>
      <c r="H13" s="1040">
        <v>1</v>
      </c>
      <c r="I13" s="1032"/>
    </row>
    <row r="14" spans="1:9" ht="27.75" customHeight="1" x14ac:dyDescent="0.25">
      <c r="A14" s="1047" t="s">
        <v>518</v>
      </c>
      <c r="B14" s="1042" t="s">
        <v>6703</v>
      </c>
      <c r="C14" s="1042" t="s">
        <v>6704</v>
      </c>
      <c r="D14" s="1093">
        <f>'T2'!G22</f>
        <v>3</v>
      </c>
      <c r="E14" s="1093">
        <f>'T2'!H22</f>
        <v>2</v>
      </c>
      <c r="F14" s="1039"/>
      <c r="G14" s="1039"/>
      <c r="H14" s="1040">
        <v>1</v>
      </c>
      <c r="I14" s="1032"/>
    </row>
    <row r="15" spans="1:9" ht="27.75" customHeight="1" x14ac:dyDescent="0.25">
      <c r="A15" s="1047" t="s">
        <v>313</v>
      </c>
      <c r="B15" s="1042" t="s">
        <v>6705</v>
      </c>
      <c r="C15" s="1037" t="s">
        <v>6706</v>
      </c>
      <c r="D15" s="1093">
        <f>'T2'!I22</f>
        <v>2</v>
      </c>
      <c r="E15" s="1093">
        <f>'T2'!J22</f>
        <v>2</v>
      </c>
      <c r="F15" s="1039"/>
      <c r="G15" s="1039"/>
      <c r="H15" s="1040">
        <v>1</v>
      </c>
      <c r="I15" s="1032"/>
    </row>
    <row r="16" spans="1:9" x14ac:dyDescent="0.25">
      <c r="A16" s="1034" t="s">
        <v>1407</v>
      </c>
      <c r="B16" s="97"/>
      <c r="C16" s="97"/>
      <c r="D16" s="1093"/>
      <c r="E16" s="1093"/>
      <c r="F16" s="1093"/>
      <c r="G16" s="1093"/>
      <c r="H16" s="1040">
        <v>1</v>
      </c>
      <c r="I16" s="1032"/>
    </row>
    <row r="17" spans="1:9" ht="27.75" customHeight="1" x14ac:dyDescent="0.25">
      <c r="A17" s="1047" t="s">
        <v>3196</v>
      </c>
      <c r="B17" s="1042" t="s">
        <v>3188</v>
      </c>
      <c r="C17" s="1037" t="s">
        <v>6707</v>
      </c>
      <c r="D17" s="1039"/>
      <c r="E17" s="1039"/>
      <c r="F17" s="1039"/>
      <c r="G17" s="1093">
        <f>'T2'!K22</f>
        <v>2</v>
      </c>
      <c r="H17" s="1040">
        <v>1</v>
      </c>
      <c r="I17" s="1032"/>
    </row>
    <row r="18" spans="1:9" ht="27.75" customHeight="1" thickBot="1" x14ac:dyDescent="0.3">
      <c r="A18" s="1051" t="s">
        <v>3197</v>
      </c>
      <c r="B18" s="1043" t="s">
        <v>3189</v>
      </c>
      <c r="C18" s="1044" t="s">
        <v>6708</v>
      </c>
      <c r="D18" s="1096"/>
      <c r="E18" s="1096"/>
      <c r="F18" s="1096"/>
      <c r="G18" s="1097" t="str">
        <f>'T2'!L22</f>
        <v/>
      </c>
      <c r="H18" s="1045">
        <v>0</v>
      </c>
      <c r="I18" s="1035" t="s">
        <v>7491</v>
      </c>
    </row>
    <row r="19" spans="1:9" x14ac:dyDescent="0.25">
      <c r="B19" s="8"/>
      <c r="C19" s="8"/>
      <c r="H19" s="8"/>
    </row>
    <row r="20" spans="1:9" x14ac:dyDescent="0.25">
      <c r="B20" s="8"/>
      <c r="C20" s="8"/>
      <c r="H20" s="8"/>
    </row>
    <row r="22" spans="1:9" ht="26.25" customHeight="1" x14ac:dyDescent="0.25">
      <c r="A22" s="1274" t="s">
        <v>483</v>
      </c>
      <c r="B22" s="1274"/>
      <c r="C22" s="1274"/>
      <c r="D22" s="1274"/>
      <c r="E22" s="1274"/>
      <c r="F22" s="1274"/>
      <c r="G22" s="1274"/>
      <c r="H22" s="1274"/>
      <c r="I22" s="1274"/>
    </row>
    <row r="24" spans="1:9" x14ac:dyDescent="0.25">
      <c r="A24" s="8" t="s">
        <v>122</v>
      </c>
    </row>
    <row r="25" spans="1:9" x14ac:dyDescent="0.25">
      <c r="A25" s="8" t="s">
        <v>539</v>
      </c>
      <c r="B25" s="10" t="s">
        <v>341</v>
      </c>
    </row>
    <row r="26" spans="1:9" x14ac:dyDescent="0.25">
      <c r="A26" s="8" t="s">
        <v>268</v>
      </c>
      <c r="B26" s="10" t="s">
        <v>342</v>
      </c>
    </row>
    <row r="27" spans="1:9" x14ac:dyDescent="0.25">
      <c r="A27" s="8" t="s">
        <v>309</v>
      </c>
      <c r="B27" s="10" t="s">
        <v>343</v>
      </c>
    </row>
    <row r="28" spans="1:9" ht="66" x14ac:dyDescent="0.25">
      <c r="A28" s="192" t="s">
        <v>357</v>
      </c>
      <c r="B28" s="10" t="s">
        <v>4580</v>
      </c>
    </row>
  </sheetData>
  <sheetProtection formatCells="0" formatColumns="0"/>
  <mergeCells count="3">
    <mergeCell ref="A3:B3"/>
    <mergeCell ref="A1:G1"/>
    <mergeCell ref="A22:I22"/>
  </mergeCells>
  <phoneticPr fontId="20" type="noConversion"/>
  <conditionalFormatting sqref="D10:F10 D8 F8 D9:E9 D4:F7">
    <cfRule type="cellIs" dxfId="319" priority="4" stopIfTrue="1" operator="equal">
      <formula>4</formula>
    </cfRule>
    <cfRule type="cellIs" dxfId="318" priority="5" stopIfTrue="1" operator="equal">
      <formula>3</formula>
    </cfRule>
    <cfRule type="cellIs" dxfId="317" priority="6" stopIfTrue="1" operator="equal">
      <formula>2</formula>
    </cfRule>
  </conditionalFormatting>
  <conditionalFormatting sqref="D16:G16 D13:F13 D14:E15 D18:G18 G17">
    <cfRule type="cellIs" dxfId="316" priority="1" stopIfTrue="1" operator="equal">
      <formula>4</formula>
    </cfRule>
    <cfRule type="cellIs" dxfId="315" priority="2" stopIfTrue="1" operator="equal">
      <formula>3</formula>
    </cfRule>
    <cfRule type="cellIs" dxfId="314" priority="3" stopIfTrue="1" operator="equal">
      <formula>2</formula>
    </cfRule>
  </conditionalFormatting>
  <printOptions gridLines="1"/>
  <pageMargins left="0.55000000000000004" right="0.52" top="0.6" bottom="0.984251969" header="0.4921259845" footer="0.4921259845"/>
  <pageSetup paperSize="9" orientation="portrait" r:id="rId1"/>
  <headerFooter alignWithMargins="0">
    <oddFooter>&amp;L&amp;8&amp;F ! &amp;A&amp;C&amp;8&amp;P&amp;R&amp;8Décembre 2006</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
  <dimension ref="A1:C33"/>
  <sheetViews>
    <sheetView workbookViewId="0">
      <selection activeCell="C17" sqref="C17"/>
    </sheetView>
  </sheetViews>
  <sheetFormatPr baseColWidth="10" defaultRowHeight="13.2" x14ac:dyDescent="0.25"/>
  <cols>
    <col min="3" max="3" width="98.33203125" customWidth="1"/>
  </cols>
  <sheetData>
    <row r="1" spans="1:3" ht="17.399999999999999" x14ac:dyDescent="0.25">
      <c r="A1" s="383" t="s">
        <v>6817</v>
      </c>
    </row>
    <row r="3" spans="1:3" x14ac:dyDescent="0.25">
      <c r="A3" s="385" t="s">
        <v>2131</v>
      </c>
      <c r="B3" s="16">
        <v>1</v>
      </c>
      <c r="C3" s="29" t="s">
        <v>2132</v>
      </c>
    </row>
    <row r="5" spans="1:3" ht="25.5" customHeight="1" x14ac:dyDescent="0.25">
      <c r="A5" s="385" t="s">
        <v>2135</v>
      </c>
      <c r="B5" s="16">
        <v>0.9</v>
      </c>
      <c r="C5" t="s">
        <v>7437</v>
      </c>
    </row>
    <row r="6" spans="1:3" ht="26.4" x14ac:dyDescent="0.25">
      <c r="A6" s="385" t="s">
        <v>2136</v>
      </c>
      <c r="B6" s="16">
        <v>0.9</v>
      </c>
      <c r="C6" t="s">
        <v>7438</v>
      </c>
    </row>
    <row r="7" spans="1:3" x14ac:dyDescent="0.25">
      <c r="C7" s="29"/>
    </row>
    <row r="8" spans="1:3" ht="15.6" x14ac:dyDescent="0.25">
      <c r="A8" s="387" t="s">
        <v>6818</v>
      </c>
    </row>
    <row r="9" spans="1:3" x14ac:dyDescent="0.25">
      <c r="A9" t="s">
        <v>6819</v>
      </c>
      <c r="B9" s="29" t="b">
        <v>0</v>
      </c>
    </row>
    <row r="10" spans="1:3" x14ac:dyDescent="0.25">
      <c r="A10" t="s">
        <v>3122</v>
      </c>
      <c r="B10" t="b">
        <v>0</v>
      </c>
    </row>
    <row r="11" spans="1:3" x14ac:dyDescent="0.25">
      <c r="A11" t="s">
        <v>6820</v>
      </c>
      <c r="B11" t="b">
        <v>0</v>
      </c>
    </row>
    <row r="12" spans="1:3" x14ac:dyDescent="0.25">
      <c r="A12" t="s">
        <v>6821</v>
      </c>
      <c r="B12" t="b">
        <v>0</v>
      </c>
    </row>
    <row r="13" spans="1:3" x14ac:dyDescent="0.25">
      <c r="A13" t="s">
        <v>6824</v>
      </c>
      <c r="B13" t="b">
        <v>0</v>
      </c>
    </row>
    <row r="15" spans="1:3" x14ac:dyDescent="0.25">
      <c r="B15" s="382"/>
    </row>
    <row r="19" spans="2:2" x14ac:dyDescent="0.25">
      <c r="B19" s="382"/>
    </row>
    <row r="33" spans="2:2" x14ac:dyDescent="0.25">
      <c r="B33" s="38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0000"/>
  </sheetPr>
  <dimension ref="A1:GR416"/>
  <sheetViews>
    <sheetView zoomScaleNormal="100" workbookViewId="0">
      <pane xSplit="1" ySplit="2" topLeftCell="B116" activePane="bottomRight" state="frozenSplit"/>
      <selection activeCell="O170" sqref="O170"/>
      <selection pane="topRight" activeCell="O170" sqref="O170"/>
      <selection pane="bottomLeft" activeCell="O170" sqref="O170"/>
      <selection pane="bottomRight" activeCell="K131" sqref="K131"/>
    </sheetView>
  </sheetViews>
  <sheetFormatPr baseColWidth="10" defaultColWidth="11.33203125" defaultRowHeight="13.2" x14ac:dyDescent="0.25"/>
  <cols>
    <col min="1" max="1" width="10" style="225" customWidth="1"/>
    <col min="2" max="2" width="84.6640625" style="309" customWidth="1"/>
    <col min="3" max="6" width="4.33203125" style="1053" customWidth="1"/>
    <col min="7" max="8" width="4.109375" style="130" customWidth="1"/>
    <col min="9" max="9" width="4.109375" style="131" customWidth="1"/>
    <col min="10" max="10" width="15.109375" style="310" customWidth="1"/>
    <col min="11" max="11" width="27.88671875" style="135" customWidth="1"/>
    <col min="12" max="25" width="4.6640625" style="135" customWidth="1"/>
    <col min="26" max="26" width="8.109375" style="135" customWidth="1"/>
    <col min="27" max="27" width="8.109375" style="135" hidden="1" customWidth="1"/>
    <col min="28" max="28" width="8.109375" style="303" hidden="1" customWidth="1"/>
    <col min="29" max="34" width="8.109375" style="213" hidden="1" customWidth="1"/>
    <col min="35" max="35" width="8.109375" style="227" customWidth="1"/>
    <col min="36" max="40" width="11.33203125" style="227"/>
    <col min="41" max="16384" width="11.33203125" style="213"/>
  </cols>
  <sheetData>
    <row r="1" spans="1:40" ht="15.6" x14ac:dyDescent="0.3">
      <c r="A1" s="1275" t="s">
        <v>214</v>
      </c>
      <c r="B1" s="1275"/>
      <c r="C1" s="1175">
        <v>1</v>
      </c>
      <c r="D1" s="1176" t="str">
        <f>"variante"&amp;IF(C1&gt;1,"s","")</f>
        <v>variante</v>
      </c>
      <c r="E1" s="1175"/>
      <c r="F1" s="1175"/>
      <c r="G1" s="532"/>
      <c r="H1" s="533"/>
      <c r="I1" s="533"/>
      <c r="J1" s="1098">
        <f>'Score ISO'!E2</f>
        <v>1</v>
      </c>
      <c r="K1" s="301"/>
      <c r="L1" s="301"/>
      <c r="M1" s="301"/>
      <c r="N1" s="301"/>
      <c r="O1" s="301"/>
      <c r="P1" s="301"/>
      <c r="Q1" s="301"/>
      <c r="R1" s="301"/>
      <c r="S1" s="301"/>
      <c r="T1" s="301"/>
      <c r="U1" s="301"/>
      <c r="V1" s="301"/>
      <c r="W1" s="301"/>
      <c r="X1" s="301"/>
      <c r="Y1" s="301"/>
      <c r="Z1" s="301"/>
      <c r="AA1" s="301"/>
      <c r="AB1" s="213"/>
    </row>
    <row r="2" spans="1:40" s="326" customFormat="1" x14ac:dyDescent="0.25">
      <c r="A2" s="519" t="s">
        <v>523</v>
      </c>
      <c r="B2" s="324" t="s">
        <v>399</v>
      </c>
      <c r="C2" s="1177" t="s">
        <v>400</v>
      </c>
      <c r="D2" s="1177" t="s">
        <v>401</v>
      </c>
      <c r="E2" s="1177" t="s">
        <v>402</v>
      </c>
      <c r="F2" s="1177" t="s">
        <v>403</v>
      </c>
      <c r="G2" s="325" t="s">
        <v>569</v>
      </c>
      <c r="H2" s="325" t="s">
        <v>404</v>
      </c>
      <c r="I2" s="325" t="s">
        <v>479</v>
      </c>
      <c r="J2" s="1101" t="s">
        <v>6846</v>
      </c>
      <c r="K2" s="522"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c r="AI2" s="525"/>
      <c r="AJ2" s="525"/>
      <c r="AK2" s="525"/>
      <c r="AL2" s="525"/>
      <c r="AM2" s="525"/>
      <c r="AN2" s="525"/>
    </row>
    <row r="3" spans="1:40" x14ac:dyDescent="0.25">
      <c r="A3" s="1102" t="s">
        <v>1417</v>
      </c>
      <c r="B3" s="1102" t="s">
        <v>1418</v>
      </c>
      <c r="C3" s="1152"/>
      <c r="D3" s="1152"/>
      <c r="E3" s="1152"/>
      <c r="F3" s="1152"/>
      <c r="G3" s="1103"/>
      <c r="H3" s="1104"/>
      <c r="I3" s="1104"/>
      <c r="J3" s="136"/>
    </row>
    <row r="4" spans="1:40" x14ac:dyDescent="0.25">
      <c r="A4" s="1105" t="s">
        <v>653</v>
      </c>
      <c r="B4" s="1106" t="s">
        <v>80</v>
      </c>
      <c r="C4" s="136"/>
      <c r="D4" s="136"/>
      <c r="E4" s="136"/>
      <c r="F4" s="136"/>
      <c r="G4" s="135"/>
      <c r="H4" s="135"/>
      <c r="I4" s="135"/>
      <c r="J4" s="136"/>
      <c r="AA4"/>
      <c r="AB4"/>
      <c r="AC4"/>
      <c r="AD4"/>
      <c r="AE4"/>
      <c r="AF4"/>
      <c r="AG4"/>
      <c r="AH4"/>
      <c r="AI4"/>
    </row>
    <row r="5" spans="1:40" ht="20.399999999999999" x14ac:dyDescent="0.25">
      <c r="A5" s="164" t="s">
        <v>1419</v>
      </c>
      <c r="B5" s="164" t="s">
        <v>6847</v>
      </c>
      <c r="C5" s="243"/>
      <c r="D5" s="243"/>
      <c r="E5" s="243"/>
      <c r="F5" s="243"/>
      <c r="G5" s="133">
        <v>2</v>
      </c>
      <c r="H5" s="133"/>
      <c r="I5" s="133"/>
      <c r="J5" s="136" t="s">
        <v>79</v>
      </c>
      <c r="AA5">
        <f>IF(AND('1 Org'!C5&gt;Tmin, NOT('1 Org'!$I5="")),'1 Org'!$I5,0)</f>
        <v>0</v>
      </c>
      <c r="AB5">
        <f>IF(AND('1 Org'!D5&gt;Tmin, NOT('1 Org'!$I5="")),'1 Org'!$I5,0)</f>
        <v>0</v>
      </c>
      <c r="AC5">
        <f>IF(AND('1 Org'!E5&gt;Tmin, NOT('1 Org'!$I5="")),'1 Org'!$I5,0)</f>
        <v>0</v>
      </c>
      <c r="AD5">
        <f>IF(AND('1 Org'!F5&gt;Tmin, NOT('1 Org'!$I5="")),'1 Org'!$I5,0)</f>
        <v>0</v>
      </c>
      <c r="AE5">
        <f>IF(AND('1 Org'!C5&lt;Tmax, NOT('1 Org'!$H5="")),'1 Org'!$H5,4)</f>
        <v>4</v>
      </c>
      <c r="AF5">
        <f>IF(AND('1 Org'!D5&lt;Tmax, NOT('1 Org'!$H5="")),'1 Org'!$H5,4)</f>
        <v>4</v>
      </c>
      <c r="AG5">
        <f>IF(AND('1 Org'!E5&lt;Tmax, NOT('1 Org'!$H5="")),'1 Org'!$H5,4)</f>
        <v>4</v>
      </c>
      <c r="AH5">
        <f>IF(AND('1 Org'!F5&lt;Tmax, NOT('1 Org'!$H5="")),'1 Org'!$H5,4)</f>
        <v>4</v>
      </c>
      <c r="AI5"/>
    </row>
    <row r="6" spans="1:40" x14ac:dyDescent="0.25">
      <c r="A6" s="164" t="s">
        <v>1420</v>
      </c>
      <c r="B6" s="128" t="s">
        <v>6848</v>
      </c>
      <c r="C6" s="243"/>
      <c r="D6" s="243"/>
      <c r="E6" s="243"/>
      <c r="F6" s="243"/>
      <c r="G6" s="133">
        <v>2</v>
      </c>
      <c r="H6" s="133"/>
      <c r="I6" s="133"/>
      <c r="J6" s="136" t="s">
        <v>79</v>
      </c>
      <c r="AA6">
        <f>IF(AND('1 Org'!C6&gt;Tmin, NOT('1 Org'!$I6="")),'1 Org'!$I6,0)</f>
        <v>0</v>
      </c>
      <c r="AB6">
        <f>IF(AND('1 Org'!D6&gt;Tmin, NOT('1 Org'!$I6="")),'1 Org'!$I6,0)</f>
        <v>0</v>
      </c>
      <c r="AC6">
        <f>IF(AND('1 Org'!E6&gt;Tmin, NOT('1 Org'!$I6="")),'1 Org'!$I6,0)</f>
        <v>0</v>
      </c>
      <c r="AD6">
        <f>IF(AND('1 Org'!F6&gt;Tmin, NOT('1 Org'!$I6="")),'1 Org'!$I6,0)</f>
        <v>0</v>
      </c>
      <c r="AE6">
        <f>IF(AND('1 Org'!C6&lt;Tmax, NOT('1 Org'!$H6="")),'1 Org'!$H6,4)</f>
        <v>4</v>
      </c>
      <c r="AF6">
        <f>IF(AND('1 Org'!D6&lt;Tmax, NOT('1 Org'!$H6="")),'1 Org'!$H6,4)</f>
        <v>4</v>
      </c>
      <c r="AG6">
        <f>IF(AND('1 Org'!E6&lt;Tmax, NOT('1 Org'!$H6="")),'1 Org'!$H6,4)</f>
        <v>4</v>
      </c>
      <c r="AH6">
        <f>IF(AND('1 Org'!F6&lt;Tmax, NOT('1 Org'!$H6="")),'1 Org'!$H6,4)</f>
        <v>4</v>
      </c>
      <c r="AI6"/>
    </row>
    <row r="7" spans="1:40" ht="30.6" x14ac:dyDescent="0.25">
      <c r="A7" s="164" t="s">
        <v>1421</v>
      </c>
      <c r="B7" s="128" t="s">
        <v>6849</v>
      </c>
      <c r="C7" s="243"/>
      <c r="D7" s="243"/>
      <c r="E7" s="243"/>
      <c r="F7" s="243"/>
      <c r="G7" s="133">
        <v>2</v>
      </c>
      <c r="H7" s="133"/>
      <c r="I7" s="133"/>
      <c r="J7" s="136" t="s">
        <v>79</v>
      </c>
      <c r="AA7">
        <f>IF(AND('1 Org'!C7&gt;Tmin, NOT('1 Org'!$I7="")),'1 Org'!$I7,0)</f>
        <v>0</v>
      </c>
      <c r="AB7">
        <f>IF(AND('1 Org'!D7&gt;Tmin, NOT('1 Org'!$I7="")),'1 Org'!$I7,0)</f>
        <v>0</v>
      </c>
      <c r="AC7">
        <f>IF(AND('1 Org'!E7&gt;Tmin, NOT('1 Org'!$I7="")),'1 Org'!$I7,0)</f>
        <v>0</v>
      </c>
      <c r="AD7">
        <f>IF(AND('1 Org'!F7&gt;Tmin, NOT('1 Org'!$I7="")),'1 Org'!$I7,0)</f>
        <v>0</v>
      </c>
      <c r="AE7">
        <f>IF(AND('1 Org'!C7&lt;Tmax, NOT('1 Org'!$H7="")),'1 Org'!$H7,4)</f>
        <v>4</v>
      </c>
      <c r="AF7">
        <f>IF(AND('1 Org'!D7&lt;Tmax, NOT('1 Org'!$H7="")),'1 Org'!$H7,4)</f>
        <v>4</v>
      </c>
      <c r="AG7">
        <f>IF(AND('1 Org'!E7&lt;Tmax, NOT('1 Org'!$H7="")),'1 Org'!$H7,4)</f>
        <v>4</v>
      </c>
      <c r="AH7">
        <f>IF(AND('1 Org'!F7&lt;Tmax, NOT('1 Org'!$H7="")),'1 Org'!$H7,4)</f>
        <v>4</v>
      </c>
      <c r="AI7"/>
    </row>
    <row r="8" spans="1:40" ht="20.399999999999999" x14ac:dyDescent="0.25">
      <c r="A8" s="164" t="s">
        <v>1422</v>
      </c>
      <c r="B8" s="128" t="s">
        <v>44</v>
      </c>
      <c r="C8" s="243"/>
      <c r="D8" s="243"/>
      <c r="E8" s="243"/>
      <c r="F8" s="243"/>
      <c r="G8" s="133">
        <v>1</v>
      </c>
      <c r="H8" s="133"/>
      <c r="I8" s="133"/>
      <c r="J8" s="136" t="s">
        <v>79</v>
      </c>
      <c r="AA8">
        <f>IF(AND('1 Org'!C8&gt;Tmin, NOT('1 Org'!$I8="")),'1 Org'!$I8,0)</f>
        <v>0</v>
      </c>
      <c r="AB8">
        <f>IF(AND('1 Org'!D8&gt;Tmin, NOT('1 Org'!$I8="")),'1 Org'!$I8,0)</f>
        <v>0</v>
      </c>
      <c r="AC8">
        <f>IF(AND('1 Org'!E8&gt;Tmin, NOT('1 Org'!$I8="")),'1 Org'!$I8,0)</f>
        <v>0</v>
      </c>
      <c r="AD8">
        <f>IF(AND('1 Org'!F8&gt;Tmin, NOT('1 Org'!$I8="")),'1 Org'!$I8,0)</f>
        <v>0</v>
      </c>
      <c r="AE8">
        <f>IF(AND('1 Org'!C8&lt;Tmax, NOT('1 Org'!$H8="")),'1 Org'!$H8,4)</f>
        <v>4</v>
      </c>
      <c r="AF8">
        <f>IF(AND('1 Org'!D8&lt;Tmax, NOT('1 Org'!$H8="")),'1 Org'!$H8,4)</f>
        <v>4</v>
      </c>
      <c r="AG8">
        <f>IF(AND('1 Org'!E8&lt;Tmax, NOT('1 Org'!$H8="")),'1 Org'!$H8,4)</f>
        <v>4</v>
      </c>
      <c r="AH8">
        <f>IF(AND('1 Org'!F8&lt;Tmax, NOT('1 Org'!$H8="")),'1 Org'!$H8,4)</f>
        <v>4</v>
      </c>
      <c r="AI8"/>
    </row>
    <row r="9" spans="1:40" ht="18" customHeight="1" x14ac:dyDescent="0.25">
      <c r="A9" s="164" t="s">
        <v>1423</v>
      </c>
      <c r="B9" s="128" t="s">
        <v>6850</v>
      </c>
      <c r="C9" s="243"/>
      <c r="D9" s="243"/>
      <c r="E9" s="243"/>
      <c r="F9" s="243"/>
      <c r="G9" s="133">
        <v>4</v>
      </c>
      <c r="H9" s="133"/>
      <c r="I9" s="133"/>
      <c r="J9" s="136" t="s">
        <v>79</v>
      </c>
      <c r="AA9">
        <f>IF(AND('1 Org'!C9&gt;Tmin, NOT('1 Org'!$I9="")),'1 Org'!$I9,0)</f>
        <v>0</v>
      </c>
      <c r="AB9">
        <f>IF(AND('1 Org'!D9&gt;Tmin, NOT('1 Org'!$I9="")),'1 Org'!$I9,0)</f>
        <v>0</v>
      </c>
      <c r="AC9">
        <f>IF(AND('1 Org'!E9&gt;Tmin, NOT('1 Org'!$I9="")),'1 Org'!$I9,0)</f>
        <v>0</v>
      </c>
      <c r="AD9">
        <f>IF(AND('1 Org'!F9&gt;Tmin, NOT('1 Org'!$I9="")),'1 Org'!$I9,0)</f>
        <v>0</v>
      </c>
      <c r="AE9">
        <f>IF(AND('1 Org'!C9&lt;Tmax, NOT('1 Org'!$H9="")),'1 Org'!$H9,4)</f>
        <v>4</v>
      </c>
      <c r="AF9">
        <f>IF(AND('1 Org'!D9&lt;Tmax, NOT('1 Org'!$H9="")),'1 Org'!$H9,4)</f>
        <v>4</v>
      </c>
      <c r="AG9">
        <f>IF(AND('1 Org'!E9&lt;Tmax, NOT('1 Org'!$H9="")),'1 Org'!$H9,4)</f>
        <v>4</v>
      </c>
      <c r="AH9">
        <f>IF(AND('1 Org'!F9&lt;Tmax, NOT('1 Org'!$H9="")),'1 Org'!$H9,4)</f>
        <v>4</v>
      </c>
      <c r="AI9"/>
    </row>
    <row r="10" spans="1:40" ht="25.5" customHeight="1" x14ac:dyDescent="0.25">
      <c r="A10" s="164" t="s">
        <v>1424</v>
      </c>
      <c r="B10" s="128" t="s">
        <v>7430</v>
      </c>
      <c r="C10" s="243"/>
      <c r="D10" s="243"/>
      <c r="E10" s="243"/>
      <c r="F10" s="243"/>
      <c r="G10" s="133">
        <v>2</v>
      </c>
      <c r="H10" s="133"/>
      <c r="I10" s="133"/>
      <c r="J10" s="136" t="s">
        <v>7105</v>
      </c>
      <c r="AA10">
        <f>IF(AND('1 Org'!C10&gt;Tmin, NOT('1 Org'!$I10="")),'1 Org'!$I10,0)</f>
        <v>0</v>
      </c>
      <c r="AB10">
        <f>IF(AND('1 Org'!D10&gt;Tmin, NOT('1 Org'!$I10="")),'1 Org'!$I10,0)</f>
        <v>0</v>
      </c>
      <c r="AC10">
        <f>IF(AND('1 Org'!E10&gt;Tmin, NOT('1 Org'!$I10="")),'1 Org'!$I10,0)</f>
        <v>0</v>
      </c>
      <c r="AD10">
        <f>IF(AND('1 Org'!F10&gt;Tmin, NOT('1 Org'!$I10="")),'1 Org'!$I10,0)</f>
        <v>0</v>
      </c>
      <c r="AE10">
        <f>IF(AND('1 Org'!C10&lt;Tmax, NOT('1 Org'!$H10="")),'1 Org'!$H10,4)</f>
        <v>4</v>
      </c>
      <c r="AF10">
        <f>IF(AND('1 Org'!D10&lt;Tmax, NOT('1 Org'!$H10="")),'1 Org'!$H10,4)</f>
        <v>4</v>
      </c>
      <c r="AG10">
        <f>IF(AND('1 Org'!E10&lt;Tmax, NOT('1 Org'!$H10="")),'1 Org'!$H10,4)</f>
        <v>4</v>
      </c>
      <c r="AH10">
        <f>IF(AND('1 Org'!F10&lt;Tmax, NOT('1 Org'!$H10="")),'1 Org'!$H10,4)</f>
        <v>4</v>
      </c>
      <c r="AI10"/>
    </row>
    <row r="11" spans="1:40" ht="30.6" x14ac:dyDescent="0.25">
      <c r="A11" s="164" t="s">
        <v>1425</v>
      </c>
      <c r="B11" s="128" t="s">
        <v>7455</v>
      </c>
      <c r="C11" s="243"/>
      <c r="D11" s="243"/>
      <c r="E11" s="243"/>
      <c r="F11" s="243"/>
      <c r="G11" s="133">
        <v>2</v>
      </c>
      <c r="H11" s="133"/>
      <c r="I11" s="133"/>
      <c r="J11" s="136" t="s">
        <v>7105</v>
      </c>
      <c r="AA11">
        <f>IF(AND('1 Org'!C11&gt;Tmin, NOT('1 Org'!$I11="")),'1 Org'!$I11,0)</f>
        <v>0</v>
      </c>
      <c r="AB11">
        <f>IF(AND('1 Org'!D11&gt;Tmin, NOT('1 Org'!$I11="")),'1 Org'!$I11,0)</f>
        <v>0</v>
      </c>
      <c r="AC11">
        <f>IF(AND('1 Org'!E11&gt;Tmin, NOT('1 Org'!$I11="")),'1 Org'!$I11,0)</f>
        <v>0</v>
      </c>
      <c r="AD11">
        <f>IF(AND('1 Org'!F11&gt;Tmin, NOT('1 Org'!$I11="")),'1 Org'!$I11,0)</f>
        <v>0</v>
      </c>
      <c r="AE11">
        <f>IF(AND('1 Org'!C11&lt;Tmax, NOT('1 Org'!$H11="")),'1 Org'!$H11,4)</f>
        <v>4</v>
      </c>
      <c r="AF11">
        <f>IF(AND('1 Org'!D11&lt;Tmax, NOT('1 Org'!$H11="")),'1 Org'!$H11,4)</f>
        <v>4</v>
      </c>
      <c r="AG11">
        <f>IF(AND('1 Org'!E11&lt;Tmax, NOT('1 Org'!$H11="")),'1 Org'!$H11,4)</f>
        <v>4</v>
      </c>
      <c r="AH11">
        <f>IF(AND('1 Org'!F11&lt;Tmax, NOT('1 Org'!$H11="")),'1 Org'!$H11,4)</f>
        <v>4</v>
      </c>
      <c r="AI11"/>
    </row>
    <row r="12" spans="1:40" ht="20.399999999999999" x14ac:dyDescent="0.25">
      <c r="A12" s="164" t="s">
        <v>7398</v>
      </c>
      <c r="B12" s="128" t="s">
        <v>7431</v>
      </c>
      <c r="C12" s="243"/>
      <c r="D12" s="243"/>
      <c r="E12" s="243"/>
      <c r="F12" s="243"/>
      <c r="G12" s="133">
        <v>2</v>
      </c>
      <c r="H12" s="133"/>
      <c r="I12" s="133"/>
      <c r="J12" s="136" t="s">
        <v>7105</v>
      </c>
      <c r="AA12">
        <f>IF(AND('1 Org'!C12&gt;Tmin, NOT('1 Org'!$I12="")),'1 Org'!$I12,0)</f>
        <v>0</v>
      </c>
      <c r="AB12">
        <f>IF(AND('1 Org'!D12&gt;Tmin, NOT('1 Org'!$I12="")),'1 Org'!$I12,0)</f>
        <v>0</v>
      </c>
      <c r="AC12">
        <f>IF(AND('1 Org'!E12&gt;Tmin, NOT('1 Org'!$I12="")),'1 Org'!$I12,0)</f>
        <v>0</v>
      </c>
      <c r="AD12">
        <f>IF(AND('1 Org'!F12&gt;Tmin, NOT('1 Org'!$I12="")),'1 Org'!$I12,0)</f>
        <v>0</v>
      </c>
      <c r="AE12">
        <f>IF(AND('1 Org'!C12&lt;Tmax, NOT('1 Org'!$H12="")),'1 Org'!$H12,4)</f>
        <v>4</v>
      </c>
      <c r="AF12">
        <f>IF(AND('1 Org'!D12&lt;Tmax, NOT('1 Org'!$H12="")),'1 Org'!$H12,4)</f>
        <v>4</v>
      </c>
      <c r="AG12">
        <f>IF(AND('1 Org'!E12&lt;Tmax, NOT('1 Org'!$H12="")),'1 Org'!$H12,4)</f>
        <v>4</v>
      </c>
      <c r="AH12">
        <f>IF(AND('1 Org'!F12&lt;Tmax, NOT('1 Org'!$H12="")),'1 Org'!$H12,4)</f>
        <v>4</v>
      </c>
      <c r="AI12"/>
    </row>
    <row r="13" spans="1:40" ht="20.399999999999999" x14ac:dyDescent="0.25">
      <c r="A13" s="164" t="s">
        <v>7399</v>
      </c>
      <c r="B13" s="128" t="s">
        <v>7393</v>
      </c>
      <c r="C13" s="243"/>
      <c r="D13" s="243"/>
      <c r="E13" s="243"/>
      <c r="F13" s="243"/>
      <c r="G13" s="133">
        <v>2</v>
      </c>
      <c r="H13" s="133"/>
      <c r="I13" s="133"/>
      <c r="J13" s="136" t="s">
        <v>7109</v>
      </c>
      <c r="AA13">
        <f>IF(AND('1 Org'!C13&gt;Tmin, NOT('1 Org'!$I13="")),'1 Org'!$I13,0)</f>
        <v>0</v>
      </c>
      <c r="AB13">
        <f>IF(AND('1 Org'!D13&gt;Tmin, NOT('1 Org'!$I13="")),'1 Org'!$I13,0)</f>
        <v>0</v>
      </c>
      <c r="AC13">
        <f>IF(AND('1 Org'!E13&gt;Tmin, NOT('1 Org'!$I13="")),'1 Org'!$I13,0)</f>
        <v>0</v>
      </c>
      <c r="AD13">
        <f>IF(AND('1 Org'!F13&gt;Tmin, NOT('1 Org'!$I13="")),'1 Org'!$I13,0)</f>
        <v>0</v>
      </c>
      <c r="AE13">
        <f>IF(AND('1 Org'!C13&lt;Tmax, NOT('1 Org'!$H13="")),'1 Org'!$H13,4)</f>
        <v>4</v>
      </c>
      <c r="AF13">
        <f>IF(AND('1 Org'!D13&lt;Tmax, NOT('1 Org'!$H13="")),'1 Org'!$H13,4)</f>
        <v>4</v>
      </c>
      <c r="AG13">
        <f>IF(AND('1 Org'!E13&lt;Tmax, NOT('1 Org'!$H13="")),'1 Org'!$H13,4)</f>
        <v>4</v>
      </c>
      <c r="AH13">
        <f>IF(AND('1 Org'!F13&lt;Tmax, NOT('1 Org'!$H13="")),'1 Org'!$H13,4)</f>
        <v>4</v>
      </c>
      <c r="AI13"/>
    </row>
    <row r="14" spans="1:40" ht="20.399999999999999" x14ac:dyDescent="0.25">
      <c r="A14" s="164" t="s">
        <v>7400</v>
      </c>
      <c r="B14" s="128" t="s">
        <v>7456</v>
      </c>
      <c r="C14" s="243"/>
      <c r="D14" s="243"/>
      <c r="E14" s="243"/>
      <c r="F14" s="243"/>
      <c r="G14" s="133">
        <v>2</v>
      </c>
      <c r="H14" s="133"/>
      <c r="I14" s="133"/>
      <c r="J14" s="136" t="s">
        <v>7109</v>
      </c>
      <c r="AA14">
        <f>IF(AND('1 Org'!C14&gt;Tmin, NOT('1 Org'!$I14="")),'1 Org'!$I14,0)</f>
        <v>0</v>
      </c>
      <c r="AB14">
        <f>IF(AND('1 Org'!D14&gt;Tmin, NOT('1 Org'!$I14="")),'1 Org'!$I14,0)</f>
        <v>0</v>
      </c>
      <c r="AC14">
        <f>IF(AND('1 Org'!E14&gt;Tmin, NOT('1 Org'!$I14="")),'1 Org'!$I14,0)</f>
        <v>0</v>
      </c>
      <c r="AD14">
        <f>IF(AND('1 Org'!F14&gt;Tmin, NOT('1 Org'!$I14="")),'1 Org'!$I14,0)</f>
        <v>0</v>
      </c>
      <c r="AE14">
        <f>IF(AND('1 Org'!C14&lt;Tmax, NOT('1 Org'!$H14="")),'1 Org'!$H14,4)</f>
        <v>4</v>
      </c>
      <c r="AF14">
        <f>IF(AND('1 Org'!D14&lt;Tmax, NOT('1 Org'!$H14="")),'1 Org'!$H14,4)</f>
        <v>4</v>
      </c>
      <c r="AG14">
        <f>IF(AND('1 Org'!E14&lt;Tmax, NOT('1 Org'!$H14="")),'1 Org'!$H14,4)</f>
        <v>4</v>
      </c>
      <c r="AH14">
        <f>IF(AND('1 Org'!F14&lt;Tmax, NOT('1 Org'!$H14="")),'1 Org'!$H14,4)</f>
        <v>4</v>
      </c>
      <c r="AI14"/>
    </row>
    <row r="15" spans="1:40" ht="15" customHeight="1" x14ac:dyDescent="0.25">
      <c r="A15" s="164" t="s">
        <v>7401</v>
      </c>
      <c r="B15" s="128" t="s">
        <v>7394</v>
      </c>
      <c r="C15" s="243"/>
      <c r="D15" s="243"/>
      <c r="E15" s="243"/>
      <c r="F15" s="243"/>
      <c r="G15" s="133">
        <v>4</v>
      </c>
      <c r="H15" s="133"/>
      <c r="I15" s="133"/>
      <c r="J15" s="136" t="s">
        <v>7109</v>
      </c>
      <c r="AA15">
        <f>IF(AND('1 Org'!C15&gt;Tmin, NOT('1 Org'!$I15="")),'1 Org'!$I15,0)</f>
        <v>0</v>
      </c>
      <c r="AB15">
        <f>IF(AND('1 Org'!D15&gt;Tmin, NOT('1 Org'!$I15="")),'1 Org'!$I15,0)</f>
        <v>0</v>
      </c>
      <c r="AC15">
        <f>IF(AND('1 Org'!E15&gt;Tmin, NOT('1 Org'!$I15="")),'1 Org'!$I15,0)</f>
        <v>0</v>
      </c>
      <c r="AD15">
        <f>IF(AND('1 Org'!F15&gt;Tmin, NOT('1 Org'!$I15="")),'1 Org'!$I15,0)</f>
        <v>0</v>
      </c>
      <c r="AE15">
        <f>IF(AND('1 Org'!C15&lt;Tmax, NOT('1 Org'!$H15="")),'1 Org'!$H15,4)</f>
        <v>4</v>
      </c>
      <c r="AF15">
        <f>IF(AND('1 Org'!D15&lt;Tmax, NOT('1 Org'!$H15="")),'1 Org'!$H15,4)</f>
        <v>4</v>
      </c>
      <c r="AG15">
        <f>IF(AND('1 Org'!E15&lt;Tmax, NOT('1 Org'!$H15="")),'1 Org'!$H15,4)</f>
        <v>4</v>
      </c>
      <c r="AH15">
        <f>IF(AND('1 Org'!F15&lt;Tmax, NOT('1 Org'!$H15="")),'1 Org'!$H15,4)</f>
        <v>4</v>
      </c>
      <c r="AI15"/>
    </row>
    <row r="16" spans="1:40" ht="20.399999999999999" x14ac:dyDescent="0.25">
      <c r="A16" s="164" t="s">
        <v>7402</v>
      </c>
      <c r="B16" s="128" t="s">
        <v>7395</v>
      </c>
      <c r="C16" s="243"/>
      <c r="D16" s="243"/>
      <c r="E16" s="243"/>
      <c r="F16" s="243"/>
      <c r="G16" s="133">
        <v>2</v>
      </c>
      <c r="H16" s="133"/>
      <c r="I16" s="133"/>
      <c r="J16" s="136" t="s">
        <v>7111</v>
      </c>
      <c r="AA16">
        <f>IF(AND('1 Org'!C16&gt;Tmin, NOT('1 Org'!$I16="")),'1 Org'!$I16,0)</f>
        <v>0</v>
      </c>
      <c r="AB16">
        <f>IF(AND('1 Org'!D16&gt;Tmin, NOT('1 Org'!$I16="")),'1 Org'!$I16,0)</f>
        <v>0</v>
      </c>
      <c r="AC16">
        <f>IF(AND('1 Org'!E16&gt;Tmin, NOT('1 Org'!$I16="")),'1 Org'!$I16,0)</f>
        <v>0</v>
      </c>
      <c r="AD16">
        <f>IF(AND('1 Org'!F16&gt;Tmin, NOT('1 Org'!$I16="")),'1 Org'!$I16,0)</f>
        <v>0</v>
      </c>
      <c r="AE16">
        <f>IF(AND('1 Org'!C16&lt;Tmax, NOT('1 Org'!$H16="")),'1 Org'!$H16,4)</f>
        <v>4</v>
      </c>
      <c r="AF16">
        <f>IF(AND('1 Org'!D16&lt;Tmax, NOT('1 Org'!$H16="")),'1 Org'!$H16,4)</f>
        <v>4</v>
      </c>
      <c r="AG16">
        <f>IF(AND('1 Org'!E16&lt;Tmax, NOT('1 Org'!$H16="")),'1 Org'!$H16,4)</f>
        <v>4</v>
      </c>
      <c r="AH16">
        <f>IF(AND('1 Org'!F16&lt;Tmax, NOT('1 Org'!$H16="")),'1 Org'!$H16,4)</f>
        <v>4</v>
      </c>
      <c r="AI16"/>
    </row>
    <row r="17" spans="1:200" ht="20.399999999999999" x14ac:dyDescent="0.25">
      <c r="A17" s="164" t="s">
        <v>7403</v>
      </c>
      <c r="B17" s="128" t="s">
        <v>7396</v>
      </c>
      <c r="C17" s="243"/>
      <c r="D17" s="243"/>
      <c r="E17" s="243"/>
      <c r="F17" s="243"/>
      <c r="G17" s="133">
        <v>2</v>
      </c>
      <c r="H17" s="133"/>
      <c r="I17" s="133"/>
      <c r="J17" s="136" t="s">
        <v>7111</v>
      </c>
      <c r="AA17">
        <f>IF(AND('1 Org'!C17&gt;Tmin, NOT('1 Org'!$I17="")),'1 Org'!$I17,0)</f>
        <v>0</v>
      </c>
      <c r="AB17">
        <f>IF(AND('1 Org'!D17&gt;Tmin, NOT('1 Org'!$I17="")),'1 Org'!$I17,0)</f>
        <v>0</v>
      </c>
      <c r="AC17">
        <f>IF(AND('1 Org'!E17&gt;Tmin, NOT('1 Org'!$I17="")),'1 Org'!$I17,0)</f>
        <v>0</v>
      </c>
      <c r="AD17">
        <f>IF(AND('1 Org'!F17&gt;Tmin, NOT('1 Org'!$I17="")),'1 Org'!$I17,0)</f>
        <v>0</v>
      </c>
      <c r="AE17">
        <f>IF(AND('1 Org'!C17&lt;Tmax, NOT('1 Org'!$H17="")),'1 Org'!$H17,4)</f>
        <v>4</v>
      </c>
      <c r="AF17">
        <f>IF(AND('1 Org'!D17&lt;Tmax, NOT('1 Org'!$H17="")),'1 Org'!$H17,4)</f>
        <v>4</v>
      </c>
      <c r="AG17">
        <f>IF(AND('1 Org'!E17&lt;Tmax, NOT('1 Org'!$H17="")),'1 Org'!$H17,4)</f>
        <v>4</v>
      </c>
      <c r="AH17">
        <f>IF(AND('1 Org'!F17&lt;Tmax, NOT('1 Org'!$H17="")),'1 Org'!$H17,4)</f>
        <v>4</v>
      </c>
      <c r="AI17"/>
    </row>
    <row r="18" spans="1:200" ht="20.399999999999999" x14ac:dyDescent="0.25">
      <c r="A18" s="164" t="s">
        <v>7404</v>
      </c>
      <c r="B18" s="128" t="s">
        <v>7397</v>
      </c>
      <c r="C18" s="243"/>
      <c r="D18" s="243"/>
      <c r="E18" s="243"/>
      <c r="F18" s="243"/>
      <c r="G18" s="133">
        <v>4</v>
      </c>
      <c r="H18" s="133"/>
      <c r="I18" s="133"/>
      <c r="J18" s="136" t="s">
        <v>7111</v>
      </c>
      <c r="AA18">
        <f>IF(AND('1 Org'!C18&gt;Tmin, NOT('1 Org'!$I18="")),'1 Org'!$I18,0)</f>
        <v>0</v>
      </c>
      <c r="AB18">
        <f>IF(AND('1 Org'!D18&gt;Tmin, NOT('1 Org'!$I18="")),'1 Org'!$I18,0)</f>
        <v>0</v>
      </c>
      <c r="AC18">
        <f>IF(AND('1 Org'!E18&gt;Tmin, NOT('1 Org'!$I18="")),'1 Org'!$I18,0)</f>
        <v>0</v>
      </c>
      <c r="AD18">
        <f>IF(AND('1 Org'!F18&gt;Tmin, NOT('1 Org'!$I18="")),'1 Org'!$I18,0)</f>
        <v>0</v>
      </c>
      <c r="AE18">
        <f>IF(AND('1 Org'!C18&lt;Tmax, NOT('1 Org'!$H18="")),'1 Org'!$H18,4)</f>
        <v>4</v>
      </c>
      <c r="AF18">
        <f>IF(AND('1 Org'!D18&lt;Tmax, NOT('1 Org'!$H18="")),'1 Org'!$H18,4)</f>
        <v>4</v>
      </c>
      <c r="AG18">
        <f>IF(AND('1 Org'!E18&lt;Tmax, NOT('1 Org'!$H18="")),'1 Org'!$H18,4)</f>
        <v>4</v>
      </c>
      <c r="AH18">
        <f>IF(AND('1 Org'!F18&lt;Tmax, NOT('1 Org'!$H18="")),'1 Org'!$H18,4)</f>
        <v>4</v>
      </c>
      <c r="AI18"/>
    </row>
    <row r="19" spans="1:200" s="305" customFormat="1" x14ac:dyDescent="0.25">
      <c r="A19" s="164" t="s">
        <v>655</v>
      </c>
      <c r="B19" s="128" t="s">
        <v>657</v>
      </c>
      <c r="C19" s="243"/>
      <c r="D19" s="243"/>
      <c r="E19" s="243"/>
      <c r="F19" s="243"/>
      <c r="G19" s="133"/>
      <c r="H19" s="133"/>
      <c r="I19" s="133"/>
      <c r="J19" s="136"/>
      <c r="K19" s="135"/>
      <c r="L19" s="135"/>
      <c r="M19" s="135"/>
      <c r="N19" s="135"/>
      <c r="O19" s="135"/>
      <c r="P19" s="135"/>
      <c r="Q19" s="135"/>
      <c r="R19" s="135"/>
      <c r="S19" s="135"/>
      <c r="T19" s="135"/>
      <c r="U19" s="135"/>
      <c r="V19" s="135"/>
      <c r="W19" s="135"/>
      <c r="X19" s="135"/>
      <c r="Y19" s="135"/>
      <c r="Z19" s="135"/>
      <c r="AA19"/>
      <c r="AB19"/>
      <c r="AC19"/>
      <c r="AD19"/>
      <c r="AE19"/>
      <c r="AF19"/>
      <c r="AG19"/>
      <c r="AH19"/>
      <c r="AI19"/>
      <c r="AJ19" s="227"/>
      <c r="AK19" s="227"/>
      <c r="AL19" s="227"/>
      <c r="AM19" s="227"/>
      <c r="AN19" s="227"/>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c r="CV19" s="213"/>
      <c r="CW19" s="213"/>
      <c r="CX19" s="213"/>
      <c r="CY19" s="213"/>
      <c r="CZ19" s="213"/>
      <c r="DA19" s="213"/>
      <c r="DB19" s="213"/>
      <c r="DC19" s="213"/>
      <c r="DD19" s="213"/>
      <c r="DE19" s="213"/>
      <c r="DF19" s="213"/>
      <c r="DG19" s="213"/>
      <c r="DH19" s="213"/>
      <c r="DI19" s="213"/>
      <c r="DJ19" s="213"/>
      <c r="DK19" s="213"/>
      <c r="DL19" s="213"/>
      <c r="DM19" s="213"/>
      <c r="DN19" s="213"/>
      <c r="DO19" s="213"/>
      <c r="DP19" s="213"/>
      <c r="DQ19" s="213"/>
      <c r="DR19" s="213"/>
      <c r="DS19" s="213"/>
      <c r="DT19" s="213"/>
      <c r="DU19" s="213"/>
      <c r="DV19" s="213"/>
      <c r="DW19" s="213"/>
      <c r="DX19" s="213"/>
      <c r="DY19" s="213"/>
      <c r="DZ19" s="213"/>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213"/>
      <c r="FB19" s="213"/>
      <c r="FC19" s="213"/>
      <c r="FD19" s="213"/>
      <c r="FE19" s="213"/>
      <c r="FF19" s="213"/>
      <c r="FG19" s="213"/>
      <c r="FH19" s="213"/>
      <c r="FI19" s="213"/>
      <c r="FJ19" s="213"/>
      <c r="FK19" s="213"/>
      <c r="FL19" s="213"/>
      <c r="FM19" s="213"/>
      <c r="FN19" s="213"/>
      <c r="FO19" s="213"/>
      <c r="FP19" s="213"/>
      <c r="FQ19" s="213"/>
      <c r="FR19" s="213"/>
      <c r="FS19" s="213"/>
      <c r="FT19" s="213"/>
      <c r="FU19" s="213"/>
      <c r="FV19" s="213"/>
      <c r="FW19" s="213"/>
      <c r="FX19" s="213"/>
      <c r="FY19" s="213"/>
      <c r="FZ19" s="213"/>
      <c r="GA19" s="213"/>
      <c r="GB19" s="213"/>
      <c r="GC19" s="213"/>
      <c r="GD19" s="213"/>
      <c r="GE19" s="213"/>
      <c r="GF19" s="213"/>
      <c r="GG19" s="213"/>
      <c r="GH19" s="213"/>
      <c r="GI19" s="213"/>
      <c r="GJ19" s="213"/>
      <c r="GK19" s="213"/>
      <c r="GL19" s="213"/>
      <c r="GM19" s="213"/>
      <c r="GN19" s="213"/>
      <c r="GO19" s="213"/>
      <c r="GP19" s="213"/>
      <c r="GQ19" s="213"/>
      <c r="GR19" s="213"/>
    </row>
    <row r="20" spans="1:200" s="305" customFormat="1" ht="20.399999999999999" x14ac:dyDescent="0.25">
      <c r="A20" s="164" t="s">
        <v>1426</v>
      </c>
      <c r="B20" s="128" t="s">
        <v>6851</v>
      </c>
      <c r="C20" s="243"/>
      <c r="D20" s="243"/>
      <c r="E20" s="243"/>
      <c r="F20" s="243"/>
      <c r="G20" s="133">
        <v>2</v>
      </c>
      <c r="H20" s="133"/>
      <c r="I20" s="133"/>
      <c r="J20" s="136" t="s">
        <v>6852</v>
      </c>
      <c r="K20" s="135"/>
      <c r="L20" s="135"/>
      <c r="M20" s="135"/>
      <c r="N20" s="135"/>
      <c r="O20" s="135"/>
      <c r="P20" s="135"/>
      <c r="Q20" s="135"/>
      <c r="R20" s="135"/>
      <c r="S20" s="135"/>
      <c r="T20" s="135"/>
      <c r="U20" s="135"/>
      <c r="V20" s="135"/>
      <c r="W20" s="135"/>
      <c r="X20" s="135"/>
      <c r="Y20" s="135"/>
      <c r="Z20" s="135"/>
      <c r="AA20">
        <f>IF(AND('1 Org'!C20&gt;Tmin, NOT('1 Org'!$I20="")),'1 Org'!$I20,0)</f>
        <v>0</v>
      </c>
      <c r="AB20">
        <f>IF(AND('1 Org'!D20&gt;Tmin, NOT('1 Org'!$I20="")),'1 Org'!$I20,0)</f>
        <v>0</v>
      </c>
      <c r="AC20">
        <f>IF(AND('1 Org'!E20&gt;Tmin, NOT('1 Org'!$I20="")),'1 Org'!$I20,0)</f>
        <v>0</v>
      </c>
      <c r="AD20">
        <f>IF(AND('1 Org'!F20&gt;Tmin, NOT('1 Org'!$I20="")),'1 Org'!$I20,0)</f>
        <v>0</v>
      </c>
      <c r="AE20">
        <f>IF(AND('1 Org'!C20&lt;Tmax, NOT('1 Org'!$H20="")),'1 Org'!$H20,4)</f>
        <v>4</v>
      </c>
      <c r="AF20">
        <f>IF(AND('1 Org'!D20&lt;Tmax, NOT('1 Org'!$H20="")),'1 Org'!$H20,4)</f>
        <v>4</v>
      </c>
      <c r="AG20">
        <f>IF(AND('1 Org'!E20&lt;Tmax, NOT('1 Org'!$H20="")),'1 Org'!$H20,4)</f>
        <v>4</v>
      </c>
      <c r="AH20">
        <f>IF(AND('1 Org'!F20&lt;Tmax, NOT('1 Org'!$H20="")),'1 Org'!$H20,4)</f>
        <v>4</v>
      </c>
      <c r="AI20"/>
      <c r="AJ20" s="227"/>
      <c r="AK20" s="227"/>
      <c r="AL20" s="227"/>
      <c r="AM20" s="227"/>
      <c r="AN20" s="227"/>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c r="DR20" s="213"/>
      <c r="DS20" s="213"/>
      <c r="DT20" s="213"/>
      <c r="DU20" s="213"/>
      <c r="DV20" s="213"/>
      <c r="DW20" s="213"/>
      <c r="DX20" s="213"/>
      <c r="DY20" s="213"/>
      <c r="DZ20" s="213"/>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213"/>
      <c r="FB20" s="213"/>
      <c r="FC20" s="213"/>
      <c r="FD20" s="213"/>
      <c r="FE20" s="213"/>
      <c r="FF20" s="213"/>
      <c r="FG20" s="213"/>
      <c r="FH20" s="213"/>
      <c r="FI20" s="213"/>
      <c r="FJ20" s="213"/>
      <c r="FK20" s="213"/>
      <c r="FL20" s="213"/>
      <c r="FM20" s="213"/>
      <c r="FN20" s="213"/>
      <c r="FO20" s="213"/>
      <c r="FP20" s="213"/>
      <c r="FQ20" s="213"/>
      <c r="FR20" s="213"/>
      <c r="FS20" s="213"/>
      <c r="FT20" s="213"/>
      <c r="FU20" s="213"/>
      <c r="FV20" s="213"/>
      <c r="FW20" s="213"/>
      <c r="FX20" s="213"/>
      <c r="FY20" s="213"/>
      <c r="FZ20" s="213"/>
      <c r="GA20" s="213"/>
      <c r="GB20" s="213"/>
      <c r="GC20" s="213"/>
      <c r="GD20" s="213"/>
      <c r="GE20" s="213"/>
      <c r="GF20" s="213"/>
      <c r="GG20" s="213"/>
      <c r="GH20" s="213"/>
      <c r="GI20" s="213"/>
      <c r="GJ20" s="213"/>
      <c r="GK20" s="213"/>
      <c r="GL20" s="213"/>
      <c r="GM20" s="213"/>
      <c r="GN20" s="213"/>
      <c r="GO20" s="213"/>
      <c r="GP20" s="213"/>
      <c r="GQ20" s="213"/>
      <c r="GR20" s="213"/>
    </row>
    <row r="21" spans="1:200" ht="30.6" x14ac:dyDescent="0.25">
      <c r="A21" s="164" t="s">
        <v>1427</v>
      </c>
      <c r="B21" s="128" t="s">
        <v>7457</v>
      </c>
      <c r="C21" s="243"/>
      <c r="D21" s="243"/>
      <c r="E21" s="243"/>
      <c r="F21" s="243"/>
      <c r="G21" s="133">
        <v>2</v>
      </c>
      <c r="H21" s="133"/>
      <c r="I21" s="133"/>
      <c r="J21" s="136" t="s">
        <v>6852</v>
      </c>
      <c r="AA21">
        <f>IF(AND('1 Org'!C21&gt;Tmin, NOT('1 Org'!$I21="")),'1 Org'!$I21,0)</f>
        <v>0</v>
      </c>
      <c r="AB21">
        <f>IF(AND('1 Org'!D21&gt;Tmin, NOT('1 Org'!$I21="")),'1 Org'!$I21,0)</f>
        <v>0</v>
      </c>
      <c r="AC21">
        <f>IF(AND('1 Org'!E21&gt;Tmin, NOT('1 Org'!$I21="")),'1 Org'!$I21,0)</f>
        <v>0</v>
      </c>
      <c r="AD21">
        <f>IF(AND('1 Org'!F21&gt;Tmin, NOT('1 Org'!$I21="")),'1 Org'!$I21,0)</f>
        <v>0</v>
      </c>
      <c r="AE21">
        <f>IF(AND('1 Org'!C21&lt;Tmax, NOT('1 Org'!$H21="")),'1 Org'!$H21,4)</f>
        <v>4</v>
      </c>
      <c r="AF21">
        <f>IF(AND('1 Org'!D21&lt;Tmax, NOT('1 Org'!$H21="")),'1 Org'!$H21,4)</f>
        <v>4</v>
      </c>
      <c r="AG21">
        <f>IF(AND('1 Org'!E21&lt;Tmax, NOT('1 Org'!$H21="")),'1 Org'!$H21,4)</f>
        <v>4</v>
      </c>
      <c r="AH21">
        <f>IF(AND('1 Org'!F21&lt;Tmax, NOT('1 Org'!$H21="")),'1 Org'!$H21,4)</f>
        <v>4</v>
      </c>
      <c r="AI21"/>
    </row>
    <row r="22" spans="1:200" ht="20.399999999999999" x14ac:dyDescent="0.25">
      <c r="A22" s="164" t="s">
        <v>6853</v>
      </c>
      <c r="B22" s="128" t="s">
        <v>6854</v>
      </c>
      <c r="C22" s="243"/>
      <c r="D22" s="243"/>
      <c r="E22" s="243"/>
      <c r="F22" s="243"/>
      <c r="G22" s="133">
        <v>4</v>
      </c>
      <c r="H22" s="133"/>
      <c r="I22" s="133"/>
      <c r="J22" s="136" t="s">
        <v>6852</v>
      </c>
      <c r="AA22">
        <f>IF(AND('1 Org'!C22&gt;Tmin, NOT('1 Org'!$I22="")),'1 Org'!$I22,0)</f>
        <v>0</v>
      </c>
      <c r="AB22">
        <f>IF(AND('1 Org'!D22&gt;Tmin, NOT('1 Org'!$I22="")),'1 Org'!$I22,0)</f>
        <v>0</v>
      </c>
      <c r="AC22">
        <f>IF(AND('1 Org'!E22&gt;Tmin, NOT('1 Org'!$I22="")),'1 Org'!$I22,0)</f>
        <v>0</v>
      </c>
      <c r="AD22">
        <f>IF(AND('1 Org'!F22&gt;Tmin, NOT('1 Org'!$I22="")),'1 Org'!$I22,0)</f>
        <v>0</v>
      </c>
      <c r="AE22">
        <f>IF(AND('1 Org'!C22&lt;Tmax, NOT('1 Org'!$H22="")),'1 Org'!$H22,4)</f>
        <v>4</v>
      </c>
      <c r="AF22">
        <f>IF(AND('1 Org'!D22&lt;Tmax, NOT('1 Org'!$H22="")),'1 Org'!$H22,4)</f>
        <v>4</v>
      </c>
      <c r="AG22">
        <f>IF(AND('1 Org'!E22&lt;Tmax, NOT('1 Org'!$H22="")),'1 Org'!$H22,4)</f>
        <v>4</v>
      </c>
      <c r="AH22">
        <f>IF(AND('1 Org'!F22&lt;Tmax, NOT('1 Org'!$H22="")),'1 Org'!$H22,4)</f>
        <v>4</v>
      </c>
      <c r="AI22"/>
    </row>
    <row r="23" spans="1:200" x14ac:dyDescent="0.25">
      <c r="A23" s="225" t="s">
        <v>1428</v>
      </c>
      <c r="B23" s="1102" t="s">
        <v>81</v>
      </c>
      <c r="C23" s="243"/>
      <c r="D23" s="243"/>
      <c r="E23" s="243"/>
      <c r="F23" s="243"/>
      <c r="G23" s="133"/>
      <c r="H23" s="133"/>
      <c r="I23" s="133"/>
      <c r="J23" s="136"/>
      <c r="AA23"/>
      <c r="AB23"/>
      <c r="AC23"/>
      <c r="AD23"/>
      <c r="AE23"/>
      <c r="AF23"/>
      <c r="AG23"/>
      <c r="AH23"/>
      <c r="AI23"/>
    </row>
    <row r="24" spans="1:200" x14ac:dyDescent="0.25">
      <c r="A24" s="164" t="s">
        <v>659</v>
      </c>
      <c r="B24" s="128" t="s">
        <v>1429</v>
      </c>
      <c r="C24" s="243"/>
      <c r="D24" s="243"/>
      <c r="E24" s="243"/>
      <c r="F24" s="243"/>
      <c r="G24" s="133"/>
      <c r="H24" s="133"/>
      <c r="I24" s="133"/>
      <c r="J24" s="306"/>
      <c r="AA24"/>
      <c r="AB24"/>
      <c r="AC24"/>
      <c r="AD24"/>
      <c r="AE24"/>
      <c r="AF24"/>
      <c r="AG24"/>
      <c r="AH24"/>
      <c r="AI24"/>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c r="DT24" s="227"/>
      <c r="DU24" s="227"/>
      <c r="DV24" s="227"/>
      <c r="DW24" s="227"/>
      <c r="DX24" s="227"/>
      <c r="DY24" s="227"/>
      <c r="DZ24" s="227"/>
      <c r="EA24" s="227"/>
      <c r="EB24" s="227"/>
      <c r="EC24" s="227"/>
      <c r="ED24" s="227"/>
      <c r="EE24" s="227"/>
      <c r="EF24" s="227"/>
      <c r="EG24" s="227"/>
      <c r="EH24" s="227"/>
      <c r="EI24" s="227"/>
      <c r="EJ24" s="227"/>
      <c r="EK24" s="227"/>
      <c r="EL24" s="227"/>
      <c r="EM24" s="227"/>
      <c r="EN24" s="227"/>
      <c r="EO24" s="227"/>
      <c r="EP24" s="227"/>
      <c r="EQ24" s="227"/>
      <c r="ER24" s="227"/>
      <c r="ES24" s="227"/>
      <c r="ET24" s="227"/>
      <c r="EU24" s="227"/>
      <c r="EV24" s="227"/>
      <c r="EW24" s="227"/>
      <c r="EX24" s="227"/>
      <c r="EY24" s="227"/>
      <c r="EZ24" s="227"/>
      <c r="FA24" s="227"/>
      <c r="FB24" s="227"/>
      <c r="FC24" s="227"/>
      <c r="FD24" s="227"/>
      <c r="FE24" s="227"/>
      <c r="FF24" s="227"/>
      <c r="FG24" s="227"/>
      <c r="FH24" s="227"/>
      <c r="FI24" s="227"/>
      <c r="FJ24" s="227"/>
      <c r="FK24" s="227"/>
      <c r="FL24" s="227"/>
      <c r="FM24" s="227"/>
      <c r="FN24" s="227"/>
      <c r="FO24" s="227"/>
      <c r="FP24" s="227"/>
      <c r="FQ24" s="227"/>
      <c r="FR24" s="227"/>
      <c r="FS24" s="227"/>
      <c r="FT24" s="227"/>
      <c r="FU24" s="227"/>
      <c r="FV24" s="227"/>
      <c r="FW24" s="227"/>
      <c r="FX24" s="227"/>
      <c r="FY24" s="227"/>
      <c r="FZ24" s="227"/>
      <c r="GA24" s="227"/>
      <c r="GB24" s="227"/>
      <c r="GC24" s="227"/>
      <c r="GD24" s="227"/>
      <c r="GE24" s="227"/>
      <c r="GF24" s="227"/>
      <c r="GG24" s="227"/>
      <c r="GH24" s="227"/>
      <c r="GI24" s="227"/>
      <c r="GJ24" s="227"/>
      <c r="GK24" s="227"/>
      <c r="GL24" s="227"/>
      <c r="GM24" s="227"/>
      <c r="GN24" s="227"/>
      <c r="GO24" s="227"/>
      <c r="GP24" s="227"/>
      <c r="GQ24" s="227"/>
      <c r="GR24" s="227"/>
    </row>
    <row r="25" spans="1:200" ht="20.399999999999999" x14ac:dyDescent="0.25">
      <c r="A25" s="164" t="s">
        <v>1430</v>
      </c>
      <c r="B25" s="128" t="s">
        <v>2</v>
      </c>
      <c r="C25" s="243"/>
      <c r="D25" s="243"/>
      <c r="E25" s="243"/>
      <c r="F25" s="243"/>
      <c r="G25" s="133">
        <v>4</v>
      </c>
      <c r="H25" s="133">
        <v>2</v>
      </c>
      <c r="I25" s="133">
        <v>3</v>
      </c>
      <c r="J25" s="136" t="s">
        <v>6855</v>
      </c>
      <c r="L25" s="227"/>
      <c r="M25" s="227"/>
      <c r="N25" s="227"/>
      <c r="O25" s="227"/>
      <c r="P25" s="227"/>
      <c r="Q25" s="227"/>
      <c r="R25" s="227"/>
      <c r="S25" s="227"/>
      <c r="T25" s="227"/>
      <c r="U25" s="227"/>
      <c r="V25" s="227"/>
      <c r="W25" s="227"/>
      <c r="X25" s="227"/>
      <c r="Y25" s="227"/>
      <c r="Z25" s="227"/>
      <c r="AA25">
        <f>IF(AND('1 Org'!C25&gt;Tmin, NOT('1 Org'!$I25="")),'1 Org'!$I25,0)</f>
        <v>0</v>
      </c>
      <c r="AB25">
        <f>IF(AND('1 Org'!D25&gt;Tmin, NOT('1 Org'!$I25="")),'1 Org'!$I25,0)</f>
        <v>0</v>
      </c>
      <c r="AC25">
        <f>IF(AND('1 Org'!E25&gt;Tmin, NOT('1 Org'!$I25="")),'1 Org'!$I25,0)</f>
        <v>0</v>
      </c>
      <c r="AD25">
        <f>IF(AND('1 Org'!F25&gt;Tmin, NOT('1 Org'!$I25="")),'1 Org'!$I25,0)</f>
        <v>0</v>
      </c>
      <c r="AE25">
        <f>IF(AND('1 Org'!C25&lt;Tmax, NOT('1 Org'!$H25="")),'1 Org'!$H25,4)</f>
        <v>2</v>
      </c>
      <c r="AF25">
        <f>IF(AND('1 Org'!D25&lt;Tmax, NOT('1 Org'!$H25="")),'1 Org'!$H25,4)</f>
        <v>2</v>
      </c>
      <c r="AG25">
        <f>IF(AND('1 Org'!E25&lt;Tmax, NOT('1 Org'!$H25="")),'1 Org'!$H25,4)</f>
        <v>2</v>
      </c>
      <c r="AH25">
        <f>IF(AND('1 Org'!F25&lt;Tmax, NOT('1 Org'!$H25="")),'1 Org'!$H25,4)</f>
        <v>2</v>
      </c>
      <c r="AI25"/>
      <c r="AJ25" s="213"/>
      <c r="AK25" s="213"/>
      <c r="AL25" s="213"/>
      <c r="AM25" s="213"/>
      <c r="AN25" s="213"/>
    </row>
    <row r="26" spans="1:200" ht="20.399999999999999" x14ac:dyDescent="0.25">
      <c r="A26" s="164" t="s">
        <v>1431</v>
      </c>
      <c r="B26" s="128" t="s">
        <v>6856</v>
      </c>
      <c r="C26" s="243"/>
      <c r="D26" s="243"/>
      <c r="E26" s="243"/>
      <c r="F26" s="243"/>
      <c r="G26" s="133">
        <v>4</v>
      </c>
      <c r="H26" s="133">
        <v>2</v>
      </c>
      <c r="I26" s="133"/>
      <c r="J26" s="136" t="s">
        <v>6855</v>
      </c>
      <c r="AA26">
        <f>IF(AND('1 Org'!C26&gt;Tmin, NOT('1 Org'!$I26="")),'1 Org'!$I26,0)</f>
        <v>0</v>
      </c>
      <c r="AB26">
        <f>IF(AND('1 Org'!D26&gt;Tmin, NOT('1 Org'!$I26="")),'1 Org'!$I26,0)</f>
        <v>0</v>
      </c>
      <c r="AC26">
        <f>IF(AND('1 Org'!E26&gt;Tmin, NOT('1 Org'!$I26="")),'1 Org'!$I26,0)</f>
        <v>0</v>
      </c>
      <c r="AD26">
        <f>IF(AND('1 Org'!F26&gt;Tmin, NOT('1 Org'!$I26="")),'1 Org'!$I26,0)</f>
        <v>0</v>
      </c>
      <c r="AE26">
        <f>IF(AND('1 Org'!C26&lt;Tmax, NOT('1 Org'!$H26="")),'1 Org'!$H26,4)</f>
        <v>2</v>
      </c>
      <c r="AF26">
        <f>IF(AND('1 Org'!D26&lt;Tmax, NOT('1 Org'!$H26="")),'1 Org'!$H26,4)</f>
        <v>2</v>
      </c>
      <c r="AG26">
        <f>IF(AND('1 Org'!E26&lt;Tmax, NOT('1 Org'!$H26="")),'1 Org'!$H26,4)</f>
        <v>2</v>
      </c>
      <c r="AH26">
        <f>IF(AND('1 Org'!F26&lt;Tmax, NOT('1 Org'!$H26="")),'1 Org'!$H26,4)</f>
        <v>2</v>
      </c>
      <c r="AI26"/>
    </row>
    <row r="27" spans="1:200" ht="20.399999999999999" x14ac:dyDescent="0.25">
      <c r="A27" s="164" t="s">
        <v>1432</v>
      </c>
      <c r="B27" s="128" t="s">
        <v>6857</v>
      </c>
      <c r="C27" s="243"/>
      <c r="D27" s="243"/>
      <c r="E27" s="243"/>
      <c r="F27" s="243"/>
      <c r="G27" s="133">
        <v>2</v>
      </c>
      <c r="H27" s="133"/>
      <c r="I27" s="133"/>
      <c r="J27" s="136" t="s">
        <v>6855</v>
      </c>
      <c r="L27" s="136"/>
      <c r="M27" s="136"/>
      <c r="N27" s="136"/>
      <c r="O27" s="136"/>
      <c r="P27" s="136"/>
      <c r="Q27" s="136"/>
      <c r="R27" s="136"/>
      <c r="S27" s="136"/>
      <c r="T27" s="136"/>
      <c r="U27" s="136"/>
      <c r="V27" s="136"/>
      <c r="W27" s="136"/>
      <c r="X27" s="136"/>
      <c r="Y27" s="136"/>
      <c r="Z27" s="136"/>
      <c r="AA27">
        <f>IF(AND('1 Org'!C27&gt;Tmin, NOT('1 Org'!$I27="")),'1 Org'!$I27,0)</f>
        <v>0</v>
      </c>
      <c r="AB27">
        <f>IF(AND('1 Org'!D27&gt;Tmin, NOT('1 Org'!$I27="")),'1 Org'!$I27,0)</f>
        <v>0</v>
      </c>
      <c r="AC27">
        <f>IF(AND('1 Org'!E27&gt;Tmin, NOT('1 Org'!$I27="")),'1 Org'!$I27,0)</f>
        <v>0</v>
      </c>
      <c r="AD27">
        <f>IF(AND('1 Org'!F27&gt;Tmin, NOT('1 Org'!$I27="")),'1 Org'!$I27,0)</f>
        <v>0</v>
      </c>
      <c r="AE27">
        <f>IF(AND('1 Org'!C27&lt;Tmax, NOT('1 Org'!$H27="")),'1 Org'!$H27,4)</f>
        <v>4</v>
      </c>
      <c r="AF27">
        <f>IF(AND('1 Org'!D27&lt;Tmax, NOT('1 Org'!$H27="")),'1 Org'!$H27,4)</f>
        <v>4</v>
      </c>
      <c r="AG27">
        <f>IF(AND('1 Org'!E27&lt;Tmax, NOT('1 Org'!$H27="")),'1 Org'!$H27,4)</f>
        <v>4</v>
      </c>
      <c r="AH27">
        <f>IF(AND('1 Org'!F27&lt;Tmax, NOT('1 Org'!$H27="")),'1 Org'!$H27,4)</f>
        <v>4</v>
      </c>
      <c r="AI27"/>
    </row>
    <row r="28" spans="1:200" ht="30.6" x14ac:dyDescent="0.25">
      <c r="A28" s="164" t="s">
        <v>1433</v>
      </c>
      <c r="B28" s="128" t="s">
        <v>6858</v>
      </c>
      <c r="C28" s="243"/>
      <c r="D28" s="243"/>
      <c r="E28" s="243"/>
      <c r="F28" s="243"/>
      <c r="G28" s="133">
        <v>2</v>
      </c>
      <c r="H28" s="133"/>
      <c r="I28" s="133"/>
      <c r="J28" s="136" t="s">
        <v>6859</v>
      </c>
      <c r="L28" s="136"/>
      <c r="M28" s="136"/>
      <c r="N28" s="136"/>
      <c r="O28" s="136"/>
      <c r="P28" s="136"/>
      <c r="Q28" s="136"/>
      <c r="R28" s="136"/>
      <c r="S28" s="136"/>
      <c r="T28" s="136"/>
      <c r="U28" s="136"/>
      <c r="V28" s="136"/>
      <c r="W28" s="136"/>
      <c r="X28" s="136"/>
      <c r="Y28" s="136"/>
      <c r="Z28" s="136"/>
      <c r="AA28">
        <f>IF(AND('1 Org'!C28&gt;Tmin, NOT('1 Org'!$I28="")),'1 Org'!$I28,0)</f>
        <v>0</v>
      </c>
      <c r="AB28">
        <f>IF(AND('1 Org'!D28&gt;Tmin, NOT('1 Org'!$I28="")),'1 Org'!$I28,0)</f>
        <v>0</v>
      </c>
      <c r="AC28">
        <f>IF(AND('1 Org'!E28&gt;Tmin, NOT('1 Org'!$I28="")),'1 Org'!$I28,0)</f>
        <v>0</v>
      </c>
      <c r="AD28">
        <f>IF(AND('1 Org'!F28&gt;Tmin, NOT('1 Org'!$I28="")),'1 Org'!$I28,0)</f>
        <v>0</v>
      </c>
      <c r="AE28">
        <f>IF(AND('1 Org'!C28&lt;Tmax, NOT('1 Org'!$H28="")),'1 Org'!$H28,4)</f>
        <v>4</v>
      </c>
      <c r="AF28">
        <f>IF(AND('1 Org'!D28&lt;Tmax, NOT('1 Org'!$H28="")),'1 Org'!$H28,4)</f>
        <v>4</v>
      </c>
      <c r="AG28">
        <f>IF(AND('1 Org'!E28&lt;Tmax, NOT('1 Org'!$H28="")),'1 Org'!$H28,4)</f>
        <v>4</v>
      </c>
      <c r="AH28">
        <f>IF(AND('1 Org'!F28&lt;Tmax, NOT('1 Org'!$H28="")),'1 Org'!$H28,4)</f>
        <v>4</v>
      </c>
      <c r="AI28"/>
    </row>
    <row r="29" spans="1:200" ht="15" customHeight="1" x14ac:dyDescent="0.25">
      <c r="A29" s="164" t="s">
        <v>1434</v>
      </c>
      <c r="B29" s="128" t="s">
        <v>6860</v>
      </c>
      <c r="C29" s="243"/>
      <c r="D29" s="243"/>
      <c r="E29" s="243"/>
      <c r="F29" s="243"/>
      <c r="G29" s="133">
        <v>4</v>
      </c>
      <c r="H29" s="133"/>
      <c r="I29" s="133"/>
      <c r="J29" s="136" t="s">
        <v>6859</v>
      </c>
      <c r="L29" s="136"/>
      <c r="M29" s="136"/>
      <c r="N29" s="136"/>
      <c r="O29" s="136"/>
      <c r="P29" s="136"/>
      <c r="Q29" s="136"/>
      <c r="R29" s="136"/>
      <c r="S29" s="136"/>
      <c r="T29" s="136"/>
      <c r="U29" s="136"/>
      <c r="V29" s="136"/>
      <c r="W29" s="136"/>
      <c r="X29" s="136"/>
      <c r="Y29" s="136"/>
      <c r="Z29" s="136"/>
      <c r="AA29">
        <f>IF(AND('1 Org'!C29&gt;Tmin, NOT('1 Org'!$I29="")),'1 Org'!$I29,0)</f>
        <v>0</v>
      </c>
      <c r="AB29">
        <f>IF(AND('1 Org'!D29&gt;Tmin, NOT('1 Org'!$I29="")),'1 Org'!$I29,0)</f>
        <v>0</v>
      </c>
      <c r="AC29">
        <f>IF(AND('1 Org'!E29&gt;Tmin, NOT('1 Org'!$I29="")),'1 Org'!$I29,0)</f>
        <v>0</v>
      </c>
      <c r="AD29">
        <f>IF(AND('1 Org'!F29&gt;Tmin, NOT('1 Org'!$I29="")),'1 Org'!$I29,0)</f>
        <v>0</v>
      </c>
      <c r="AE29">
        <f>IF(AND('1 Org'!C29&lt;Tmax, NOT('1 Org'!$H29="")),'1 Org'!$H29,4)</f>
        <v>4</v>
      </c>
      <c r="AF29">
        <f>IF(AND('1 Org'!D29&lt;Tmax, NOT('1 Org'!$H29="")),'1 Org'!$H29,4)</f>
        <v>4</v>
      </c>
      <c r="AG29">
        <f>IF(AND('1 Org'!E29&lt;Tmax, NOT('1 Org'!$H29="")),'1 Org'!$H29,4)</f>
        <v>4</v>
      </c>
      <c r="AH29">
        <f>IF(AND('1 Org'!F29&lt;Tmax, NOT('1 Org'!$H29="")),'1 Org'!$H29,4)</f>
        <v>4</v>
      </c>
      <c r="AI29"/>
    </row>
    <row r="30" spans="1:200" ht="20.399999999999999" x14ac:dyDescent="0.25">
      <c r="A30" s="164" t="s">
        <v>1435</v>
      </c>
      <c r="B30" s="128" t="s">
        <v>6861</v>
      </c>
      <c r="C30" s="243"/>
      <c r="D30" s="243"/>
      <c r="E30" s="243"/>
      <c r="F30" s="243"/>
      <c r="G30" s="133">
        <v>2</v>
      </c>
      <c r="H30" s="133"/>
      <c r="I30" s="133"/>
      <c r="J30" s="136" t="s">
        <v>6862</v>
      </c>
      <c r="AA30">
        <f>IF(AND('1 Org'!C30&gt;Tmin, NOT('1 Org'!$I30="")),'1 Org'!$I30,0)</f>
        <v>0</v>
      </c>
      <c r="AB30">
        <f>IF(AND('1 Org'!D30&gt;Tmin, NOT('1 Org'!$I30="")),'1 Org'!$I30,0)</f>
        <v>0</v>
      </c>
      <c r="AC30">
        <f>IF(AND('1 Org'!E30&gt;Tmin, NOT('1 Org'!$I30="")),'1 Org'!$I30,0)</f>
        <v>0</v>
      </c>
      <c r="AD30">
        <f>IF(AND('1 Org'!F30&gt;Tmin, NOT('1 Org'!$I30="")),'1 Org'!$I30,0)</f>
        <v>0</v>
      </c>
      <c r="AE30">
        <f>IF(AND('1 Org'!C30&lt;Tmax, NOT('1 Org'!$H30="")),'1 Org'!$H30,4)</f>
        <v>4</v>
      </c>
      <c r="AF30">
        <f>IF(AND('1 Org'!D30&lt;Tmax, NOT('1 Org'!$H30="")),'1 Org'!$H30,4)</f>
        <v>4</v>
      </c>
      <c r="AG30">
        <f>IF(AND('1 Org'!E30&lt;Tmax, NOT('1 Org'!$H30="")),'1 Org'!$H30,4)</f>
        <v>4</v>
      </c>
      <c r="AH30">
        <f>IF(AND('1 Org'!F30&lt;Tmax, NOT('1 Org'!$H30="")),'1 Org'!$H30,4)</f>
        <v>4</v>
      </c>
      <c r="AI30"/>
    </row>
    <row r="31" spans="1:200" ht="20.399999999999999" x14ac:dyDescent="0.25">
      <c r="A31" s="164" t="s">
        <v>1436</v>
      </c>
      <c r="B31" s="128" t="s">
        <v>6863</v>
      </c>
      <c r="C31" s="243"/>
      <c r="D31" s="243"/>
      <c r="E31" s="243"/>
      <c r="F31" s="243"/>
      <c r="G31" s="133">
        <v>4</v>
      </c>
      <c r="H31" s="133"/>
      <c r="I31" s="133"/>
      <c r="J31" s="136" t="s">
        <v>6862</v>
      </c>
      <c r="AA31">
        <f>IF(AND('1 Org'!C31&gt;Tmin, NOT('1 Org'!$I31="")),'1 Org'!$I31,0)</f>
        <v>0</v>
      </c>
      <c r="AB31">
        <f>IF(AND('1 Org'!D31&gt;Tmin, NOT('1 Org'!$I31="")),'1 Org'!$I31,0)</f>
        <v>0</v>
      </c>
      <c r="AC31">
        <f>IF(AND('1 Org'!E31&gt;Tmin, NOT('1 Org'!$I31="")),'1 Org'!$I31,0)</f>
        <v>0</v>
      </c>
      <c r="AD31">
        <f>IF(AND('1 Org'!F31&gt;Tmin, NOT('1 Org'!$I31="")),'1 Org'!$I31,0)</f>
        <v>0</v>
      </c>
      <c r="AE31">
        <f>IF(AND('1 Org'!C31&lt;Tmax, NOT('1 Org'!$H31="")),'1 Org'!$H31,4)</f>
        <v>4</v>
      </c>
      <c r="AF31">
        <f>IF(AND('1 Org'!D31&lt;Tmax, NOT('1 Org'!$H31="")),'1 Org'!$H31,4)</f>
        <v>4</v>
      </c>
      <c r="AG31">
        <f>IF(AND('1 Org'!E31&lt;Tmax, NOT('1 Org'!$H31="")),'1 Org'!$H31,4)</f>
        <v>4</v>
      </c>
      <c r="AH31">
        <f>IF(AND('1 Org'!F31&lt;Tmax, NOT('1 Org'!$H31="")),'1 Org'!$H31,4)</f>
        <v>4</v>
      </c>
      <c r="AI31"/>
    </row>
    <row r="32" spans="1:200" ht="25.5" customHeight="1" x14ac:dyDescent="0.25">
      <c r="A32" s="164" t="s">
        <v>1437</v>
      </c>
      <c r="B32" s="128" t="s">
        <v>6864</v>
      </c>
      <c r="C32" s="243"/>
      <c r="D32" s="243"/>
      <c r="E32" s="243"/>
      <c r="F32" s="243"/>
      <c r="G32" s="133">
        <v>2</v>
      </c>
      <c r="H32" s="133">
        <v>3</v>
      </c>
      <c r="I32" s="133"/>
      <c r="J32" s="136" t="s">
        <v>6865</v>
      </c>
      <c r="AA32">
        <f>IF(AND('1 Org'!C32&gt;Tmin, NOT('1 Org'!$I32="")),'1 Org'!$I32,0)</f>
        <v>0</v>
      </c>
      <c r="AB32">
        <f>IF(AND('1 Org'!D32&gt;Tmin, NOT('1 Org'!$I32="")),'1 Org'!$I32,0)</f>
        <v>0</v>
      </c>
      <c r="AC32">
        <f>IF(AND('1 Org'!E32&gt;Tmin, NOT('1 Org'!$I32="")),'1 Org'!$I32,0)</f>
        <v>0</v>
      </c>
      <c r="AD32">
        <f>IF(AND('1 Org'!F32&gt;Tmin, NOT('1 Org'!$I32="")),'1 Org'!$I32,0)</f>
        <v>0</v>
      </c>
      <c r="AE32">
        <f>IF(AND('1 Org'!C32&lt;Tmax, NOT('1 Org'!$H32="")),'1 Org'!$H32,4)</f>
        <v>3</v>
      </c>
      <c r="AF32">
        <f>IF(AND('1 Org'!D32&lt;Tmax, NOT('1 Org'!$H32="")),'1 Org'!$H32,4)</f>
        <v>3</v>
      </c>
      <c r="AG32">
        <f>IF(AND('1 Org'!E32&lt;Tmax, NOT('1 Org'!$H32="")),'1 Org'!$H32,4)</f>
        <v>3</v>
      </c>
      <c r="AH32">
        <f>IF(AND('1 Org'!F32&lt;Tmax, NOT('1 Org'!$H32="")),'1 Org'!$H32,4)</f>
        <v>3</v>
      </c>
      <c r="AI32"/>
    </row>
    <row r="33" spans="1:40" ht="20.399999999999999" x14ac:dyDescent="0.25">
      <c r="A33" s="164" t="s">
        <v>6866</v>
      </c>
      <c r="B33" s="128" t="s">
        <v>6867</v>
      </c>
      <c r="C33" s="243"/>
      <c r="D33" s="243"/>
      <c r="E33" s="243"/>
      <c r="F33" s="243"/>
      <c r="G33" s="133">
        <v>4</v>
      </c>
      <c r="H33" s="133"/>
      <c r="I33" s="133"/>
      <c r="J33" s="136" t="s">
        <v>6865</v>
      </c>
      <c r="AA33">
        <f>IF(AND('1 Org'!C33&gt;Tmin, NOT('1 Org'!$I33="")),'1 Org'!$I33,0)</f>
        <v>0</v>
      </c>
      <c r="AB33">
        <f>IF(AND('1 Org'!D33&gt;Tmin, NOT('1 Org'!$I33="")),'1 Org'!$I33,0)</f>
        <v>0</v>
      </c>
      <c r="AC33">
        <f>IF(AND('1 Org'!E33&gt;Tmin, NOT('1 Org'!$I33="")),'1 Org'!$I33,0)</f>
        <v>0</v>
      </c>
      <c r="AD33">
        <f>IF(AND('1 Org'!F33&gt;Tmin, NOT('1 Org'!$I33="")),'1 Org'!$I33,0)</f>
        <v>0</v>
      </c>
      <c r="AE33">
        <f>IF(AND('1 Org'!C33&lt;Tmax, NOT('1 Org'!$H33="")),'1 Org'!$H33,4)</f>
        <v>4</v>
      </c>
      <c r="AF33">
        <f>IF(AND('1 Org'!D33&lt;Tmax, NOT('1 Org'!$H33="")),'1 Org'!$H33,4)</f>
        <v>4</v>
      </c>
      <c r="AG33">
        <f>IF(AND('1 Org'!E33&lt;Tmax, NOT('1 Org'!$H33="")),'1 Org'!$H33,4)</f>
        <v>4</v>
      </c>
      <c r="AH33">
        <f>IF(AND('1 Org'!F33&lt;Tmax, NOT('1 Org'!$H33="")),'1 Org'!$H33,4)</f>
        <v>4</v>
      </c>
      <c r="AI33"/>
    </row>
    <row r="34" spans="1:40" ht="20.399999999999999" x14ac:dyDescent="0.25">
      <c r="A34" s="164" t="s">
        <v>6868</v>
      </c>
      <c r="B34" s="128" t="s">
        <v>6869</v>
      </c>
      <c r="C34" s="243"/>
      <c r="D34" s="243"/>
      <c r="E34" s="243"/>
      <c r="F34" s="243"/>
      <c r="G34" s="133">
        <v>2</v>
      </c>
      <c r="H34" s="133"/>
      <c r="I34" s="133"/>
      <c r="J34" s="136" t="s">
        <v>6870</v>
      </c>
      <c r="L34" s="227"/>
      <c r="M34" s="227"/>
      <c r="N34" s="227"/>
      <c r="O34" s="227"/>
      <c r="P34" s="227"/>
      <c r="Q34" s="227"/>
      <c r="R34" s="227"/>
      <c r="S34" s="227"/>
      <c r="T34" s="227"/>
      <c r="U34" s="227"/>
      <c r="V34" s="227"/>
      <c r="W34" s="227"/>
      <c r="X34" s="227"/>
      <c r="Y34" s="227"/>
      <c r="Z34" s="227"/>
      <c r="AA34">
        <f>IF(AND('1 Org'!C34&gt;Tmin, NOT('1 Org'!$I34="")),'1 Org'!$I34,0)</f>
        <v>0</v>
      </c>
      <c r="AB34">
        <f>IF(AND('1 Org'!D34&gt;Tmin, NOT('1 Org'!$I34="")),'1 Org'!$I34,0)</f>
        <v>0</v>
      </c>
      <c r="AC34">
        <f>IF(AND('1 Org'!E34&gt;Tmin, NOT('1 Org'!$I34="")),'1 Org'!$I34,0)</f>
        <v>0</v>
      </c>
      <c r="AD34">
        <f>IF(AND('1 Org'!F34&gt;Tmin, NOT('1 Org'!$I34="")),'1 Org'!$I34,0)</f>
        <v>0</v>
      </c>
      <c r="AE34">
        <f>IF(AND('1 Org'!C34&lt;Tmax, NOT('1 Org'!$H34="")),'1 Org'!$H34,4)</f>
        <v>4</v>
      </c>
      <c r="AF34">
        <f>IF(AND('1 Org'!D34&lt;Tmax, NOT('1 Org'!$H34="")),'1 Org'!$H34,4)</f>
        <v>4</v>
      </c>
      <c r="AG34">
        <f>IF(AND('1 Org'!E34&lt;Tmax, NOT('1 Org'!$H34="")),'1 Org'!$H34,4)</f>
        <v>4</v>
      </c>
      <c r="AH34">
        <f>IF(AND('1 Org'!F34&lt;Tmax, NOT('1 Org'!$H34="")),'1 Org'!$H34,4)</f>
        <v>4</v>
      </c>
      <c r="AI34"/>
      <c r="AJ34" s="213"/>
      <c r="AK34" s="213"/>
      <c r="AL34" s="213"/>
      <c r="AM34" s="213"/>
      <c r="AN34" s="213"/>
    </row>
    <row r="35" spans="1:40" ht="20.399999999999999" x14ac:dyDescent="0.25">
      <c r="A35" s="164" t="s">
        <v>6871</v>
      </c>
      <c r="B35" s="128" t="s">
        <v>6872</v>
      </c>
      <c r="C35" s="243"/>
      <c r="D35" s="243"/>
      <c r="E35" s="243"/>
      <c r="F35" s="243"/>
      <c r="G35" s="133">
        <v>2</v>
      </c>
      <c r="H35" s="133"/>
      <c r="I35" s="133"/>
      <c r="J35" s="136" t="s">
        <v>6870</v>
      </c>
      <c r="L35" s="227"/>
      <c r="M35" s="227"/>
      <c r="N35" s="227"/>
      <c r="O35" s="227"/>
      <c r="P35" s="227"/>
      <c r="Q35" s="227"/>
      <c r="R35" s="227"/>
      <c r="S35" s="227"/>
      <c r="T35" s="227"/>
      <c r="U35" s="227"/>
      <c r="V35" s="227"/>
      <c r="W35" s="227"/>
      <c r="X35" s="227"/>
      <c r="Y35" s="227"/>
      <c r="Z35" s="227"/>
      <c r="AA35">
        <f>IF(AND('1 Org'!C35&gt;Tmin, NOT('1 Org'!$I35="")),'1 Org'!$I35,0)</f>
        <v>0</v>
      </c>
      <c r="AB35">
        <f>IF(AND('1 Org'!D35&gt;Tmin, NOT('1 Org'!$I35="")),'1 Org'!$I35,0)</f>
        <v>0</v>
      </c>
      <c r="AC35">
        <f>IF(AND('1 Org'!E35&gt;Tmin, NOT('1 Org'!$I35="")),'1 Org'!$I35,0)</f>
        <v>0</v>
      </c>
      <c r="AD35">
        <f>IF(AND('1 Org'!F35&gt;Tmin, NOT('1 Org'!$I35="")),'1 Org'!$I35,0)</f>
        <v>0</v>
      </c>
      <c r="AE35">
        <f>IF(AND('1 Org'!C35&lt;Tmax, NOT('1 Org'!$H35="")),'1 Org'!$H35,4)</f>
        <v>4</v>
      </c>
      <c r="AF35">
        <f>IF(AND('1 Org'!D35&lt;Tmax, NOT('1 Org'!$H35="")),'1 Org'!$H35,4)</f>
        <v>4</v>
      </c>
      <c r="AG35">
        <f>IF(AND('1 Org'!E35&lt;Tmax, NOT('1 Org'!$H35="")),'1 Org'!$H35,4)</f>
        <v>4</v>
      </c>
      <c r="AH35">
        <f>IF(AND('1 Org'!F35&lt;Tmax, NOT('1 Org'!$H35="")),'1 Org'!$H35,4)</f>
        <v>4</v>
      </c>
      <c r="AI35"/>
      <c r="AJ35" s="213"/>
      <c r="AK35" s="213"/>
      <c r="AL35" s="213"/>
      <c r="AM35" s="213"/>
      <c r="AN35" s="213"/>
    </row>
    <row r="36" spans="1:40" x14ac:dyDescent="0.25">
      <c r="A36" s="164" t="s">
        <v>6873</v>
      </c>
      <c r="B36" s="128" t="s">
        <v>6874</v>
      </c>
      <c r="C36" s="243"/>
      <c r="D36" s="243"/>
      <c r="E36" s="243"/>
      <c r="F36" s="243"/>
      <c r="G36" s="133">
        <v>4</v>
      </c>
      <c r="H36" s="133"/>
      <c r="I36" s="133"/>
      <c r="J36" s="136" t="s">
        <v>6870</v>
      </c>
      <c r="L36" s="227"/>
      <c r="M36" s="227"/>
      <c r="N36" s="227"/>
      <c r="O36" s="227"/>
      <c r="P36" s="227"/>
      <c r="Q36" s="227"/>
      <c r="R36" s="227"/>
      <c r="S36" s="227"/>
      <c r="T36" s="227"/>
      <c r="U36" s="227"/>
      <c r="V36" s="227"/>
      <c r="W36" s="227"/>
      <c r="X36" s="227"/>
      <c r="Y36" s="227"/>
      <c r="Z36" s="227"/>
      <c r="AA36">
        <f>IF(AND('1 Org'!C36&gt;Tmin, NOT('1 Org'!$I36="")),'1 Org'!$I36,0)</f>
        <v>0</v>
      </c>
      <c r="AB36">
        <f>IF(AND('1 Org'!D36&gt;Tmin, NOT('1 Org'!$I36="")),'1 Org'!$I36,0)</f>
        <v>0</v>
      </c>
      <c r="AC36">
        <f>IF(AND('1 Org'!E36&gt;Tmin, NOT('1 Org'!$I36="")),'1 Org'!$I36,0)</f>
        <v>0</v>
      </c>
      <c r="AD36">
        <f>IF(AND('1 Org'!F36&gt;Tmin, NOT('1 Org'!$I36="")),'1 Org'!$I36,0)</f>
        <v>0</v>
      </c>
      <c r="AE36">
        <f>IF(AND('1 Org'!C36&lt;Tmax, NOT('1 Org'!$H36="")),'1 Org'!$H36,4)</f>
        <v>4</v>
      </c>
      <c r="AF36">
        <f>IF(AND('1 Org'!D36&lt;Tmax, NOT('1 Org'!$H36="")),'1 Org'!$H36,4)</f>
        <v>4</v>
      </c>
      <c r="AG36">
        <f>IF(AND('1 Org'!E36&lt;Tmax, NOT('1 Org'!$H36="")),'1 Org'!$H36,4)</f>
        <v>4</v>
      </c>
      <c r="AH36">
        <f>IF(AND('1 Org'!F36&lt;Tmax, NOT('1 Org'!$H36="")),'1 Org'!$H36,4)</f>
        <v>4</v>
      </c>
      <c r="AI36"/>
      <c r="AJ36" s="213"/>
      <c r="AK36" s="213"/>
      <c r="AL36" s="213"/>
      <c r="AM36" s="213"/>
      <c r="AN36" s="213"/>
    </row>
    <row r="37" spans="1:40" x14ac:dyDescent="0.25">
      <c r="A37" s="164" t="s">
        <v>6875</v>
      </c>
      <c r="B37" s="128" t="s">
        <v>6876</v>
      </c>
      <c r="C37" s="243"/>
      <c r="D37" s="243"/>
      <c r="E37" s="243"/>
      <c r="F37" s="243"/>
      <c r="G37" s="133">
        <v>2</v>
      </c>
      <c r="H37" s="133"/>
      <c r="I37" s="133"/>
      <c r="J37" s="136" t="s">
        <v>6877</v>
      </c>
      <c r="L37" s="227"/>
      <c r="M37" s="227"/>
      <c r="N37" s="227"/>
      <c r="O37" s="227"/>
      <c r="P37" s="227"/>
      <c r="Q37" s="227"/>
      <c r="R37" s="227"/>
      <c r="S37" s="227"/>
      <c r="T37" s="227"/>
      <c r="U37" s="227"/>
      <c r="V37" s="227"/>
      <c r="W37" s="227"/>
      <c r="X37" s="227"/>
      <c r="Y37" s="227"/>
      <c r="Z37" s="227"/>
      <c r="AA37">
        <f>IF(AND('1 Org'!C37&gt;Tmin, NOT('1 Org'!$I37="")),'1 Org'!$I37,0)</f>
        <v>0</v>
      </c>
      <c r="AB37">
        <f>IF(AND('1 Org'!D37&gt;Tmin, NOT('1 Org'!$I37="")),'1 Org'!$I37,0)</f>
        <v>0</v>
      </c>
      <c r="AC37">
        <f>IF(AND('1 Org'!E37&gt;Tmin, NOT('1 Org'!$I37="")),'1 Org'!$I37,0)</f>
        <v>0</v>
      </c>
      <c r="AD37">
        <f>IF(AND('1 Org'!F37&gt;Tmin, NOT('1 Org'!$I37="")),'1 Org'!$I37,0)</f>
        <v>0</v>
      </c>
      <c r="AE37">
        <f>IF(AND('1 Org'!C37&lt;Tmax, NOT('1 Org'!$H37="")),'1 Org'!$H37,4)</f>
        <v>4</v>
      </c>
      <c r="AF37">
        <f>IF(AND('1 Org'!D37&lt;Tmax, NOT('1 Org'!$H37="")),'1 Org'!$H37,4)</f>
        <v>4</v>
      </c>
      <c r="AG37">
        <f>IF(AND('1 Org'!E37&lt;Tmax, NOT('1 Org'!$H37="")),'1 Org'!$H37,4)</f>
        <v>4</v>
      </c>
      <c r="AH37">
        <f>IF(AND('1 Org'!F37&lt;Tmax, NOT('1 Org'!$H37="")),'1 Org'!$H37,4)</f>
        <v>4</v>
      </c>
      <c r="AI37"/>
      <c r="AJ37" s="213"/>
      <c r="AK37" s="213"/>
      <c r="AL37" s="213"/>
      <c r="AM37" s="213"/>
      <c r="AN37" s="213"/>
    </row>
    <row r="38" spans="1:40" ht="20.399999999999999" x14ac:dyDescent="0.25">
      <c r="A38" s="164" t="s">
        <v>6878</v>
      </c>
      <c r="B38" s="128" t="s">
        <v>6879</v>
      </c>
      <c r="C38" s="243"/>
      <c r="D38" s="243"/>
      <c r="E38" s="243"/>
      <c r="F38" s="243"/>
      <c r="G38" s="133">
        <v>2</v>
      </c>
      <c r="H38" s="133"/>
      <c r="I38" s="133"/>
      <c r="J38" s="136" t="s">
        <v>6877</v>
      </c>
      <c r="L38" s="227"/>
      <c r="M38" s="227"/>
      <c r="N38" s="227"/>
      <c r="O38" s="227"/>
      <c r="P38" s="227"/>
      <c r="Q38" s="227"/>
      <c r="R38" s="227"/>
      <c r="S38" s="227"/>
      <c r="T38" s="227"/>
      <c r="U38" s="227"/>
      <c r="V38" s="227"/>
      <c r="W38" s="227"/>
      <c r="X38" s="227"/>
      <c r="Y38" s="227"/>
      <c r="Z38" s="227"/>
      <c r="AA38">
        <f>IF(AND('1 Org'!C38&gt;Tmin, NOT('1 Org'!$I38="")),'1 Org'!$I38,0)</f>
        <v>0</v>
      </c>
      <c r="AB38">
        <f>IF(AND('1 Org'!D38&gt;Tmin, NOT('1 Org'!$I38="")),'1 Org'!$I38,0)</f>
        <v>0</v>
      </c>
      <c r="AC38">
        <f>IF(AND('1 Org'!E38&gt;Tmin, NOT('1 Org'!$I38="")),'1 Org'!$I38,0)</f>
        <v>0</v>
      </c>
      <c r="AD38">
        <f>IF(AND('1 Org'!F38&gt;Tmin, NOT('1 Org'!$I38="")),'1 Org'!$I38,0)</f>
        <v>0</v>
      </c>
      <c r="AE38">
        <f>IF(AND('1 Org'!C38&lt;Tmax, NOT('1 Org'!$H38="")),'1 Org'!$H38,4)</f>
        <v>4</v>
      </c>
      <c r="AF38">
        <f>IF(AND('1 Org'!D38&lt;Tmax, NOT('1 Org'!$H38="")),'1 Org'!$H38,4)</f>
        <v>4</v>
      </c>
      <c r="AG38">
        <f>IF(AND('1 Org'!E38&lt;Tmax, NOT('1 Org'!$H38="")),'1 Org'!$H38,4)</f>
        <v>4</v>
      </c>
      <c r="AH38">
        <f>IF(AND('1 Org'!F38&lt;Tmax, NOT('1 Org'!$H38="")),'1 Org'!$H38,4)</f>
        <v>4</v>
      </c>
      <c r="AI38"/>
      <c r="AJ38" s="213"/>
      <c r="AK38" s="213"/>
      <c r="AL38" s="213"/>
      <c r="AM38" s="213"/>
      <c r="AN38" s="213"/>
    </row>
    <row r="39" spans="1:40" ht="20.399999999999999" x14ac:dyDescent="0.25">
      <c r="A39" s="164" t="s">
        <v>6880</v>
      </c>
      <c r="B39" s="128" t="s">
        <v>6881</v>
      </c>
      <c r="C39" s="243"/>
      <c r="D39" s="243"/>
      <c r="E39" s="243"/>
      <c r="F39" s="243"/>
      <c r="G39" s="133">
        <v>4</v>
      </c>
      <c r="H39" s="133"/>
      <c r="I39" s="133"/>
      <c r="J39" s="136" t="s">
        <v>6877</v>
      </c>
      <c r="L39" s="227"/>
      <c r="M39" s="227"/>
      <c r="N39" s="227"/>
      <c r="O39" s="227"/>
      <c r="P39" s="227"/>
      <c r="Q39" s="227"/>
      <c r="R39" s="227"/>
      <c r="S39" s="227"/>
      <c r="T39" s="227"/>
      <c r="U39" s="227"/>
      <c r="V39" s="227"/>
      <c r="W39" s="227"/>
      <c r="X39" s="227"/>
      <c r="Y39" s="227"/>
      <c r="Z39" s="227"/>
      <c r="AA39">
        <f>IF(AND('1 Org'!C39&gt;Tmin, NOT('1 Org'!$I39="")),'1 Org'!$I39,0)</f>
        <v>0</v>
      </c>
      <c r="AB39">
        <f>IF(AND('1 Org'!D39&gt;Tmin, NOT('1 Org'!$I39="")),'1 Org'!$I39,0)</f>
        <v>0</v>
      </c>
      <c r="AC39">
        <f>IF(AND('1 Org'!E39&gt;Tmin, NOT('1 Org'!$I39="")),'1 Org'!$I39,0)</f>
        <v>0</v>
      </c>
      <c r="AD39">
        <f>IF(AND('1 Org'!F39&gt;Tmin, NOT('1 Org'!$I39="")),'1 Org'!$I39,0)</f>
        <v>0</v>
      </c>
      <c r="AE39">
        <f>IF(AND('1 Org'!C39&lt;Tmax, NOT('1 Org'!$H39="")),'1 Org'!$H39,4)</f>
        <v>4</v>
      </c>
      <c r="AF39">
        <f>IF(AND('1 Org'!D39&lt;Tmax, NOT('1 Org'!$H39="")),'1 Org'!$H39,4)</f>
        <v>4</v>
      </c>
      <c r="AG39">
        <f>IF(AND('1 Org'!E39&lt;Tmax, NOT('1 Org'!$H39="")),'1 Org'!$H39,4)</f>
        <v>4</v>
      </c>
      <c r="AH39">
        <f>IF(AND('1 Org'!F39&lt;Tmax, NOT('1 Org'!$H39="")),'1 Org'!$H39,4)</f>
        <v>4</v>
      </c>
      <c r="AI39"/>
      <c r="AJ39" s="213"/>
      <c r="AK39" s="213"/>
      <c r="AL39" s="213"/>
      <c r="AM39" s="213"/>
      <c r="AN39" s="213"/>
    </row>
    <row r="40" spans="1:40" x14ac:dyDescent="0.25">
      <c r="A40" s="164" t="s">
        <v>660</v>
      </c>
      <c r="B40" s="128" t="s">
        <v>46</v>
      </c>
      <c r="C40" s="243"/>
      <c r="D40" s="243"/>
      <c r="E40" s="243"/>
      <c r="F40" s="243"/>
      <c r="G40" s="133"/>
      <c r="H40" s="133"/>
      <c r="I40" s="133"/>
      <c r="J40" s="136"/>
      <c r="L40" s="227"/>
      <c r="M40" s="227"/>
      <c r="N40" s="227"/>
      <c r="O40" s="227"/>
      <c r="P40" s="227"/>
      <c r="Q40" s="227"/>
      <c r="R40" s="227"/>
      <c r="S40" s="227"/>
      <c r="T40" s="227"/>
      <c r="U40" s="227"/>
      <c r="V40" s="227"/>
      <c r="W40" s="227"/>
      <c r="X40" s="227"/>
      <c r="Y40" s="227"/>
      <c r="Z40" s="227"/>
      <c r="AA40"/>
      <c r="AB40"/>
      <c r="AC40"/>
      <c r="AD40"/>
      <c r="AE40"/>
      <c r="AF40"/>
      <c r="AG40"/>
      <c r="AH40"/>
      <c r="AI40"/>
      <c r="AJ40" s="213"/>
      <c r="AK40" s="213"/>
      <c r="AL40" s="213"/>
      <c r="AM40" s="213"/>
      <c r="AN40" s="213"/>
    </row>
    <row r="41" spans="1:40" ht="20.399999999999999" x14ac:dyDescent="0.25">
      <c r="A41" s="164" t="s">
        <v>1438</v>
      </c>
      <c r="B41" s="128" t="s">
        <v>6882</v>
      </c>
      <c r="C41" s="243">
        <v>1</v>
      </c>
      <c r="D41" s="243"/>
      <c r="E41" s="243"/>
      <c r="F41" s="243"/>
      <c r="G41" s="133">
        <v>2</v>
      </c>
      <c r="H41" s="133"/>
      <c r="I41" s="133"/>
      <c r="J41" s="136" t="s">
        <v>6883</v>
      </c>
      <c r="K41" s="135" t="s">
        <v>7492</v>
      </c>
      <c r="L41" s="227"/>
      <c r="M41" s="227"/>
      <c r="N41" s="227"/>
      <c r="O41" s="227"/>
      <c r="P41" s="227"/>
      <c r="Q41" s="227"/>
      <c r="R41" s="227"/>
      <c r="S41" s="227"/>
      <c r="T41" s="227"/>
      <c r="U41" s="227"/>
      <c r="V41" s="227"/>
      <c r="W41" s="227"/>
      <c r="X41" s="227"/>
      <c r="Y41" s="227"/>
      <c r="Z41" s="227"/>
      <c r="AA41">
        <f>IF(AND('1 Org'!C41&gt;Tmin, NOT('1 Org'!$I41="")),'1 Org'!$I41,0)</f>
        <v>0</v>
      </c>
      <c r="AB41">
        <f>IF(AND('1 Org'!D41&gt;Tmin, NOT('1 Org'!$I41="")),'1 Org'!$I41,0)</f>
        <v>0</v>
      </c>
      <c r="AC41">
        <f>IF(AND('1 Org'!E41&gt;Tmin, NOT('1 Org'!$I41="")),'1 Org'!$I41,0)</f>
        <v>0</v>
      </c>
      <c r="AD41">
        <f>IF(AND('1 Org'!F41&gt;Tmin, NOT('1 Org'!$I41="")),'1 Org'!$I41,0)</f>
        <v>0</v>
      </c>
      <c r="AE41">
        <f>IF(AND('1 Org'!C41&lt;Tmax, NOT('1 Org'!$H41="")),'1 Org'!$H41,4)</f>
        <v>4</v>
      </c>
      <c r="AF41">
        <f>IF(AND('1 Org'!D41&lt;Tmax, NOT('1 Org'!$H41="")),'1 Org'!$H41,4)</f>
        <v>4</v>
      </c>
      <c r="AG41">
        <f>IF(AND('1 Org'!E41&lt;Tmax, NOT('1 Org'!$H41="")),'1 Org'!$H41,4)</f>
        <v>4</v>
      </c>
      <c r="AH41">
        <f>IF(AND('1 Org'!F41&lt;Tmax, NOT('1 Org'!$H41="")),'1 Org'!$H41,4)</f>
        <v>4</v>
      </c>
      <c r="AI41"/>
      <c r="AJ41" s="213"/>
      <c r="AK41" s="213"/>
      <c r="AL41" s="213"/>
      <c r="AM41" s="213"/>
      <c r="AN41" s="213"/>
    </row>
    <row r="42" spans="1:40" ht="20.399999999999999" x14ac:dyDescent="0.25">
      <c r="A42" s="164" t="s">
        <v>1439</v>
      </c>
      <c r="B42" s="128" t="s">
        <v>6884</v>
      </c>
      <c r="C42" s="243">
        <v>0</v>
      </c>
      <c r="D42" s="243"/>
      <c r="E42" s="243"/>
      <c r="F42" s="243"/>
      <c r="G42" s="133">
        <v>2</v>
      </c>
      <c r="H42" s="133"/>
      <c r="I42" s="133"/>
      <c r="J42" s="136" t="s">
        <v>6883</v>
      </c>
      <c r="K42" s="135" t="s">
        <v>7493</v>
      </c>
      <c r="L42" s="227"/>
      <c r="M42" s="227"/>
      <c r="N42" s="227"/>
      <c r="O42" s="227"/>
      <c r="P42" s="227"/>
      <c r="Q42" s="227"/>
      <c r="R42" s="227"/>
      <c r="S42" s="227"/>
      <c r="T42" s="227"/>
      <c r="U42" s="227"/>
      <c r="V42" s="227"/>
      <c r="W42" s="227"/>
      <c r="X42" s="227"/>
      <c r="Y42" s="227"/>
      <c r="Z42" s="227"/>
      <c r="AA42">
        <f>IF(AND('1 Org'!C42&gt;Tmin, NOT('1 Org'!$I42="")),'1 Org'!$I42,0)</f>
        <v>0</v>
      </c>
      <c r="AB42">
        <f>IF(AND('1 Org'!D42&gt;Tmin, NOT('1 Org'!$I42="")),'1 Org'!$I42,0)</f>
        <v>0</v>
      </c>
      <c r="AC42">
        <f>IF(AND('1 Org'!E42&gt;Tmin, NOT('1 Org'!$I42="")),'1 Org'!$I42,0)</f>
        <v>0</v>
      </c>
      <c r="AD42">
        <f>IF(AND('1 Org'!F42&gt;Tmin, NOT('1 Org'!$I42="")),'1 Org'!$I42,0)</f>
        <v>0</v>
      </c>
      <c r="AE42">
        <f>IF(AND('1 Org'!C42&lt;Tmax, NOT('1 Org'!$H42="")),'1 Org'!$H42,4)</f>
        <v>4</v>
      </c>
      <c r="AF42">
        <f>IF(AND('1 Org'!D42&lt;Tmax, NOT('1 Org'!$H42="")),'1 Org'!$H42,4)</f>
        <v>4</v>
      </c>
      <c r="AG42">
        <f>IF(AND('1 Org'!E42&lt;Tmax, NOT('1 Org'!$H42="")),'1 Org'!$H42,4)</f>
        <v>4</v>
      </c>
      <c r="AH42">
        <f>IF(AND('1 Org'!F42&lt;Tmax, NOT('1 Org'!$H42="")),'1 Org'!$H42,4)</f>
        <v>4</v>
      </c>
      <c r="AI42"/>
      <c r="AJ42" s="213"/>
      <c r="AK42" s="213"/>
      <c r="AL42" s="213"/>
      <c r="AM42" s="213"/>
      <c r="AN42" s="213"/>
    </row>
    <row r="43" spans="1:40" x14ac:dyDescent="0.25">
      <c r="A43" s="164" t="s">
        <v>2328</v>
      </c>
      <c r="B43" s="128" t="s">
        <v>6885</v>
      </c>
      <c r="C43" s="243">
        <v>0</v>
      </c>
      <c r="D43" s="243"/>
      <c r="E43" s="243"/>
      <c r="F43" s="243"/>
      <c r="G43" s="133">
        <v>4</v>
      </c>
      <c r="H43" s="133"/>
      <c r="I43" s="133"/>
      <c r="J43" s="136" t="s">
        <v>6883</v>
      </c>
      <c r="K43" s="135" t="s">
        <v>7494</v>
      </c>
      <c r="L43" s="227"/>
      <c r="M43" s="227"/>
      <c r="N43" s="227"/>
      <c r="O43" s="227"/>
      <c r="P43" s="227"/>
      <c r="Q43" s="227"/>
      <c r="R43" s="227"/>
      <c r="S43" s="227"/>
      <c r="T43" s="227"/>
      <c r="U43" s="227"/>
      <c r="V43" s="227"/>
      <c r="W43" s="227"/>
      <c r="X43" s="227"/>
      <c r="Y43" s="227"/>
      <c r="Z43" s="227"/>
      <c r="AA43">
        <f>IF(AND('1 Org'!C43&gt;Tmin, NOT('1 Org'!$I43="")),'1 Org'!$I43,0)</f>
        <v>0</v>
      </c>
      <c r="AB43">
        <f>IF(AND('1 Org'!D43&gt;Tmin, NOT('1 Org'!$I43="")),'1 Org'!$I43,0)</f>
        <v>0</v>
      </c>
      <c r="AC43">
        <f>IF(AND('1 Org'!E43&gt;Tmin, NOT('1 Org'!$I43="")),'1 Org'!$I43,0)</f>
        <v>0</v>
      </c>
      <c r="AD43">
        <f>IF(AND('1 Org'!F43&gt;Tmin, NOT('1 Org'!$I43="")),'1 Org'!$I43,0)</f>
        <v>0</v>
      </c>
      <c r="AE43">
        <f>IF(AND('1 Org'!C43&lt;Tmax, NOT('1 Org'!$H43="")),'1 Org'!$H43,4)</f>
        <v>4</v>
      </c>
      <c r="AF43">
        <f>IF(AND('1 Org'!D43&lt;Tmax, NOT('1 Org'!$H43="")),'1 Org'!$H43,4)</f>
        <v>4</v>
      </c>
      <c r="AG43">
        <f>IF(AND('1 Org'!E43&lt;Tmax, NOT('1 Org'!$H43="")),'1 Org'!$H43,4)</f>
        <v>4</v>
      </c>
      <c r="AH43">
        <f>IF(AND('1 Org'!F43&lt;Tmax, NOT('1 Org'!$H43="")),'1 Org'!$H43,4)</f>
        <v>4</v>
      </c>
      <c r="AI43"/>
      <c r="AJ43" s="213"/>
      <c r="AK43" s="213"/>
      <c r="AL43" s="213"/>
      <c r="AM43" s="213"/>
      <c r="AN43" s="213"/>
    </row>
    <row r="44" spans="1:40" x14ac:dyDescent="0.25">
      <c r="A44" s="164" t="s">
        <v>662</v>
      </c>
      <c r="B44" s="128" t="s">
        <v>663</v>
      </c>
      <c r="C44" s="243"/>
      <c r="D44" s="243"/>
      <c r="E44" s="243"/>
      <c r="F44" s="243"/>
      <c r="G44" s="133"/>
      <c r="H44" s="133"/>
      <c r="I44" s="133"/>
      <c r="J44" s="136"/>
      <c r="L44" s="227"/>
      <c r="M44" s="227"/>
      <c r="N44" s="227"/>
      <c r="O44" s="227"/>
      <c r="P44" s="227"/>
      <c r="Q44" s="227"/>
      <c r="R44" s="227"/>
      <c r="S44" s="227"/>
      <c r="T44" s="227"/>
      <c r="U44" s="227"/>
      <c r="V44" s="227"/>
      <c r="W44" s="227"/>
      <c r="X44" s="227"/>
      <c r="Y44" s="227"/>
      <c r="Z44" s="227"/>
      <c r="AA44"/>
      <c r="AB44"/>
      <c r="AC44"/>
      <c r="AD44"/>
      <c r="AE44"/>
      <c r="AF44"/>
      <c r="AG44"/>
      <c r="AH44"/>
      <c r="AI44"/>
      <c r="AJ44" s="213"/>
      <c r="AK44" s="213"/>
      <c r="AL44" s="213"/>
      <c r="AM44" s="213"/>
      <c r="AN44" s="213"/>
    </row>
    <row r="45" spans="1:40" ht="20.399999999999999" x14ac:dyDescent="0.25">
      <c r="A45" s="164" t="s">
        <v>1440</v>
      </c>
      <c r="B45" s="128" t="s">
        <v>6886</v>
      </c>
      <c r="C45" s="243"/>
      <c r="D45" s="243"/>
      <c r="E45" s="243"/>
      <c r="F45" s="243"/>
      <c r="G45" s="133">
        <v>2</v>
      </c>
      <c r="H45" s="133"/>
      <c r="I45" s="133"/>
      <c r="J45" s="136" t="s">
        <v>6887</v>
      </c>
      <c r="L45" s="227"/>
      <c r="M45" s="227"/>
      <c r="N45" s="227"/>
      <c r="O45" s="227"/>
      <c r="P45" s="227"/>
      <c r="Q45" s="227"/>
      <c r="R45" s="227"/>
      <c r="S45" s="227"/>
      <c r="T45" s="227"/>
      <c r="U45" s="227"/>
      <c r="V45" s="227"/>
      <c r="W45" s="227"/>
      <c r="X45" s="227"/>
      <c r="Y45" s="227"/>
      <c r="Z45" s="227"/>
      <c r="AA45">
        <f>IF(AND('1 Org'!C45&gt;Tmin, NOT('1 Org'!$I45="")),'1 Org'!$I45,0)</f>
        <v>0</v>
      </c>
      <c r="AB45">
        <f>IF(AND('1 Org'!D45&gt;Tmin, NOT('1 Org'!$I45="")),'1 Org'!$I45,0)</f>
        <v>0</v>
      </c>
      <c r="AC45">
        <f>IF(AND('1 Org'!E45&gt;Tmin, NOT('1 Org'!$I45="")),'1 Org'!$I45,0)</f>
        <v>0</v>
      </c>
      <c r="AD45">
        <f>IF(AND('1 Org'!F45&gt;Tmin, NOT('1 Org'!$I45="")),'1 Org'!$I45,0)</f>
        <v>0</v>
      </c>
      <c r="AE45">
        <f>IF(AND('1 Org'!C45&lt;Tmax, NOT('1 Org'!$H45="")),'1 Org'!$H45,4)</f>
        <v>4</v>
      </c>
      <c r="AF45">
        <f>IF(AND('1 Org'!D45&lt;Tmax, NOT('1 Org'!$H45="")),'1 Org'!$H45,4)</f>
        <v>4</v>
      </c>
      <c r="AG45">
        <f>IF(AND('1 Org'!E45&lt;Tmax, NOT('1 Org'!$H45="")),'1 Org'!$H45,4)</f>
        <v>4</v>
      </c>
      <c r="AH45">
        <f>IF(AND('1 Org'!F45&lt;Tmax, NOT('1 Org'!$H45="")),'1 Org'!$H45,4)</f>
        <v>4</v>
      </c>
      <c r="AI45"/>
      <c r="AJ45" s="213"/>
      <c r="AK45" s="213"/>
      <c r="AL45" s="213"/>
      <c r="AM45" s="213"/>
      <c r="AN45" s="213"/>
    </row>
    <row r="46" spans="1:40" ht="20.399999999999999" x14ac:dyDescent="0.25">
      <c r="A46" s="164" t="s">
        <v>1441</v>
      </c>
      <c r="B46" s="128" t="s">
        <v>6888</v>
      </c>
      <c r="C46" s="243"/>
      <c r="D46" s="243"/>
      <c r="E46" s="243"/>
      <c r="F46" s="243"/>
      <c r="G46" s="133">
        <v>4</v>
      </c>
      <c r="H46" s="133"/>
      <c r="I46" s="133"/>
      <c r="J46" s="136" t="s">
        <v>6887</v>
      </c>
      <c r="L46" s="227"/>
      <c r="M46" s="227"/>
      <c r="N46" s="227"/>
      <c r="O46" s="227"/>
      <c r="P46" s="227"/>
      <c r="Q46" s="227"/>
      <c r="R46" s="227"/>
      <c r="S46" s="227"/>
      <c r="T46" s="227"/>
      <c r="U46" s="227"/>
      <c r="V46" s="227"/>
      <c r="W46" s="227"/>
      <c r="X46" s="227"/>
      <c r="Y46" s="227"/>
      <c r="Z46" s="227"/>
      <c r="AA46">
        <f>IF(AND('1 Org'!C46&gt;Tmin, NOT('1 Org'!$I46="")),'1 Org'!$I46,0)</f>
        <v>0</v>
      </c>
      <c r="AB46">
        <f>IF(AND('1 Org'!D46&gt;Tmin, NOT('1 Org'!$I46="")),'1 Org'!$I46,0)</f>
        <v>0</v>
      </c>
      <c r="AC46">
        <f>IF(AND('1 Org'!E46&gt;Tmin, NOT('1 Org'!$I46="")),'1 Org'!$I46,0)</f>
        <v>0</v>
      </c>
      <c r="AD46">
        <f>IF(AND('1 Org'!F46&gt;Tmin, NOT('1 Org'!$I46="")),'1 Org'!$I46,0)</f>
        <v>0</v>
      </c>
      <c r="AE46">
        <f>IF(AND('1 Org'!C46&lt;Tmax, NOT('1 Org'!$H46="")),'1 Org'!$H46,4)</f>
        <v>4</v>
      </c>
      <c r="AF46">
        <f>IF(AND('1 Org'!D46&lt;Tmax, NOT('1 Org'!$H46="")),'1 Org'!$H46,4)</f>
        <v>4</v>
      </c>
      <c r="AG46">
        <f>IF(AND('1 Org'!E46&lt;Tmax, NOT('1 Org'!$H46="")),'1 Org'!$H46,4)</f>
        <v>4</v>
      </c>
      <c r="AH46">
        <f>IF(AND('1 Org'!F46&lt;Tmax, NOT('1 Org'!$H46="")),'1 Org'!$H46,4)</f>
        <v>4</v>
      </c>
      <c r="AI46"/>
      <c r="AJ46" s="213"/>
      <c r="AK46" s="213"/>
      <c r="AL46" s="213"/>
      <c r="AM46" s="213"/>
      <c r="AN46" s="213"/>
    </row>
    <row r="47" spans="1:40" x14ac:dyDescent="0.25">
      <c r="A47" s="164" t="s">
        <v>664</v>
      </c>
      <c r="B47" s="128" t="s">
        <v>6889</v>
      </c>
      <c r="C47" s="243"/>
      <c r="D47" s="243"/>
      <c r="E47" s="243"/>
      <c r="F47" s="243"/>
      <c r="G47" s="133"/>
      <c r="H47" s="133"/>
      <c r="I47" s="133"/>
      <c r="J47" s="136"/>
      <c r="L47" s="227"/>
      <c r="M47" s="227"/>
      <c r="N47" s="227"/>
      <c r="O47" s="227"/>
      <c r="P47" s="227"/>
      <c r="Q47" s="227"/>
      <c r="R47" s="227"/>
      <c r="S47" s="227"/>
      <c r="T47" s="227"/>
      <c r="U47" s="227"/>
      <c r="V47" s="227"/>
      <c r="W47" s="227"/>
      <c r="X47" s="227"/>
      <c r="Y47" s="227"/>
      <c r="Z47" s="227"/>
      <c r="AA47"/>
      <c r="AB47"/>
      <c r="AC47"/>
      <c r="AD47"/>
      <c r="AE47"/>
      <c r="AF47"/>
      <c r="AG47"/>
      <c r="AH47"/>
      <c r="AI47"/>
      <c r="AJ47" s="213"/>
      <c r="AK47" s="213"/>
      <c r="AL47" s="213"/>
      <c r="AM47" s="213"/>
      <c r="AN47" s="213"/>
    </row>
    <row r="48" spans="1:40" ht="20.399999999999999" x14ac:dyDescent="0.25">
      <c r="A48" s="164" t="s">
        <v>1442</v>
      </c>
      <c r="B48" s="128" t="s">
        <v>6890</v>
      </c>
      <c r="C48" s="243"/>
      <c r="D48" s="243"/>
      <c r="E48" s="243"/>
      <c r="F48" s="243"/>
      <c r="G48" s="133">
        <v>2</v>
      </c>
      <c r="H48" s="133"/>
      <c r="I48" s="133"/>
      <c r="J48" s="136" t="s">
        <v>6891</v>
      </c>
      <c r="L48" s="227"/>
      <c r="M48" s="227"/>
      <c r="N48" s="227"/>
      <c r="O48" s="227"/>
      <c r="P48" s="227"/>
      <c r="Q48" s="227"/>
      <c r="R48" s="227"/>
      <c r="S48" s="227"/>
      <c r="T48" s="227"/>
      <c r="U48" s="227"/>
      <c r="V48" s="227"/>
      <c r="W48" s="227"/>
      <c r="X48" s="227"/>
      <c r="Y48" s="227"/>
      <c r="Z48" s="227"/>
      <c r="AA48">
        <f>IF(AND('1 Org'!C48&gt;Tmin, NOT('1 Org'!$I48="")),'1 Org'!$I48,0)</f>
        <v>0</v>
      </c>
      <c r="AB48">
        <f>IF(AND('1 Org'!D48&gt;Tmin, NOT('1 Org'!$I48="")),'1 Org'!$I48,0)</f>
        <v>0</v>
      </c>
      <c r="AC48">
        <f>IF(AND('1 Org'!E48&gt;Tmin, NOT('1 Org'!$I48="")),'1 Org'!$I48,0)</f>
        <v>0</v>
      </c>
      <c r="AD48">
        <f>IF(AND('1 Org'!F48&gt;Tmin, NOT('1 Org'!$I48="")),'1 Org'!$I48,0)</f>
        <v>0</v>
      </c>
      <c r="AE48">
        <f>IF(AND('1 Org'!C48&lt;Tmax, NOT('1 Org'!$H48="")),'1 Org'!$H48,4)</f>
        <v>4</v>
      </c>
      <c r="AF48">
        <f>IF(AND('1 Org'!D48&lt;Tmax, NOT('1 Org'!$H48="")),'1 Org'!$H48,4)</f>
        <v>4</v>
      </c>
      <c r="AG48">
        <f>IF(AND('1 Org'!E48&lt;Tmax, NOT('1 Org'!$H48="")),'1 Org'!$H48,4)</f>
        <v>4</v>
      </c>
      <c r="AH48">
        <f>IF(AND('1 Org'!F48&lt;Tmax, NOT('1 Org'!$H48="")),'1 Org'!$H48,4)</f>
        <v>4</v>
      </c>
      <c r="AI48"/>
      <c r="AJ48" s="213"/>
      <c r="AK48" s="213"/>
      <c r="AL48" s="213"/>
      <c r="AM48" s="213"/>
      <c r="AN48" s="213"/>
    </row>
    <row r="49" spans="1:200" x14ac:dyDescent="0.25">
      <c r="A49" s="164" t="s">
        <v>1443</v>
      </c>
      <c r="B49" s="128" t="s">
        <v>6892</v>
      </c>
      <c r="C49" s="243"/>
      <c r="D49" s="243"/>
      <c r="E49" s="243"/>
      <c r="F49" s="243"/>
      <c r="G49" s="133">
        <v>4</v>
      </c>
      <c r="H49" s="133"/>
      <c r="I49" s="133"/>
      <c r="J49" s="136" t="s">
        <v>6891</v>
      </c>
      <c r="L49" s="227"/>
      <c r="M49" s="227"/>
      <c r="N49" s="227"/>
      <c r="O49" s="227"/>
      <c r="P49" s="227"/>
      <c r="Q49" s="227"/>
      <c r="R49" s="227"/>
      <c r="S49" s="227"/>
      <c r="T49" s="227"/>
      <c r="U49" s="227"/>
      <c r="V49" s="227"/>
      <c r="W49" s="227"/>
      <c r="X49" s="227"/>
      <c r="Y49" s="227"/>
      <c r="Z49" s="227"/>
      <c r="AA49">
        <f>IF(AND('1 Org'!C49&gt;Tmin, NOT('1 Org'!$I49="")),'1 Org'!$I49,0)</f>
        <v>0</v>
      </c>
      <c r="AB49">
        <f>IF(AND('1 Org'!D49&gt;Tmin, NOT('1 Org'!$I49="")),'1 Org'!$I49,0)</f>
        <v>0</v>
      </c>
      <c r="AC49">
        <f>IF(AND('1 Org'!E49&gt;Tmin, NOT('1 Org'!$I49="")),'1 Org'!$I49,0)</f>
        <v>0</v>
      </c>
      <c r="AD49">
        <f>IF(AND('1 Org'!F49&gt;Tmin, NOT('1 Org'!$I49="")),'1 Org'!$I49,0)</f>
        <v>0</v>
      </c>
      <c r="AE49">
        <f>IF(AND('1 Org'!C49&lt;Tmax, NOT('1 Org'!$H49="")),'1 Org'!$H49,4)</f>
        <v>4</v>
      </c>
      <c r="AF49">
        <f>IF(AND('1 Org'!D49&lt;Tmax, NOT('1 Org'!$H49="")),'1 Org'!$H49,4)</f>
        <v>4</v>
      </c>
      <c r="AG49">
        <f>IF(AND('1 Org'!E49&lt;Tmax, NOT('1 Org'!$H49="")),'1 Org'!$H49,4)</f>
        <v>4</v>
      </c>
      <c r="AH49">
        <f>IF(AND('1 Org'!F49&lt;Tmax, NOT('1 Org'!$H49="")),'1 Org'!$H49,4)</f>
        <v>4</v>
      </c>
      <c r="AI49"/>
      <c r="AJ49" s="213"/>
      <c r="AK49" s="213"/>
      <c r="AL49" s="213"/>
      <c r="AM49" s="213"/>
      <c r="AN49" s="213"/>
    </row>
    <row r="50" spans="1:200" ht="20.399999999999999" x14ac:dyDescent="0.25">
      <c r="A50" s="164" t="s">
        <v>1444</v>
      </c>
      <c r="B50" s="128" t="s">
        <v>6893</v>
      </c>
      <c r="C50" s="243"/>
      <c r="D50" s="243"/>
      <c r="E50" s="243"/>
      <c r="F50" s="243"/>
      <c r="G50" s="133">
        <v>4</v>
      </c>
      <c r="H50" s="133"/>
      <c r="I50" s="133"/>
      <c r="J50" s="136" t="s">
        <v>6891</v>
      </c>
      <c r="L50" s="227"/>
      <c r="M50" s="227"/>
      <c r="N50" s="227"/>
      <c r="O50" s="227"/>
      <c r="P50" s="227"/>
      <c r="Q50" s="227"/>
      <c r="R50" s="227"/>
      <c r="S50" s="227"/>
      <c r="T50" s="227"/>
      <c r="U50" s="227"/>
      <c r="V50" s="227"/>
      <c r="W50" s="227"/>
      <c r="X50" s="227"/>
      <c r="Y50" s="227"/>
      <c r="Z50" s="227"/>
      <c r="AA50">
        <f>IF(AND('1 Org'!C50&gt;Tmin, NOT('1 Org'!$I50="")),'1 Org'!$I50,0)</f>
        <v>0</v>
      </c>
      <c r="AB50">
        <f>IF(AND('1 Org'!D50&gt;Tmin, NOT('1 Org'!$I50="")),'1 Org'!$I50,0)</f>
        <v>0</v>
      </c>
      <c r="AC50">
        <f>IF(AND('1 Org'!E50&gt;Tmin, NOT('1 Org'!$I50="")),'1 Org'!$I50,0)</f>
        <v>0</v>
      </c>
      <c r="AD50">
        <f>IF(AND('1 Org'!F50&gt;Tmin, NOT('1 Org'!$I50="")),'1 Org'!$I50,0)</f>
        <v>0</v>
      </c>
      <c r="AE50">
        <f>IF(AND('1 Org'!C50&lt;Tmax, NOT('1 Org'!$H50="")),'1 Org'!$H50,4)</f>
        <v>4</v>
      </c>
      <c r="AF50">
        <f>IF(AND('1 Org'!D50&lt;Tmax, NOT('1 Org'!$H50="")),'1 Org'!$H50,4)</f>
        <v>4</v>
      </c>
      <c r="AG50">
        <f>IF(AND('1 Org'!E50&lt;Tmax, NOT('1 Org'!$H50="")),'1 Org'!$H50,4)</f>
        <v>4</v>
      </c>
      <c r="AH50">
        <f>IF(AND('1 Org'!F50&lt;Tmax, NOT('1 Org'!$H50="")),'1 Org'!$H50,4)</f>
        <v>4</v>
      </c>
      <c r="AI50"/>
      <c r="AJ50" s="213"/>
      <c r="AK50" s="213"/>
      <c r="AL50" s="213"/>
      <c r="AM50" s="213"/>
      <c r="AN50" s="213"/>
    </row>
    <row r="51" spans="1:200" x14ac:dyDescent="0.25">
      <c r="A51" s="164" t="s">
        <v>665</v>
      </c>
      <c r="B51" s="128" t="s">
        <v>45</v>
      </c>
      <c r="C51" s="243"/>
      <c r="D51" s="243"/>
      <c r="E51" s="243"/>
      <c r="F51" s="243"/>
      <c r="G51" s="133"/>
      <c r="H51" s="133"/>
      <c r="I51" s="133"/>
      <c r="J51" s="136"/>
      <c r="L51" s="227"/>
      <c r="M51" s="227"/>
      <c r="N51" s="227"/>
      <c r="O51" s="227"/>
      <c r="P51" s="227"/>
      <c r="Q51" s="227"/>
      <c r="R51" s="227"/>
      <c r="S51" s="227"/>
      <c r="T51" s="227"/>
      <c r="U51" s="227"/>
      <c r="V51" s="227"/>
      <c r="W51" s="227"/>
      <c r="X51" s="227"/>
      <c r="Y51" s="227"/>
      <c r="Z51" s="227"/>
      <c r="AA51"/>
      <c r="AB51"/>
      <c r="AC51"/>
      <c r="AD51"/>
      <c r="AE51"/>
      <c r="AF51"/>
      <c r="AG51"/>
      <c r="AH51"/>
      <c r="AI51"/>
      <c r="AJ51" s="213"/>
      <c r="AK51" s="213"/>
      <c r="AL51" s="213"/>
      <c r="AM51" s="213"/>
      <c r="AN51" s="213"/>
    </row>
    <row r="52" spans="1:200" ht="20.399999999999999" x14ac:dyDescent="0.25">
      <c r="A52" s="164" t="s">
        <v>1445</v>
      </c>
      <c r="B52" s="128" t="s">
        <v>6894</v>
      </c>
      <c r="C52" s="243"/>
      <c r="D52" s="243"/>
      <c r="E52" s="243"/>
      <c r="F52" s="243"/>
      <c r="G52" s="133">
        <v>2</v>
      </c>
      <c r="H52" s="133"/>
      <c r="I52" s="133"/>
      <c r="J52" s="136" t="s">
        <v>7129</v>
      </c>
      <c r="L52" s="227"/>
      <c r="M52" s="227"/>
      <c r="N52" s="227"/>
      <c r="O52" s="227"/>
      <c r="P52" s="227"/>
      <c r="Q52" s="227"/>
      <c r="R52" s="227"/>
      <c r="S52" s="227"/>
      <c r="T52" s="227"/>
      <c r="U52" s="227"/>
      <c r="V52" s="227"/>
      <c r="W52" s="227"/>
      <c r="X52" s="227"/>
      <c r="Y52" s="227"/>
      <c r="Z52" s="227"/>
      <c r="AA52">
        <f>IF(AND('1 Org'!C52&gt;Tmin, NOT('1 Org'!$I52="")),'1 Org'!$I52,0)</f>
        <v>0</v>
      </c>
      <c r="AB52">
        <f>IF(AND('1 Org'!D52&gt;Tmin, NOT('1 Org'!$I52="")),'1 Org'!$I52,0)</f>
        <v>0</v>
      </c>
      <c r="AC52">
        <f>IF(AND('1 Org'!E52&gt;Tmin, NOT('1 Org'!$I52="")),'1 Org'!$I52,0)</f>
        <v>0</v>
      </c>
      <c r="AD52">
        <f>IF(AND('1 Org'!F52&gt;Tmin, NOT('1 Org'!$I52="")),'1 Org'!$I52,0)</f>
        <v>0</v>
      </c>
      <c r="AE52">
        <f>IF(AND('1 Org'!C52&lt;Tmax, NOT('1 Org'!$H52="")),'1 Org'!$H52,4)</f>
        <v>4</v>
      </c>
      <c r="AF52">
        <f>IF(AND('1 Org'!D52&lt;Tmax, NOT('1 Org'!$H52="")),'1 Org'!$H52,4)</f>
        <v>4</v>
      </c>
      <c r="AG52">
        <f>IF(AND('1 Org'!E52&lt;Tmax, NOT('1 Org'!$H52="")),'1 Org'!$H52,4)</f>
        <v>4</v>
      </c>
      <c r="AH52">
        <f>IF(AND('1 Org'!F52&lt;Tmax, NOT('1 Org'!$H52="")),'1 Org'!$H52,4)</f>
        <v>4</v>
      </c>
      <c r="AI52"/>
      <c r="AJ52" s="213"/>
      <c r="AK52" s="213"/>
      <c r="AL52" s="213"/>
      <c r="AM52" s="213"/>
      <c r="AN52" s="213"/>
    </row>
    <row r="53" spans="1:200" ht="20.399999999999999" x14ac:dyDescent="0.25">
      <c r="A53" s="164" t="s">
        <v>1446</v>
      </c>
      <c r="B53" s="128" t="s">
        <v>6896</v>
      </c>
      <c r="C53" s="243"/>
      <c r="D53" s="243"/>
      <c r="E53" s="243"/>
      <c r="F53" s="243"/>
      <c r="G53" s="133">
        <v>4</v>
      </c>
      <c r="H53" s="133"/>
      <c r="I53" s="133"/>
      <c r="J53" s="136" t="s">
        <v>7129</v>
      </c>
      <c r="L53" s="227"/>
      <c r="M53" s="227"/>
      <c r="N53" s="227"/>
      <c r="O53" s="227"/>
      <c r="P53" s="227"/>
      <c r="Q53" s="227"/>
      <c r="R53" s="227"/>
      <c r="S53" s="227"/>
      <c r="T53" s="227"/>
      <c r="U53" s="227"/>
      <c r="V53" s="227"/>
      <c r="W53" s="227"/>
      <c r="X53" s="227"/>
      <c r="Y53" s="227"/>
      <c r="Z53" s="227"/>
      <c r="AA53">
        <f>IF(AND('1 Org'!C53&gt;Tmin, NOT('1 Org'!$I53="")),'1 Org'!$I53,0)</f>
        <v>0</v>
      </c>
      <c r="AB53">
        <f>IF(AND('1 Org'!D53&gt;Tmin, NOT('1 Org'!$I53="")),'1 Org'!$I53,0)</f>
        <v>0</v>
      </c>
      <c r="AC53">
        <f>IF(AND('1 Org'!E53&gt;Tmin, NOT('1 Org'!$I53="")),'1 Org'!$I53,0)</f>
        <v>0</v>
      </c>
      <c r="AD53">
        <f>IF(AND('1 Org'!F53&gt;Tmin, NOT('1 Org'!$I53="")),'1 Org'!$I53,0)</f>
        <v>0</v>
      </c>
      <c r="AE53">
        <f>IF(AND('1 Org'!C53&lt;Tmax, NOT('1 Org'!$H53="")),'1 Org'!$H53,4)</f>
        <v>4</v>
      </c>
      <c r="AF53">
        <f>IF(AND('1 Org'!D53&lt;Tmax, NOT('1 Org'!$H53="")),'1 Org'!$H53,4)</f>
        <v>4</v>
      </c>
      <c r="AG53">
        <f>IF(AND('1 Org'!E53&lt;Tmax, NOT('1 Org'!$H53="")),'1 Org'!$H53,4)</f>
        <v>4</v>
      </c>
      <c r="AH53">
        <f>IF(AND('1 Org'!F53&lt;Tmax, NOT('1 Org'!$H53="")),'1 Org'!$H53,4)</f>
        <v>4</v>
      </c>
      <c r="AI53"/>
      <c r="AJ53" s="213"/>
      <c r="AK53" s="213"/>
      <c r="AL53" s="213"/>
      <c r="AM53" s="213"/>
      <c r="AN53" s="213"/>
    </row>
    <row r="54" spans="1:200" ht="20.399999999999999" x14ac:dyDescent="0.25">
      <c r="A54" s="164" t="s">
        <v>6897</v>
      </c>
      <c r="B54" s="128" t="s">
        <v>6898</v>
      </c>
      <c r="C54" s="243"/>
      <c r="D54" s="243"/>
      <c r="E54" s="243"/>
      <c r="F54" s="243"/>
      <c r="G54" s="133">
        <v>4</v>
      </c>
      <c r="H54" s="133"/>
      <c r="I54" s="133"/>
      <c r="J54" s="136" t="s">
        <v>7129</v>
      </c>
      <c r="L54" s="227"/>
      <c r="M54" s="227"/>
      <c r="N54" s="227"/>
      <c r="O54" s="227"/>
      <c r="P54" s="227"/>
      <c r="Q54" s="227"/>
      <c r="R54" s="227"/>
      <c r="S54" s="227"/>
      <c r="T54" s="227"/>
      <c r="U54" s="227"/>
      <c r="V54" s="227"/>
      <c r="W54" s="227"/>
      <c r="X54" s="227"/>
      <c r="Y54" s="227"/>
      <c r="Z54" s="227"/>
      <c r="AA54">
        <f>IF(AND('1 Org'!C54&gt;Tmin, NOT('1 Org'!$I54="")),'1 Org'!$I54,0)</f>
        <v>0</v>
      </c>
      <c r="AB54">
        <f>IF(AND('1 Org'!D54&gt;Tmin, NOT('1 Org'!$I54="")),'1 Org'!$I54,0)</f>
        <v>0</v>
      </c>
      <c r="AC54">
        <f>IF(AND('1 Org'!E54&gt;Tmin, NOT('1 Org'!$I54="")),'1 Org'!$I54,0)</f>
        <v>0</v>
      </c>
      <c r="AD54">
        <f>IF(AND('1 Org'!F54&gt;Tmin, NOT('1 Org'!$I54="")),'1 Org'!$I54,0)</f>
        <v>0</v>
      </c>
      <c r="AE54">
        <f>IF(AND('1 Org'!C54&lt;Tmax, NOT('1 Org'!$H54="")),'1 Org'!$H54,4)</f>
        <v>4</v>
      </c>
      <c r="AF54">
        <f>IF(AND('1 Org'!D54&lt;Tmax, NOT('1 Org'!$H54="")),'1 Org'!$H54,4)</f>
        <v>4</v>
      </c>
      <c r="AG54">
        <f>IF(AND('1 Org'!E54&lt;Tmax, NOT('1 Org'!$H54="")),'1 Org'!$H54,4)</f>
        <v>4</v>
      </c>
      <c r="AH54">
        <f>IF(AND('1 Org'!F54&lt;Tmax, NOT('1 Org'!$H54="")),'1 Org'!$H54,4)</f>
        <v>4</v>
      </c>
      <c r="AI54"/>
      <c r="AJ54" s="213"/>
      <c r="AK54" s="213"/>
      <c r="AL54" s="213"/>
      <c r="AM54" s="213"/>
      <c r="AN54" s="213"/>
    </row>
    <row r="55" spans="1:200" x14ac:dyDescent="0.25">
      <c r="A55" s="164" t="s">
        <v>666</v>
      </c>
      <c r="B55" s="128" t="s">
        <v>6899</v>
      </c>
      <c r="C55" s="243"/>
      <c r="D55" s="243"/>
      <c r="E55" s="243"/>
      <c r="F55" s="243"/>
      <c r="G55" s="133"/>
      <c r="H55" s="133"/>
      <c r="I55" s="133"/>
      <c r="J55" s="136"/>
      <c r="L55" s="227"/>
      <c r="M55" s="227"/>
      <c r="N55" s="227"/>
      <c r="O55" s="227"/>
      <c r="P55" s="227"/>
      <c r="Q55" s="227"/>
      <c r="R55" s="227"/>
      <c r="S55" s="227"/>
      <c r="T55" s="227"/>
      <c r="U55" s="227"/>
      <c r="V55" s="227"/>
      <c r="W55" s="227"/>
      <c r="X55" s="227"/>
      <c r="Y55" s="227"/>
      <c r="Z55" s="227"/>
      <c r="AA55"/>
      <c r="AB55"/>
      <c r="AC55"/>
      <c r="AD55"/>
      <c r="AE55"/>
      <c r="AF55"/>
      <c r="AG55"/>
      <c r="AH55"/>
      <c r="AI55"/>
      <c r="AJ55" s="213"/>
      <c r="AK55" s="213"/>
      <c r="AL55" s="213"/>
      <c r="AM55" s="213"/>
      <c r="AN55" s="213"/>
    </row>
    <row r="56" spans="1:200" ht="20.399999999999999" x14ac:dyDescent="0.25">
      <c r="A56" s="164" t="s">
        <v>1447</v>
      </c>
      <c r="B56" s="128" t="s">
        <v>6900</v>
      </c>
      <c r="C56" s="243"/>
      <c r="D56" s="243"/>
      <c r="E56" s="243"/>
      <c r="F56" s="243"/>
      <c r="G56" s="133">
        <v>4</v>
      </c>
      <c r="H56" s="133"/>
      <c r="I56" s="133"/>
      <c r="J56" s="136" t="s">
        <v>6901</v>
      </c>
      <c r="L56" s="227"/>
      <c r="M56" s="227"/>
      <c r="N56" s="227"/>
      <c r="O56" s="227"/>
      <c r="P56" s="227"/>
      <c r="Q56" s="227"/>
      <c r="R56" s="227"/>
      <c r="S56" s="227"/>
      <c r="T56" s="227"/>
      <c r="U56" s="227"/>
      <c r="V56" s="227"/>
      <c r="W56" s="227"/>
      <c r="X56" s="227"/>
      <c r="Y56" s="227"/>
      <c r="Z56" s="227"/>
      <c r="AA56">
        <f>IF(AND('1 Org'!C56&gt;Tmin, NOT('1 Org'!$I56="")),'1 Org'!$I56,0)</f>
        <v>0</v>
      </c>
      <c r="AB56">
        <f>IF(AND('1 Org'!D56&gt;Tmin, NOT('1 Org'!$I56="")),'1 Org'!$I56,0)</f>
        <v>0</v>
      </c>
      <c r="AC56">
        <f>IF(AND('1 Org'!E56&gt;Tmin, NOT('1 Org'!$I56="")),'1 Org'!$I56,0)</f>
        <v>0</v>
      </c>
      <c r="AD56">
        <f>IF(AND('1 Org'!F56&gt;Tmin, NOT('1 Org'!$I56="")),'1 Org'!$I56,0)</f>
        <v>0</v>
      </c>
      <c r="AE56">
        <f>IF(AND('1 Org'!C56&lt;Tmax, NOT('1 Org'!$H56="")),'1 Org'!$H56,4)</f>
        <v>4</v>
      </c>
      <c r="AF56">
        <f>IF(AND('1 Org'!D56&lt;Tmax, NOT('1 Org'!$H56="")),'1 Org'!$H56,4)</f>
        <v>4</v>
      </c>
      <c r="AG56">
        <f>IF(AND('1 Org'!E56&lt;Tmax, NOT('1 Org'!$H56="")),'1 Org'!$H56,4)</f>
        <v>4</v>
      </c>
      <c r="AH56">
        <f>IF(AND('1 Org'!F56&lt;Tmax, NOT('1 Org'!$H56="")),'1 Org'!$H56,4)</f>
        <v>4</v>
      </c>
      <c r="AI56"/>
      <c r="AJ56" s="213"/>
      <c r="AK56" s="213"/>
      <c r="AL56" s="213"/>
      <c r="AM56" s="213"/>
      <c r="AN56" s="213"/>
    </row>
    <row r="57" spans="1:200" ht="20.399999999999999" x14ac:dyDescent="0.25">
      <c r="A57" s="164" t="s">
        <v>6902</v>
      </c>
      <c r="B57" s="128" t="s">
        <v>6903</v>
      </c>
      <c r="C57" s="243"/>
      <c r="D57" s="243"/>
      <c r="E57" s="243"/>
      <c r="F57" s="243"/>
      <c r="G57" s="133">
        <v>2</v>
      </c>
      <c r="H57" s="133"/>
      <c r="I57" s="133"/>
      <c r="J57" s="136" t="s">
        <v>6901</v>
      </c>
      <c r="L57" s="227"/>
      <c r="M57" s="227"/>
      <c r="N57" s="227"/>
      <c r="O57" s="227"/>
      <c r="P57" s="227"/>
      <c r="Q57" s="227"/>
      <c r="R57" s="227"/>
      <c r="S57" s="227"/>
      <c r="T57" s="227"/>
      <c r="U57" s="227"/>
      <c r="V57" s="227"/>
      <c r="W57" s="227"/>
      <c r="X57" s="227"/>
      <c r="Y57" s="227"/>
      <c r="Z57" s="227"/>
      <c r="AA57">
        <f>IF(AND('1 Org'!C57&gt;Tmin, NOT('1 Org'!$I57="")),'1 Org'!$I57,0)</f>
        <v>0</v>
      </c>
      <c r="AB57">
        <f>IF(AND('1 Org'!D57&gt;Tmin, NOT('1 Org'!$I57="")),'1 Org'!$I57,0)</f>
        <v>0</v>
      </c>
      <c r="AC57">
        <f>IF(AND('1 Org'!E57&gt;Tmin, NOT('1 Org'!$I57="")),'1 Org'!$I57,0)</f>
        <v>0</v>
      </c>
      <c r="AD57">
        <f>IF(AND('1 Org'!F57&gt;Tmin, NOT('1 Org'!$I57="")),'1 Org'!$I57,0)</f>
        <v>0</v>
      </c>
      <c r="AE57">
        <f>IF(AND('1 Org'!C57&lt;Tmax, NOT('1 Org'!$H57="")),'1 Org'!$H57,4)</f>
        <v>4</v>
      </c>
      <c r="AF57">
        <f>IF(AND('1 Org'!D57&lt;Tmax, NOT('1 Org'!$H57="")),'1 Org'!$H57,4)</f>
        <v>4</v>
      </c>
      <c r="AG57">
        <f>IF(AND('1 Org'!E57&lt;Tmax, NOT('1 Org'!$H57="")),'1 Org'!$H57,4)</f>
        <v>4</v>
      </c>
      <c r="AH57">
        <f>IF(AND('1 Org'!F57&lt;Tmax, NOT('1 Org'!$H57="")),'1 Org'!$H57,4)</f>
        <v>4</v>
      </c>
      <c r="AI57"/>
      <c r="AJ57" s="213"/>
      <c r="AK57" s="213"/>
      <c r="AL57" s="213"/>
      <c r="AM57" s="213"/>
      <c r="AN57" s="213"/>
    </row>
    <row r="58" spans="1:200" x14ac:dyDescent="0.25">
      <c r="A58" s="164" t="s">
        <v>6904</v>
      </c>
      <c r="B58" s="128" t="s">
        <v>6905</v>
      </c>
      <c r="C58" s="243"/>
      <c r="D58" s="243"/>
      <c r="E58" s="243"/>
      <c r="F58" s="243"/>
      <c r="G58" s="133">
        <v>4</v>
      </c>
      <c r="H58" s="133"/>
      <c r="I58" s="133"/>
      <c r="J58" s="136" t="s">
        <v>6901</v>
      </c>
      <c r="L58" s="227"/>
      <c r="M58" s="227"/>
      <c r="N58" s="227"/>
      <c r="O58" s="227"/>
      <c r="P58" s="227"/>
      <c r="Q58" s="227"/>
      <c r="R58" s="227"/>
      <c r="S58" s="227"/>
      <c r="T58" s="227"/>
      <c r="U58" s="227"/>
      <c r="V58" s="227"/>
      <c r="W58" s="227"/>
      <c r="X58" s="227"/>
      <c r="Y58" s="227"/>
      <c r="Z58" s="227"/>
      <c r="AA58">
        <f>IF(AND('1 Org'!C58&gt;Tmin, NOT('1 Org'!$I58="")),'1 Org'!$I58,0)</f>
        <v>0</v>
      </c>
      <c r="AB58">
        <f>IF(AND('1 Org'!D58&gt;Tmin, NOT('1 Org'!$I58="")),'1 Org'!$I58,0)</f>
        <v>0</v>
      </c>
      <c r="AC58">
        <f>IF(AND('1 Org'!E58&gt;Tmin, NOT('1 Org'!$I58="")),'1 Org'!$I58,0)</f>
        <v>0</v>
      </c>
      <c r="AD58">
        <f>IF(AND('1 Org'!F58&gt;Tmin, NOT('1 Org'!$I58="")),'1 Org'!$I58,0)</f>
        <v>0</v>
      </c>
      <c r="AE58">
        <f>IF(AND('1 Org'!C58&lt;Tmax, NOT('1 Org'!$H58="")),'1 Org'!$H58,4)</f>
        <v>4</v>
      </c>
      <c r="AF58">
        <f>IF(AND('1 Org'!D58&lt;Tmax, NOT('1 Org'!$H58="")),'1 Org'!$H58,4)</f>
        <v>4</v>
      </c>
      <c r="AG58">
        <f>IF(AND('1 Org'!E58&lt;Tmax, NOT('1 Org'!$H58="")),'1 Org'!$H58,4)</f>
        <v>4</v>
      </c>
      <c r="AH58">
        <f>IF(AND('1 Org'!F58&lt;Tmax, NOT('1 Org'!$H58="")),'1 Org'!$H58,4)</f>
        <v>4</v>
      </c>
      <c r="AI58"/>
      <c r="AJ58" s="213"/>
      <c r="AK58" s="213"/>
      <c r="AL58" s="213"/>
      <c r="AM58" s="213"/>
      <c r="AN58" s="213"/>
    </row>
    <row r="59" spans="1:200" x14ac:dyDescent="0.25">
      <c r="A59" s="164" t="s">
        <v>668</v>
      </c>
      <c r="B59" s="128" t="s">
        <v>6906</v>
      </c>
      <c r="C59" s="243"/>
      <c r="D59" s="243"/>
      <c r="E59" s="243"/>
      <c r="F59" s="243"/>
      <c r="G59" s="133"/>
      <c r="H59" s="133"/>
      <c r="I59" s="133"/>
      <c r="J59" s="136"/>
      <c r="L59" s="227"/>
      <c r="M59" s="227"/>
      <c r="N59" s="227"/>
      <c r="O59" s="227"/>
      <c r="P59" s="227"/>
      <c r="Q59" s="227"/>
      <c r="R59" s="227"/>
      <c r="S59" s="227"/>
      <c r="T59" s="227"/>
      <c r="U59" s="227"/>
      <c r="V59" s="227"/>
      <c r="W59" s="227"/>
      <c r="X59" s="227"/>
      <c r="Y59" s="227"/>
      <c r="Z59" s="227"/>
      <c r="AA59"/>
      <c r="AB59"/>
      <c r="AC59"/>
      <c r="AD59"/>
      <c r="AE59"/>
      <c r="AF59"/>
      <c r="AG59"/>
      <c r="AH59"/>
      <c r="AI59"/>
      <c r="AJ59" s="213"/>
      <c r="AK59" s="213"/>
      <c r="AL59" s="213"/>
      <c r="AM59" s="213"/>
      <c r="AN59" s="213"/>
    </row>
    <row r="60" spans="1:200" ht="20.399999999999999" x14ac:dyDescent="0.25">
      <c r="A60" s="164" t="s">
        <v>1448</v>
      </c>
      <c r="B60" s="128" t="s">
        <v>6907</v>
      </c>
      <c r="C60" s="243">
        <v>0</v>
      </c>
      <c r="D60" s="243"/>
      <c r="E60" s="243"/>
      <c r="F60" s="243"/>
      <c r="G60" s="133">
        <v>2</v>
      </c>
      <c r="H60" s="133"/>
      <c r="I60" s="133"/>
      <c r="J60" s="136" t="s">
        <v>7013</v>
      </c>
      <c r="K60" s="135" t="s">
        <v>7495</v>
      </c>
      <c r="L60" s="227"/>
      <c r="M60" s="227"/>
      <c r="N60" s="227"/>
      <c r="O60" s="227"/>
      <c r="P60" s="227"/>
      <c r="Q60" s="227"/>
      <c r="R60" s="227"/>
      <c r="S60" s="227"/>
      <c r="T60" s="227"/>
      <c r="U60" s="227"/>
      <c r="V60" s="227"/>
      <c r="W60" s="227"/>
      <c r="X60" s="227"/>
      <c r="Y60" s="227"/>
      <c r="Z60" s="227"/>
      <c r="AA60">
        <f>IF(AND('1 Org'!C60&gt;Tmin, NOT('1 Org'!$I60="")),'1 Org'!$I60,0)</f>
        <v>0</v>
      </c>
      <c r="AB60">
        <f>IF(AND('1 Org'!D60&gt;Tmin, NOT('1 Org'!$I60="")),'1 Org'!$I60,0)</f>
        <v>0</v>
      </c>
      <c r="AC60">
        <f>IF(AND('1 Org'!E60&gt;Tmin, NOT('1 Org'!$I60="")),'1 Org'!$I60,0)</f>
        <v>0</v>
      </c>
      <c r="AD60">
        <f>IF(AND('1 Org'!F60&gt;Tmin, NOT('1 Org'!$I60="")),'1 Org'!$I60,0)</f>
        <v>0</v>
      </c>
      <c r="AE60">
        <f>IF(AND('1 Org'!C60&lt;Tmax, NOT('1 Org'!$H60="")),'1 Org'!$H60,4)</f>
        <v>4</v>
      </c>
      <c r="AF60">
        <f>IF(AND('1 Org'!D60&lt;Tmax, NOT('1 Org'!$H60="")),'1 Org'!$H60,4)</f>
        <v>4</v>
      </c>
      <c r="AG60">
        <f>IF(AND('1 Org'!E60&lt;Tmax, NOT('1 Org'!$H60="")),'1 Org'!$H60,4)</f>
        <v>4</v>
      </c>
      <c r="AH60">
        <f>IF(AND('1 Org'!F60&lt;Tmax, NOT('1 Org'!$H60="")),'1 Org'!$H60,4)</f>
        <v>4</v>
      </c>
      <c r="AI60"/>
      <c r="AJ60" s="213"/>
      <c r="AK60" s="213"/>
      <c r="AL60" s="213"/>
      <c r="AM60" s="213"/>
      <c r="AN60" s="213"/>
    </row>
    <row r="61" spans="1:200" ht="20.399999999999999" x14ac:dyDescent="0.25">
      <c r="A61" s="164" t="s">
        <v>6908</v>
      </c>
      <c r="B61" s="128" t="s">
        <v>6909</v>
      </c>
      <c r="C61" s="243">
        <v>0</v>
      </c>
      <c r="D61" s="243"/>
      <c r="E61" s="243"/>
      <c r="F61" s="243"/>
      <c r="G61" s="133">
        <v>2</v>
      </c>
      <c r="H61" s="133"/>
      <c r="I61" s="133"/>
      <c r="J61" s="136" t="s">
        <v>7013</v>
      </c>
      <c r="K61" s="135" t="s">
        <v>7494</v>
      </c>
      <c r="L61" s="227"/>
      <c r="M61" s="227"/>
      <c r="N61" s="227"/>
      <c r="O61" s="227"/>
      <c r="P61" s="227"/>
      <c r="Q61" s="227"/>
      <c r="R61" s="227"/>
      <c r="S61" s="227"/>
      <c r="T61" s="227"/>
      <c r="U61" s="227"/>
      <c r="V61" s="227"/>
      <c r="W61" s="227"/>
      <c r="X61" s="227"/>
      <c r="Y61" s="227"/>
      <c r="Z61" s="227"/>
      <c r="AA61">
        <f>IF(AND('1 Org'!C61&gt;Tmin, NOT('1 Org'!$I61="")),'1 Org'!$I61,0)</f>
        <v>0</v>
      </c>
      <c r="AB61">
        <f>IF(AND('1 Org'!D61&gt;Tmin, NOT('1 Org'!$I61="")),'1 Org'!$I61,0)</f>
        <v>0</v>
      </c>
      <c r="AC61">
        <f>IF(AND('1 Org'!E61&gt;Tmin, NOT('1 Org'!$I61="")),'1 Org'!$I61,0)</f>
        <v>0</v>
      </c>
      <c r="AD61">
        <f>IF(AND('1 Org'!F61&gt;Tmin, NOT('1 Org'!$I61="")),'1 Org'!$I61,0)</f>
        <v>0</v>
      </c>
      <c r="AE61">
        <f>IF(AND('1 Org'!C61&lt;Tmax, NOT('1 Org'!$H61="")),'1 Org'!$H61,4)</f>
        <v>4</v>
      </c>
      <c r="AF61">
        <f>IF(AND('1 Org'!D61&lt;Tmax, NOT('1 Org'!$H61="")),'1 Org'!$H61,4)</f>
        <v>4</v>
      </c>
      <c r="AG61">
        <f>IF(AND('1 Org'!E61&lt;Tmax, NOT('1 Org'!$H61="")),'1 Org'!$H61,4)</f>
        <v>4</v>
      </c>
      <c r="AH61">
        <f>IF(AND('1 Org'!F61&lt;Tmax, NOT('1 Org'!$H61="")),'1 Org'!$H61,4)</f>
        <v>4</v>
      </c>
      <c r="AI61"/>
      <c r="AJ61" s="213"/>
      <c r="AK61" s="213"/>
      <c r="AL61" s="213"/>
      <c r="AM61" s="213"/>
      <c r="AN61" s="213"/>
    </row>
    <row r="62" spans="1:200" s="305" customFormat="1" x14ac:dyDescent="0.25">
      <c r="A62" s="164" t="s">
        <v>670</v>
      </c>
      <c r="B62" s="128" t="s">
        <v>6912</v>
      </c>
      <c r="C62" s="243"/>
      <c r="D62" s="243"/>
      <c r="E62" s="243"/>
      <c r="F62" s="243"/>
      <c r="G62" s="133"/>
      <c r="H62" s="133"/>
      <c r="I62" s="133"/>
      <c r="J62" s="136"/>
      <c r="K62" s="135"/>
      <c r="L62" s="135"/>
      <c r="M62" s="135"/>
      <c r="N62" s="135"/>
      <c r="O62" s="135"/>
      <c r="P62" s="135"/>
      <c r="Q62" s="135"/>
      <c r="R62" s="135"/>
      <c r="S62" s="135"/>
      <c r="T62" s="135"/>
      <c r="U62" s="135"/>
      <c r="V62" s="135"/>
      <c r="W62" s="135"/>
      <c r="X62" s="135"/>
      <c r="Y62" s="135"/>
      <c r="Z62" s="135"/>
      <c r="AA62"/>
      <c r="AB62"/>
      <c r="AC62"/>
      <c r="AD62"/>
      <c r="AE62"/>
      <c r="AF62"/>
      <c r="AG62"/>
      <c r="AH62"/>
      <c r="AI62"/>
      <c r="AJ62" s="227"/>
      <c r="AK62" s="227"/>
      <c r="AL62" s="227"/>
      <c r="AM62" s="227"/>
      <c r="AN62" s="227"/>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c r="CV62" s="213"/>
      <c r="CW62" s="213"/>
      <c r="CX62" s="213"/>
      <c r="CY62" s="213"/>
      <c r="CZ62" s="213"/>
      <c r="DA62" s="213"/>
      <c r="DB62" s="213"/>
      <c r="DC62" s="213"/>
      <c r="DD62" s="213"/>
      <c r="DE62" s="213"/>
      <c r="DF62" s="213"/>
      <c r="DG62" s="213"/>
      <c r="DH62" s="213"/>
      <c r="DI62" s="213"/>
      <c r="DJ62" s="213"/>
      <c r="DK62" s="213"/>
      <c r="DL62" s="213"/>
      <c r="DM62" s="213"/>
      <c r="DN62" s="213"/>
      <c r="DO62" s="213"/>
      <c r="DP62" s="213"/>
      <c r="DQ62" s="213"/>
      <c r="DR62" s="213"/>
      <c r="DS62" s="213"/>
      <c r="DT62" s="213"/>
      <c r="DU62" s="213"/>
      <c r="DV62" s="213"/>
      <c r="DW62" s="213"/>
      <c r="DX62" s="213"/>
      <c r="DY62" s="213"/>
      <c r="DZ62" s="213"/>
      <c r="EA62" s="213"/>
      <c r="EB62" s="213"/>
      <c r="EC62" s="213"/>
      <c r="ED62" s="213"/>
      <c r="EE62" s="213"/>
      <c r="EF62" s="213"/>
      <c r="EG62" s="213"/>
      <c r="EH62" s="213"/>
      <c r="EI62" s="213"/>
      <c r="EJ62" s="213"/>
      <c r="EK62" s="213"/>
      <c r="EL62" s="213"/>
      <c r="EM62" s="213"/>
      <c r="EN62" s="213"/>
      <c r="EO62" s="213"/>
      <c r="EP62" s="213"/>
      <c r="EQ62" s="213"/>
      <c r="ER62" s="213"/>
      <c r="ES62" s="213"/>
      <c r="ET62" s="213"/>
      <c r="EU62" s="213"/>
      <c r="EV62" s="213"/>
      <c r="EW62" s="213"/>
      <c r="EX62" s="213"/>
      <c r="EY62" s="213"/>
      <c r="EZ62" s="213"/>
      <c r="FA62" s="213"/>
      <c r="FB62" s="213"/>
      <c r="FC62" s="213"/>
      <c r="FD62" s="213"/>
      <c r="FE62" s="213"/>
      <c r="FF62" s="213"/>
      <c r="FG62" s="213"/>
      <c r="FH62" s="213"/>
      <c r="FI62" s="213"/>
      <c r="FJ62" s="213"/>
      <c r="FK62" s="213"/>
      <c r="FL62" s="213"/>
      <c r="FM62" s="213"/>
      <c r="FN62" s="213"/>
      <c r="FO62" s="213"/>
      <c r="FP62" s="213"/>
      <c r="FQ62" s="213"/>
      <c r="FR62" s="213"/>
      <c r="FS62" s="213"/>
      <c r="FT62" s="213"/>
      <c r="FU62" s="213"/>
      <c r="FV62" s="213"/>
      <c r="FW62" s="213"/>
      <c r="FX62" s="213"/>
      <c r="FY62" s="213"/>
      <c r="FZ62" s="213"/>
      <c r="GA62" s="213"/>
      <c r="GB62" s="213"/>
      <c r="GC62" s="213"/>
      <c r="GD62" s="213"/>
      <c r="GE62" s="213"/>
      <c r="GF62" s="213"/>
      <c r="GG62" s="213"/>
      <c r="GH62" s="213"/>
      <c r="GI62" s="213"/>
      <c r="GJ62" s="213"/>
      <c r="GK62" s="213"/>
      <c r="GL62" s="213"/>
      <c r="GM62" s="213"/>
      <c r="GN62" s="213"/>
      <c r="GO62" s="213"/>
      <c r="GP62" s="213"/>
      <c r="GQ62" s="213"/>
      <c r="GR62" s="213"/>
    </row>
    <row r="63" spans="1:200" ht="30.6" x14ac:dyDescent="0.25">
      <c r="A63" s="164" t="s">
        <v>1449</v>
      </c>
      <c r="B63" s="128" t="s">
        <v>7458</v>
      </c>
      <c r="C63" s="243"/>
      <c r="D63" s="243"/>
      <c r="E63" s="243"/>
      <c r="F63" s="243"/>
      <c r="G63" s="133">
        <v>2</v>
      </c>
      <c r="H63" s="133"/>
      <c r="I63" s="133"/>
      <c r="J63" s="136" t="s">
        <v>86</v>
      </c>
      <c r="AA63">
        <f>IF(AND('1 Org'!C63&gt;Tmin, NOT('1 Org'!$I63="")),'1 Org'!$I63,0)</f>
        <v>0</v>
      </c>
      <c r="AB63">
        <f>IF(AND('1 Org'!D63&gt;Tmin, NOT('1 Org'!$I63="")),'1 Org'!$I63,0)</f>
        <v>0</v>
      </c>
      <c r="AC63">
        <f>IF(AND('1 Org'!E63&gt;Tmin, NOT('1 Org'!$I63="")),'1 Org'!$I63,0)</f>
        <v>0</v>
      </c>
      <c r="AD63">
        <f>IF(AND('1 Org'!F63&gt;Tmin, NOT('1 Org'!$I63="")),'1 Org'!$I63,0)</f>
        <v>0</v>
      </c>
      <c r="AE63">
        <f>IF(AND('1 Org'!C63&lt;Tmax, NOT('1 Org'!$H63="")),'1 Org'!$H63,4)</f>
        <v>4</v>
      </c>
      <c r="AF63">
        <f>IF(AND('1 Org'!D63&lt;Tmax, NOT('1 Org'!$H63="")),'1 Org'!$H63,4)</f>
        <v>4</v>
      </c>
      <c r="AG63">
        <f>IF(AND('1 Org'!E63&lt;Tmax, NOT('1 Org'!$H63="")),'1 Org'!$H63,4)</f>
        <v>4</v>
      </c>
      <c r="AH63">
        <f>IF(AND('1 Org'!F63&lt;Tmax, NOT('1 Org'!$H63="")),'1 Org'!$H63,4)</f>
        <v>4</v>
      </c>
      <c r="AI63"/>
    </row>
    <row r="64" spans="1:200" x14ac:dyDescent="0.25">
      <c r="A64" s="164" t="s">
        <v>1450</v>
      </c>
      <c r="B64" s="128" t="s">
        <v>6913</v>
      </c>
      <c r="C64" s="243"/>
      <c r="D64" s="243"/>
      <c r="E64" s="243"/>
      <c r="F64" s="243"/>
      <c r="G64" s="133">
        <v>2</v>
      </c>
      <c r="H64" s="133"/>
      <c r="I64" s="133"/>
      <c r="J64" s="136" t="s">
        <v>86</v>
      </c>
      <c r="AA64">
        <f>IF(AND('1 Org'!C64&gt;Tmin, NOT('1 Org'!$I64="")),'1 Org'!$I64,0)</f>
        <v>0</v>
      </c>
      <c r="AB64">
        <f>IF(AND('1 Org'!D64&gt;Tmin, NOT('1 Org'!$I64="")),'1 Org'!$I64,0)</f>
        <v>0</v>
      </c>
      <c r="AC64">
        <f>IF(AND('1 Org'!E64&gt;Tmin, NOT('1 Org'!$I64="")),'1 Org'!$I64,0)</f>
        <v>0</v>
      </c>
      <c r="AD64">
        <f>IF(AND('1 Org'!F64&gt;Tmin, NOT('1 Org'!$I64="")),'1 Org'!$I64,0)</f>
        <v>0</v>
      </c>
      <c r="AE64">
        <f>IF(AND('1 Org'!C64&lt;Tmax, NOT('1 Org'!$H64="")),'1 Org'!$H64,4)</f>
        <v>4</v>
      </c>
      <c r="AF64">
        <f>IF(AND('1 Org'!D64&lt;Tmax, NOT('1 Org'!$H64="")),'1 Org'!$H64,4)</f>
        <v>4</v>
      </c>
      <c r="AG64">
        <f>IF(AND('1 Org'!E64&lt;Tmax, NOT('1 Org'!$H64="")),'1 Org'!$H64,4)</f>
        <v>4</v>
      </c>
      <c r="AH64">
        <f>IF(AND('1 Org'!F64&lt;Tmax, NOT('1 Org'!$H64="")),'1 Org'!$H64,4)</f>
        <v>4</v>
      </c>
      <c r="AI64"/>
    </row>
    <row r="65" spans="1:200" ht="15" customHeight="1" x14ac:dyDescent="0.25">
      <c r="A65" s="164" t="s">
        <v>1451</v>
      </c>
      <c r="B65" s="128" t="s">
        <v>7459</v>
      </c>
      <c r="C65" s="243"/>
      <c r="D65" s="243"/>
      <c r="E65" s="243"/>
      <c r="F65" s="243"/>
      <c r="G65" s="133">
        <v>4</v>
      </c>
      <c r="H65" s="133"/>
      <c r="I65" s="133"/>
      <c r="J65" s="136" t="s">
        <v>86</v>
      </c>
      <c r="AA65">
        <f>IF(AND('1 Org'!C65&gt;Tmin, NOT('1 Org'!$I65="")),'1 Org'!$I65,0)</f>
        <v>0</v>
      </c>
      <c r="AB65">
        <f>IF(AND('1 Org'!D65&gt;Tmin, NOT('1 Org'!$I65="")),'1 Org'!$I65,0)</f>
        <v>0</v>
      </c>
      <c r="AC65">
        <f>IF(AND('1 Org'!E65&gt;Tmin, NOT('1 Org'!$I65="")),'1 Org'!$I65,0)</f>
        <v>0</v>
      </c>
      <c r="AD65">
        <f>IF(AND('1 Org'!F65&gt;Tmin, NOT('1 Org'!$I65="")),'1 Org'!$I65,0)</f>
        <v>0</v>
      </c>
      <c r="AE65">
        <f>IF(AND('1 Org'!C65&lt;Tmax, NOT('1 Org'!$H65="")),'1 Org'!$H65,4)</f>
        <v>4</v>
      </c>
      <c r="AF65">
        <f>IF(AND('1 Org'!D65&lt;Tmax, NOT('1 Org'!$H65="")),'1 Org'!$H65,4)</f>
        <v>4</v>
      </c>
      <c r="AG65">
        <f>IF(AND('1 Org'!E65&lt;Tmax, NOT('1 Org'!$H65="")),'1 Org'!$H65,4)</f>
        <v>4</v>
      </c>
      <c r="AH65">
        <f>IF(AND('1 Org'!F65&lt;Tmax, NOT('1 Org'!$H65="")),'1 Org'!$H65,4)</f>
        <v>4</v>
      </c>
      <c r="AI65"/>
    </row>
    <row r="66" spans="1:200" x14ac:dyDescent="0.25">
      <c r="A66" s="164" t="s">
        <v>672</v>
      </c>
      <c r="B66" s="128" t="s">
        <v>1452</v>
      </c>
      <c r="C66" s="243"/>
      <c r="D66" s="243"/>
      <c r="E66" s="243"/>
      <c r="F66" s="243"/>
      <c r="G66" s="133"/>
      <c r="H66" s="133"/>
      <c r="I66" s="133"/>
      <c r="J66" s="136"/>
      <c r="L66" s="227"/>
      <c r="M66" s="227"/>
      <c r="N66" s="227"/>
      <c r="O66" s="227"/>
      <c r="P66" s="227"/>
      <c r="Q66" s="227"/>
      <c r="R66" s="227"/>
      <c r="S66" s="227"/>
      <c r="T66" s="227"/>
      <c r="U66" s="227"/>
      <c r="V66" s="227"/>
      <c r="W66" s="227"/>
      <c r="X66" s="227"/>
      <c r="Y66" s="227"/>
      <c r="Z66" s="227"/>
      <c r="AA66"/>
      <c r="AB66"/>
      <c r="AC66"/>
      <c r="AD66"/>
      <c r="AE66"/>
      <c r="AF66"/>
      <c r="AG66"/>
      <c r="AH66"/>
      <c r="AI66"/>
      <c r="AJ66" s="213"/>
      <c r="AK66" s="213"/>
      <c r="AL66" s="213"/>
      <c r="AM66" s="213"/>
      <c r="AN66" s="213"/>
    </row>
    <row r="67" spans="1:200" ht="36.75" customHeight="1" x14ac:dyDescent="0.25">
      <c r="A67" s="164" t="s">
        <v>1453</v>
      </c>
      <c r="B67" s="128" t="s">
        <v>7460</v>
      </c>
      <c r="C67" s="243"/>
      <c r="D67" s="243"/>
      <c r="E67" s="243"/>
      <c r="F67" s="243"/>
      <c r="G67" s="133">
        <v>4</v>
      </c>
      <c r="H67" s="133"/>
      <c r="I67" s="133"/>
      <c r="J67" s="136" t="s">
        <v>6910</v>
      </c>
      <c r="AA67">
        <f>IF(AND('1 Org'!C67&gt;Tmin, NOT('1 Org'!$I67="")),'1 Org'!$I67,0)</f>
        <v>0</v>
      </c>
      <c r="AB67">
        <f>IF(AND('1 Org'!D67&gt;Tmin, NOT('1 Org'!$I67="")),'1 Org'!$I67,0)</f>
        <v>0</v>
      </c>
      <c r="AC67">
        <f>IF(AND('1 Org'!E67&gt;Tmin, NOT('1 Org'!$I67="")),'1 Org'!$I67,0)</f>
        <v>0</v>
      </c>
      <c r="AD67">
        <f>IF(AND('1 Org'!F67&gt;Tmin, NOT('1 Org'!$I67="")),'1 Org'!$I67,0)</f>
        <v>0</v>
      </c>
      <c r="AE67">
        <f>IF(AND('1 Org'!C67&lt;Tmax, NOT('1 Org'!$H67="")),'1 Org'!$H67,4)</f>
        <v>4</v>
      </c>
      <c r="AF67">
        <f>IF(AND('1 Org'!D67&lt;Tmax, NOT('1 Org'!$H67="")),'1 Org'!$H67,4)</f>
        <v>4</v>
      </c>
      <c r="AG67">
        <f>IF(AND('1 Org'!E67&lt;Tmax, NOT('1 Org'!$H67="")),'1 Org'!$H67,4)</f>
        <v>4</v>
      </c>
      <c r="AH67">
        <f>IF(AND('1 Org'!F67&lt;Tmax, NOT('1 Org'!$H67="")),'1 Org'!$H67,4)</f>
        <v>4</v>
      </c>
      <c r="AI67"/>
    </row>
    <row r="68" spans="1:200" ht="20.399999999999999" x14ac:dyDescent="0.25">
      <c r="A68" s="164" t="s">
        <v>1454</v>
      </c>
      <c r="B68" s="128" t="s">
        <v>6911</v>
      </c>
      <c r="C68" s="243"/>
      <c r="D68" s="243"/>
      <c r="E68" s="243"/>
      <c r="F68" s="243"/>
      <c r="G68" s="133">
        <v>4</v>
      </c>
      <c r="H68" s="133"/>
      <c r="I68" s="133"/>
      <c r="J68" s="136" t="s">
        <v>6910</v>
      </c>
      <c r="AA68">
        <f>IF(AND('1 Org'!C68&gt;Tmin, NOT('1 Org'!$I68="")),'1 Org'!$I68,0)</f>
        <v>0</v>
      </c>
      <c r="AB68">
        <f>IF(AND('1 Org'!D68&gt;Tmin, NOT('1 Org'!$I68="")),'1 Org'!$I68,0)</f>
        <v>0</v>
      </c>
      <c r="AC68">
        <f>IF(AND('1 Org'!E68&gt;Tmin, NOT('1 Org'!$I68="")),'1 Org'!$I68,0)</f>
        <v>0</v>
      </c>
      <c r="AD68">
        <f>IF(AND('1 Org'!F68&gt;Tmin, NOT('1 Org'!$I68="")),'1 Org'!$I68,0)</f>
        <v>0</v>
      </c>
      <c r="AE68">
        <f>IF(AND('1 Org'!C68&lt;Tmax, NOT('1 Org'!$H68="")),'1 Org'!$H68,4)</f>
        <v>4</v>
      </c>
      <c r="AF68">
        <f>IF(AND('1 Org'!D68&lt;Tmax, NOT('1 Org'!$H68="")),'1 Org'!$H68,4)</f>
        <v>4</v>
      </c>
      <c r="AG68">
        <f>IF(AND('1 Org'!E68&lt;Tmax, NOT('1 Org'!$H68="")),'1 Org'!$H68,4)</f>
        <v>4</v>
      </c>
      <c r="AH68">
        <f>IF(AND('1 Org'!F68&lt;Tmax, NOT('1 Org'!$H68="")),'1 Org'!$H68,4)</f>
        <v>4</v>
      </c>
      <c r="AI68"/>
    </row>
    <row r="69" spans="1:200" x14ac:dyDescent="0.25">
      <c r="A69" s="225" t="s">
        <v>1455</v>
      </c>
      <c r="B69" s="309" t="s">
        <v>1456</v>
      </c>
      <c r="C69" s="243"/>
      <c r="D69" s="243"/>
      <c r="E69" s="243"/>
      <c r="F69" s="243"/>
      <c r="G69" s="133"/>
      <c r="H69" s="133"/>
      <c r="I69" s="133"/>
      <c r="J69" s="136"/>
      <c r="AA69"/>
      <c r="AB69"/>
      <c r="AC69"/>
      <c r="AD69"/>
      <c r="AE69"/>
      <c r="AF69"/>
      <c r="AG69"/>
      <c r="AH69"/>
      <c r="AI69"/>
      <c r="AJ69" s="307"/>
      <c r="AK69" s="307"/>
      <c r="AL69" s="307"/>
      <c r="AM69" s="307"/>
      <c r="AN69" s="307"/>
      <c r="AO69" s="305"/>
      <c r="AP69" s="305"/>
      <c r="AQ69" s="305"/>
      <c r="AR69" s="305"/>
      <c r="AS69" s="305"/>
      <c r="AT69" s="305"/>
      <c r="AU69" s="305"/>
      <c r="AV69" s="305"/>
      <c r="AW69" s="305"/>
      <c r="AX69" s="305"/>
      <c r="AY69" s="305"/>
      <c r="AZ69" s="305"/>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c r="DM69" s="305"/>
      <c r="DN69" s="305"/>
      <c r="DO69" s="305"/>
      <c r="DP69" s="305"/>
      <c r="DQ69" s="305"/>
      <c r="DR69" s="305"/>
      <c r="DS69" s="305"/>
      <c r="DT69" s="305"/>
      <c r="DU69" s="305"/>
      <c r="DV69" s="305"/>
      <c r="DW69" s="305"/>
      <c r="DX69" s="305"/>
      <c r="DY69" s="305"/>
      <c r="DZ69" s="305"/>
      <c r="EA69" s="305"/>
      <c r="EB69" s="305"/>
      <c r="EC69" s="305"/>
      <c r="ED69" s="305"/>
      <c r="EE69" s="305"/>
      <c r="EF69" s="305"/>
      <c r="EG69" s="305"/>
      <c r="EH69" s="305"/>
      <c r="EI69" s="305"/>
      <c r="EJ69" s="305"/>
      <c r="EK69" s="305"/>
      <c r="EL69" s="305"/>
      <c r="EM69" s="305"/>
      <c r="EN69" s="305"/>
      <c r="EO69" s="305"/>
      <c r="EP69" s="305"/>
      <c r="EQ69" s="305"/>
      <c r="ER69" s="305"/>
      <c r="ES69" s="305"/>
      <c r="ET69" s="305"/>
      <c r="EU69" s="305"/>
      <c r="EV69" s="305"/>
      <c r="EW69" s="305"/>
      <c r="EX69" s="305"/>
      <c r="EY69" s="305"/>
      <c r="EZ69" s="305"/>
      <c r="FA69" s="305"/>
      <c r="FB69" s="305"/>
      <c r="FC69" s="305"/>
      <c r="FD69" s="305"/>
      <c r="FE69" s="305"/>
      <c r="FF69" s="305"/>
      <c r="FG69" s="305"/>
      <c r="FH69" s="305"/>
      <c r="FI69" s="305"/>
      <c r="FJ69" s="305"/>
      <c r="FK69" s="305"/>
      <c r="FL69" s="305"/>
      <c r="FM69" s="305"/>
      <c r="FN69" s="305"/>
      <c r="FO69" s="305"/>
      <c r="FP69" s="305"/>
      <c r="FQ69" s="305"/>
      <c r="FR69" s="305"/>
      <c r="FS69" s="305"/>
      <c r="FT69" s="305"/>
      <c r="FU69" s="305"/>
      <c r="FV69" s="305"/>
      <c r="FW69" s="305"/>
      <c r="FX69" s="305"/>
      <c r="FY69" s="305"/>
      <c r="FZ69" s="305"/>
      <c r="GA69" s="305"/>
      <c r="GB69" s="305"/>
      <c r="GC69" s="305"/>
      <c r="GD69" s="305"/>
      <c r="GE69" s="305"/>
      <c r="GF69" s="305"/>
      <c r="GG69" s="305"/>
      <c r="GH69" s="305"/>
      <c r="GI69" s="305"/>
      <c r="GJ69" s="305"/>
      <c r="GK69" s="305"/>
      <c r="GL69" s="305"/>
      <c r="GM69" s="305"/>
      <c r="GN69" s="305"/>
      <c r="GO69" s="305"/>
      <c r="GP69" s="305"/>
      <c r="GQ69" s="305"/>
      <c r="GR69" s="305"/>
    </row>
    <row r="70" spans="1:200" x14ac:dyDescent="0.25">
      <c r="A70" s="164" t="s">
        <v>679</v>
      </c>
      <c r="B70" s="128" t="s">
        <v>556</v>
      </c>
      <c r="C70" s="243"/>
      <c r="D70" s="243"/>
      <c r="E70" s="243"/>
      <c r="F70" s="243"/>
      <c r="G70" s="133"/>
      <c r="H70" s="133"/>
      <c r="I70" s="133"/>
      <c r="J70" s="136"/>
      <c r="L70" s="227"/>
      <c r="M70" s="227"/>
      <c r="N70" s="227"/>
      <c r="O70" s="227"/>
      <c r="P70" s="227"/>
      <c r="Q70" s="227"/>
      <c r="R70" s="227"/>
      <c r="S70" s="227"/>
      <c r="T70" s="227"/>
      <c r="U70" s="227"/>
      <c r="V70" s="227"/>
      <c r="W70" s="227"/>
      <c r="X70" s="227"/>
      <c r="Y70" s="227"/>
      <c r="Z70" s="227"/>
      <c r="AA70"/>
      <c r="AB70"/>
      <c r="AC70"/>
      <c r="AD70"/>
      <c r="AE70"/>
      <c r="AF70"/>
      <c r="AG70"/>
      <c r="AH70"/>
      <c r="AI70"/>
      <c r="AJ70" s="213"/>
      <c r="AK70" s="213"/>
      <c r="AL70" s="213"/>
      <c r="AM70" s="213"/>
      <c r="AN70" s="213"/>
    </row>
    <row r="71" spans="1:200" ht="20.399999999999999" x14ac:dyDescent="0.25">
      <c r="A71" s="164" t="s">
        <v>1504</v>
      </c>
      <c r="B71" s="128" t="s">
        <v>6914</v>
      </c>
      <c r="C71" s="243"/>
      <c r="D71" s="243"/>
      <c r="E71" s="243"/>
      <c r="F71" s="243"/>
      <c r="G71" s="133">
        <v>2</v>
      </c>
      <c r="H71" s="133"/>
      <c r="I71" s="133"/>
      <c r="J71" s="136" t="s">
        <v>82</v>
      </c>
      <c r="L71" s="227"/>
      <c r="M71" s="227"/>
      <c r="N71" s="227"/>
      <c r="O71" s="227"/>
      <c r="P71" s="227"/>
      <c r="Q71" s="227"/>
      <c r="R71" s="227"/>
      <c r="S71" s="227"/>
      <c r="T71" s="227"/>
      <c r="U71" s="227"/>
      <c r="V71" s="227"/>
      <c r="W71" s="227"/>
      <c r="X71" s="227"/>
      <c r="Y71" s="227"/>
      <c r="Z71" s="227"/>
      <c r="AA71">
        <f>IF(AND('1 Org'!C71&gt;Tmin, NOT('1 Org'!$I71="")),'1 Org'!$I71,0)</f>
        <v>0</v>
      </c>
      <c r="AB71">
        <f>IF(AND('1 Org'!D71&gt;Tmin, NOT('1 Org'!$I71="")),'1 Org'!$I71,0)</f>
        <v>0</v>
      </c>
      <c r="AC71">
        <f>IF(AND('1 Org'!E71&gt;Tmin, NOT('1 Org'!$I71="")),'1 Org'!$I71,0)</f>
        <v>0</v>
      </c>
      <c r="AD71">
        <f>IF(AND('1 Org'!F71&gt;Tmin, NOT('1 Org'!$I71="")),'1 Org'!$I71,0)</f>
        <v>0</v>
      </c>
      <c r="AE71">
        <f>IF(AND('1 Org'!C71&lt;Tmax, NOT('1 Org'!$H71="")),'1 Org'!$H71,4)</f>
        <v>4</v>
      </c>
      <c r="AF71">
        <f>IF(AND('1 Org'!D71&lt;Tmax, NOT('1 Org'!$H71="")),'1 Org'!$H71,4)</f>
        <v>4</v>
      </c>
      <c r="AG71">
        <f>IF(AND('1 Org'!E71&lt;Tmax, NOT('1 Org'!$H71="")),'1 Org'!$H71,4)</f>
        <v>4</v>
      </c>
      <c r="AH71">
        <f>IF(AND('1 Org'!F71&lt;Tmax, NOT('1 Org'!$H71="")),'1 Org'!$H71,4)</f>
        <v>4</v>
      </c>
      <c r="AI71"/>
      <c r="AJ71" s="213"/>
      <c r="AK71" s="213"/>
      <c r="AL71" s="213"/>
      <c r="AM71" s="213"/>
      <c r="AN71" s="213"/>
    </row>
    <row r="72" spans="1:200" ht="20.399999999999999" x14ac:dyDescent="0.25">
      <c r="A72" s="164" t="s">
        <v>1505</v>
      </c>
      <c r="B72" s="128" t="s">
        <v>6915</v>
      </c>
      <c r="C72" s="243"/>
      <c r="D72" s="243"/>
      <c r="E72" s="243"/>
      <c r="F72" s="243"/>
      <c r="G72" s="133">
        <v>2</v>
      </c>
      <c r="H72" s="133"/>
      <c r="I72" s="133"/>
      <c r="J72" s="136" t="s">
        <v>82</v>
      </c>
      <c r="L72" s="227"/>
      <c r="M72" s="227"/>
      <c r="N72" s="227"/>
      <c r="O72" s="227"/>
      <c r="P72" s="227"/>
      <c r="Q72" s="227"/>
      <c r="R72" s="227"/>
      <c r="S72" s="227"/>
      <c r="T72" s="227"/>
      <c r="U72" s="227"/>
      <c r="V72" s="227"/>
      <c r="W72" s="227"/>
      <c r="X72" s="227"/>
      <c r="Y72" s="227"/>
      <c r="Z72" s="227"/>
      <c r="AA72">
        <f>IF(AND('1 Org'!C72&gt;Tmin, NOT('1 Org'!$I72="")),'1 Org'!$I72,0)</f>
        <v>0</v>
      </c>
      <c r="AB72">
        <f>IF(AND('1 Org'!D72&gt;Tmin, NOT('1 Org'!$I72="")),'1 Org'!$I72,0)</f>
        <v>0</v>
      </c>
      <c r="AC72">
        <f>IF(AND('1 Org'!E72&gt;Tmin, NOT('1 Org'!$I72="")),'1 Org'!$I72,0)</f>
        <v>0</v>
      </c>
      <c r="AD72">
        <f>IF(AND('1 Org'!F72&gt;Tmin, NOT('1 Org'!$I72="")),'1 Org'!$I72,0)</f>
        <v>0</v>
      </c>
      <c r="AE72">
        <f>IF(AND('1 Org'!C72&lt;Tmax, NOT('1 Org'!$H72="")),'1 Org'!$H72,4)</f>
        <v>4</v>
      </c>
      <c r="AF72">
        <f>IF(AND('1 Org'!D72&lt;Tmax, NOT('1 Org'!$H72="")),'1 Org'!$H72,4)</f>
        <v>4</v>
      </c>
      <c r="AG72">
        <f>IF(AND('1 Org'!E72&lt;Tmax, NOT('1 Org'!$H72="")),'1 Org'!$H72,4)</f>
        <v>4</v>
      </c>
      <c r="AH72">
        <f>IF(AND('1 Org'!F72&lt;Tmax, NOT('1 Org'!$H72="")),'1 Org'!$H72,4)</f>
        <v>4</v>
      </c>
      <c r="AI72"/>
      <c r="AJ72" s="213"/>
      <c r="AK72" s="213"/>
      <c r="AL72" s="213"/>
      <c r="AM72" s="213"/>
      <c r="AN72" s="213"/>
    </row>
    <row r="73" spans="1:200" ht="27" customHeight="1" x14ac:dyDescent="0.25">
      <c r="A73" s="164" t="s">
        <v>1506</v>
      </c>
      <c r="B73" s="128" t="s">
        <v>6916</v>
      </c>
      <c r="C73" s="243"/>
      <c r="D73" s="243"/>
      <c r="E73" s="243"/>
      <c r="F73" s="243"/>
      <c r="G73" s="133">
        <v>2</v>
      </c>
      <c r="H73" s="133"/>
      <c r="I73" s="133"/>
      <c r="J73" s="136" t="s">
        <v>82</v>
      </c>
      <c r="L73" s="227"/>
      <c r="M73" s="227"/>
      <c r="N73" s="227"/>
      <c r="O73" s="227"/>
      <c r="P73" s="227"/>
      <c r="Q73" s="227"/>
      <c r="R73" s="227"/>
      <c r="S73" s="227"/>
      <c r="T73" s="227"/>
      <c r="U73" s="227"/>
      <c r="V73" s="227"/>
      <c r="W73" s="227"/>
      <c r="X73" s="227"/>
      <c r="Y73" s="227"/>
      <c r="Z73" s="227"/>
      <c r="AA73">
        <f>IF(AND('1 Org'!C73&gt;Tmin, NOT('1 Org'!$I73="")),'1 Org'!$I73,0)</f>
        <v>0</v>
      </c>
      <c r="AB73">
        <f>IF(AND('1 Org'!D73&gt;Tmin, NOT('1 Org'!$I73="")),'1 Org'!$I73,0)</f>
        <v>0</v>
      </c>
      <c r="AC73">
        <f>IF(AND('1 Org'!E73&gt;Tmin, NOT('1 Org'!$I73="")),'1 Org'!$I73,0)</f>
        <v>0</v>
      </c>
      <c r="AD73">
        <f>IF(AND('1 Org'!F73&gt;Tmin, NOT('1 Org'!$I73="")),'1 Org'!$I73,0)</f>
        <v>0</v>
      </c>
      <c r="AE73">
        <f>IF(AND('1 Org'!C73&lt;Tmax, NOT('1 Org'!$H73="")),'1 Org'!$H73,4)</f>
        <v>4</v>
      </c>
      <c r="AF73">
        <f>IF(AND('1 Org'!D73&lt;Tmax, NOT('1 Org'!$H73="")),'1 Org'!$H73,4)</f>
        <v>4</v>
      </c>
      <c r="AG73">
        <f>IF(AND('1 Org'!E73&lt;Tmax, NOT('1 Org'!$H73="")),'1 Org'!$H73,4)</f>
        <v>4</v>
      </c>
      <c r="AH73">
        <f>IF(AND('1 Org'!F73&lt;Tmax, NOT('1 Org'!$H73="")),'1 Org'!$H73,4)</f>
        <v>4</v>
      </c>
      <c r="AI73"/>
      <c r="AJ73" s="213"/>
      <c r="AK73" s="213"/>
      <c r="AL73" s="213"/>
      <c r="AM73" s="213"/>
      <c r="AN73" s="213"/>
    </row>
    <row r="74" spans="1:200" x14ac:dyDescent="0.25">
      <c r="A74" s="164" t="s">
        <v>1507</v>
      </c>
      <c r="B74" s="128" t="s">
        <v>6917</v>
      </c>
      <c r="C74" s="243"/>
      <c r="D74" s="243"/>
      <c r="E74" s="243"/>
      <c r="F74" s="243"/>
      <c r="G74" s="133">
        <v>4</v>
      </c>
      <c r="H74" s="133"/>
      <c r="I74" s="133"/>
      <c r="J74" s="136" t="s">
        <v>82</v>
      </c>
      <c r="L74" s="227"/>
      <c r="M74" s="227"/>
      <c r="N74" s="227"/>
      <c r="O74" s="227"/>
      <c r="P74" s="227"/>
      <c r="Q74" s="227"/>
      <c r="R74" s="227"/>
      <c r="S74" s="227"/>
      <c r="T74" s="227"/>
      <c r="U74" s="227"/>
      <c r="V74" s="227"/>
      <c r="W74" s="227"/>
      <c r="X74" s="227"/>
      <c r="Y74" s="227"/>
      <c r="Z74" s="227"/>
      <c r="AA74">
        <f>IF(AND('1 Org'!C74&gt;Tmin, NOT('1 Org'!$I74="")),'1 Org'!$I74,0)</f>
        <v>0</v>
      </c>
      <c r="AB74">
        <f>IF(AND('1 Org'!D74&gt;Tmin, NOT('1 Org'!$I74="")),'1 Org'!$I74,0)</f>
        <v>0</v>
      </c>
      <c r="AC74">
        <f>IF(AND('1 Org'!E74&gt;Tmin, NOT('1 Org'!$I74="")),'1 Org'!$I74,0)</f>
        <v>0</v>
      </c>
      <c r="AD74">
        <f>IF(AND('1 Org'!F74&gt;Tmin, NOT('1 Org'!$I74="")),'1 Org'!$I74,0)</f>
        <v>0</v>
      </c>
      <c r="AE74">
        <f>IF(AND('1 Org'!C74&lt;Tmax, NOT('1 Org'!$H74="")),'1 Org'!$H74,4)</f>
        <v>4</v>
      </c>
      <c r="AF74">
        <f>IF(AND('1 Org'!D74&lt;Tmax, NOT('1 Org'!$H74="")),'1 Org'!$H74,4)</f>
        <v>4</v>
      </c>
      <c r="AG74">
        <f>IF(AND('1 Org'!E74&lt;Tmax, NOT('1 Org'!$H74="")),'1 Org'!$H74,4)</f>
        <v>4</v>
      </c>
      <c r="AH74">
        <f>IF(AND('1 Org'!F74&lt;Tmax, NOT('1 Org'!$H74="")),'1 Org'!$H74,4)</f>
        <v>4</v>
      </c>
      <c r="AI74"/>
      <c r="AJ74" s="213"/>
      <c r="AK74" s="213"/>
      <c r="AL74" s="213"/>
      <c r="AM74" s="213"/>
      <c r="AN74" s="213"/>
    </row>
    <row r="75" spans="1:200" ht="20.399999999999999" x14ac:dyDescent="0.25">
      <c r="A75" s="164" t="s">
        <v>1508</v>
      </c>
      <c r="B75" s="128" t="s">
        <v>6918</v>
      </c>
      <c r="C75" s="243"/>
      <c r="D75" s="243"/>
      <c r="E75" s="243"/>
      <c r="F75" s="243"/>
      <c r="G75" s="133">
        <v>4</v>
      </c>
      <c r="H75" s="133"/>
      <c r="I75" s="133"/>
      <c r="J75" s="136" t="s">
        <v>84</v>
      </c>
      <c r="L75" s="227"/>
      <c r="M75" s="227"/>
      <c r="N75" s="227"/>
      <c r="O75" s="227"/>
      <c r="P75" s="227"/>
      <c r="Q75" s="227"/>
      <c r="R75" s="227"/>
      <c r="S75" s="227"/>
      <c r="T75" s="227"/>
      <c r="U75" s="227"/>
      <c r="V75" s="227"/>
      <c r="W75" s="227"/>
      <c r="X75" s="227"/>
      <c r="Y75" s="227"/>
      <c r="Z75" s="227"/>
      <c r="AA75">
        <f>IF(AND('1 Org'!C75&gt;Tmin, NOT('1 Org'!$I75="")),'1 Org'!$I75,0)</f>
        <v>0</v>
      </c>
      <c r="AB75">
        <f>IF(AND('1 Org'!D75&gt;Tmin, NOT('1 Org'!$I75="")),'1 Org'!$I75,0)</f>
        <v>0</v>
      </c>
      <c r="AC75">
        <f>IF(AND('1 Org'!E75&gt;Tmin, NOT('1 Org'!$I75="")),'1 Org'!$I75,0)</f>
        <v>0</v>
      </c>
      <c r="AD75">
        <f>IF(AND('1 Org'!F75&gt;Tmin, NOT('1 Org'!$I75="")),'1 Org'!$I75,0)</f>
        <v>0</v>
      </c>
      <c r="AE75">
        <f>IF(AND('1 Org'!C75&lt;Tmax, NOT('1 Org'!$H75="")),'1 Org'!$H75,4)</f>
        <v>4</v>
      </c>
      <c r="AF75">
        <f>IF(AND('1 Org'!D75&lt;Tmax, NOT('1 Org'!$H75="")),'1 Org'!$H75,4)</f>
        <v>4</v>
      </c>
      <c r="AG75">
        <f>IF(AND('1 Org'!E75&lt;Tmax, NOT('1 Org'!$H75="")),'1 Org'!$H75,4)</f>
        <v>4</v>
      </c>
      <c r="AH75">
        <f>IF(AND('1 Org'!F75&lt;Tmax, NOT('1 Org'!$H75="")),'1 Org'!$H75,4)</f>
        <v>4</v>
      </c>
      <c r="AI75"/>
      <c r="AJ75" s="213"/>
      <c r="AK75" s="213"/>
      <c r="AL75" s="213"/>
      <c r="AM75" s="213"/>
      <c r="AN75" s="213"/>
    </row>
    <row r="76" spans="1:200" ht="20.399999999999999" x14ac:dyDescent="0.25">
      <c r="A76" s="164" t="s">
        <v>1509</v>
      </c>
      <c r="B76" s="128" t="s">
        <v>7461</v>
      </c>
      <c r="C76" s="243"/>
      <c r="D76" s="243"/>
      <c r="E76" s="243"/>
      <c r="F76" s="243"/>
      <c r="G76" s="133">
        <v>4</v>
      </c>
      <c r="H76" s="133"/>
      <c r="I76" s="133"/>
      <c r="J76" s="136" t="s">
        <v>84</v>
      </c>
      <c r="L76" s="227"/>
      <c r="M76" s="227"/>
      <c r="N76" s="227"/>
      <c r="O76" s="227"/>
      <c r="P76" s="227"/>
      <c r="Q76" s="227"/>
      <c r="R76" s="227"/>
      <c r="S76" s="227"/>
      <c r="T76" s="227"/>
      <c r="U76" s="227"/>
      <c r="V76" s="227"/>
      <c r="W76" s="227"/>
      <c r="X76" s="227"/>
      <c r="Y76" s="227"/>
      <c r="Z76" s="227"/>
      <c r="AA76">
        <f>IF(AND('1 Org'!C76&gt;Tmin, NOT('1 Org'!$I76="")),'1 Org'!$I76,0)</f>
        <v>0</v>
      </c>
      <c r="AB76">
        <f>IF(AND('1 Org'!D76&gt;Tmin, NOT('1 Org'!$I76="")),'1 Org'!$I76,0)</f>
        <v>0</v>
      </c>
      <c r="AC76">
        <f>IF(AND('1 Org'!E76&gt;Tmin, NOT('1 Org'!$I76="")),'1 Org'!$I76,0)</f>
        <v>0</v>
      </c>
      <c r="AD76">
        <f>IF(AND('1 Org'!F76&gt;Tmin, NOT('1 Org'!$I76="")),'1 Org'!$I76,0)</f>
        <v>0</v>
      </c>
      <c r="AE76">
        <f>IF(AND('1 Org'!C76&lt;Tmax, NOT('1 Org'!$H76="")),'1 Org'!$H76,4)</f>
        <v>4</v>
      </c>
      <c r="AF76">
        <f>IF(AND('1 Org'!D76&lt;Tmax, NOT('1 Org'!$H76="")),'1 Org'!$H76,4)</f>
        <v>4</v>
      </c>
      <c r="AG76">
        <f>IF(AND('1 Org'!E76&lt;Tmax, NOT('1 Org'!$H76="")),'1 Org'!$H76,4)</f>
        <v>4</v>
      </c>
      <c r="AH76">
        <f>IF(AND('1 Org'!F76&lt;Tmax, NOT('1 Org'!$H76="")),'1 Org'!$H76,4)</f>
        <v>4</v>
      </c>
      <c r="AI76"/>
      <c r="AJ76" s="213"/>
      <c r="AK76" s="213"/>
      <c r="AL76" s="213"/>
      <c r="AM76" s="213"/>
      <c r="AN76" s="213"/>
    </row>
    <row r="77" spans="1:200" ht="20.399999999999999" x14ac:dyDescent="0.25">
      <c r="A77" s="164" t="s">
        <v>1510</v>
      </c>
      <c r="B77" s="128" t="s">
        <v>6919</v>
      </c>
      <c r="C77" s="243"/>
      <c r="D77" s="243"/>
      <c r="E77" s="243"/>
      <c r="F77" s="243"/>
      <c r="G77" s="133">
        <v>4</v>
      </c>
      <c r="H77" s="133">
        <v>3</v>
      </c>
      <c r="I77" s="133"/>
      <c r="J77" s="136" t="s">
        <v>84</v>
      </c>
      <c r="L77" s="227"/>
      <c r="M77" s="227"/>
      <c r="N77" s="227"/>
      <c r="O77" s="227"/>
      <c r="P77" s="227"/>
      <c r="Q77" s="227"/>
      <c r="R77" s="227"/>
      <c r="S77" s="227"/>
      <c r="T77" s="227"/>
      <c r="U77" s="227"/>
      <c r="V77" s="227"/>
      <c r="W77" s="227"/>
      <c r="X77" s="227"/>
      <c r="Y77" s="227"/>
      <c r="Z77" s="227"/>
      <c r="AA77">
        <f>IF(AND('1 Org'!C77&gt;Tmin, NOT('1 Org'!$I77="")),'1 Org'!$I77,0)</f>
        <v>0</v>
      </c>
      <c r="AB77">
        <f>IF(AND('1 Org'!D77&gt;Tmin, NOT('1 Org'!$I77="")),'1 Org'!$I77,0)</f>
        <v>0</v>
      </c>
      <c r="AC77">
        <f>IF(AND('1 Org'!E77&gt;Tmin, NOT('1 Org'!$I77="")),'1 Org'!$I77,0)</f>
        <v>0</v>
      </c>
      <c r="AD77">
        <f>IF(AND('1 Org'!F77&gt;Tmin, NOT('1 Org'!$I77="")),'1 Org'!$I77,0)</f>
        <v>0</v>
      </c>
      <c r="AE77">
        <f>IF(AND('1 Org'!C77&lt;Tmax, NOT('1 Org'!$H77="")),'1 Org'!$H77,4)</f>
        <v>3</v>
      </c>
      <c r="AF77">
        <f>IF(AND('1 Org'!D77&lt;Tmax, NOT('1 Org'!$H77="")),'1 Org'!$H77,4)</f>
        <v>3</v>
      </c>
      <c r="AG77">
        <f>IF(AND('1 Org'!E77&lt;Tmax, NOT('1 Org'!$H77="")),'1 Org'!$H77,4)</f>
        <v>3</v>
      </c>
      <c r="AH77">
        <f>IF(AND('1 Org'!F77&lt;Tmax, NOT('1 Org'!$H77="")),'1 Org'!$H77,4)</f>
        <v>3</v>
      </c>
      <c r="AI77"/>
      <c r="AJ77" s="213"/>
      <c r="AK77" s="213"/>
      <c r="AL77" s="213"/>
      <c r="AM77" s="213"/>
      <c r="AN77" s="213"/>
    </row>
    <row r="78" spans="1:200" x14ac:dyDescent="0.25">
      <c r="A78" s="164" t="s">
        <v>680</v>
      </c>
      <c r="B78" s="128" t="s">
        <v>88</v>
      </c>
      <c r="C78" s="243"/>
      <c r="D78" s="243"/>
      <c r="E78" s="243"/>
      <c r="F78" s="243"/>
      <c r="G78" s="133"/>
      <c r="H78" s="133"/>
      <c r="I78" s="133"/>
      <c r="J78" s="136"/>
      <c r="L78" s="227"/>
      <c r="M78" s="227"/>
      <c r="N78" s="227"/>
      <c r="O78" s="227"/>
      <c r="P78" s="227"/>
      <c r="Q78" s="227"/>
      <c r="R78" s="227"/>
      <c r="S78" s="227"/>
      <c r="T78" s="227"/>
      <c r="U78" s="227"/>
      <c r="V78" s="227"/>
      <c r="W78" s="227"/>
      <c r="X78" s="227"/>
      <c r="Y78" s="227"/>
      <c r="Z78" s="227"/>
      <c r="AA78"/>
      <c r="AB78"/>
      <c r="AC78"/>
      <c r="AD78"/>
      <c r="AE78"/>
      <c r="AF78"/>
      <c r="AG78"/>
      <c r="AH78"/>
      <c r="AI78"/>
      <c r="AJ78" s="213"/>
      <c r="AK78" s="213"/>
      <c r="AL78" s="213"/>
      <c r="AM78" s="213"/>
      <c r="AN78" s="213"/>
    </row>
    <row r="79" spans="1:200" ht="30.6" x14ac:dyDescent="0.25">
      <c r="A79" s="164" t="s">
        <v>1457</v>
      </c>
      <c r="B79" s="128" t="s">
        <v>6920</v>
      </c>
      <c r="C79" s="243"/>
      <c r="D79" s="243"/>
      <c r="E79" s="243"/>
      <c r="F79" s="243"/>
      <c r="G79" s="133">
        <v>4</v>
      </c>
      <c r="H79" s="133"/>
      <c r="I79" s="133"/>
      <c r="J79" s="136" t="s">
        <v>6921</v>
      </c>
      <c r="L79" s="227"/>
      <c r="M79" s="227"/>
      <c r="N79" s="227"/>
      <c r="O79" s="227"/>
      <c r="P79" s="227"/>
      <c r="Q79" s="227"/>
      <c r="R79" s="227"/>
      <c r="S79" s="227"/>
      <c r="T79" s="227"/>
      <c r="U79" s="227"/>
      <c r="V79" s="227"/>
      <c r="W79" s="227"/>
      <c r="X79" s="227"/>
      <c r="Y79" s="227"/>
      <c r="Z79" s="227"/>
      <c r="AA79">
        <f>IF(AND('1 Org'!C79&gt;Tmin, NOT('1 Org'!$I79="")),'1 Org'!$I79,0)</f>
        <v>0</v>
      </c>
      <c r="AB79">
        <f>IF(AND('1 Org'!D79&gt;Tmin, NOT('1 Org'!$I79="")),'1 Org'!$I79,0)</f>
        <v>0</v>
      </c>
      <c r="AC79">
        <f>IF(AND('1 Org'!E79&gt;Tmin, NOT('1 Org'!$I79="")),'1 Org'!$I79,0)</f>
        <v>0</v>
      </c>
      <c r="AD79">
        <f>IF(AND('1 Org'!F79&gt;Tmin, NOT('1 Org'!$I79="")),'1 Org'!$I79,0)</f>
        <v>0</v>
      </c>
      <c r="AE79">
        <f>IF(AND('1 Org'!C79&lt;Tmax, NOT('1 Org'!$H79="")),'1 Org'!$H79,4)</f>
        <v>4</v>
      </c>
      <c r="AF79">
        <f>IF(AND('1 Org'!D79&lt;Tmax, NOT('1 Org'!$H79="")),'1 Org'!$H79,4)</f>
        <v>4</v>
      </c>
      <c r="AG79">
        <f>IF(AND('1 Org'!E79&lt;Tmax, NOT('1 Org'!$H79="")),'1 Org'!$H79,4)</f>
        <v>4</v>
      </c>
      <c r="AH79">
        <f>IF(AND('1 Org'!F79&lt;Tmax, NOT('1 Org'!$H79="")),'1 Org'!$H79,4)</f>
        <v>4</v>
      </c>
      <c r="AI79"/>
      <c r="AJ79" s="213"/>
      <c r="AK79" s="213"/>
      <c r="AL79" s="213"/>
      <c r="AM79" s="213"/>
      <c r="AN79" s="213"/>
    </row>
    <row r="80" spans="1:200" ht="20.399999999999999" x14ac:dyDescent="0.25">
      <c r="A80" s="164" t="s">
        <v>6922</v>
      </c>
      <c r="B80" s="128" t="s">
        <v>6923</v>
      </c>
      <c r="C80" s="243"/>
      <c r="D80" s="243"/>
      <c r="E80" s="243"/>
      <c r="F80" s="243"/>
      <c r="G80" s="133">
        <v>4</v>
      </c>
      <c r="H80" s="133"/>
      <c r="I80" s="133"/>
      <c r="J80" s="136" t="s">
        <v>6921</v>
      </c>
      <c r="L80" s="227"/>
      <c r="M80" s="227"/>
      <c r="N80" s="227"/>
      <c r="O80" s="227"/>
      <c r="P80" s="227"/>
      <c r="Q80" s="227"/>
      <c r="R80" s="227"/>
      <c r="S80" s="227"/>
      <c r="T80" s="227"/>
      <c r="U80" s="227"/>
      <c r="V80" s="227"/>
      <c r="W80" s="227"/>
      <c r="X80" s="227"/>
      <c r="Y80" s="227"/>
      <c r="Z80" s="227"/>
      <c r="AA80">
        <f>IF(AND('1 Org'!C80&gt;Tmin, NOT('1 Org'!$I80="")),'1 Org'!$I80,0)</f>
        <v>0</v>
      </c>
      <c r="AB80">
        <f>IF(AND('1 Org'!D80&gt;Tmin, NOT('1 Org'!$I80="")),'1 Org'!$I80,0)</f>
        <v>0</v>
      </c>
      <c r="AC80">
        <f>IF(AND('1 Org'!E80&gt;Tmin, NOT('1 Org'!$I80="")),'1 Org'!$I80,0)</f>
        <v>0</v>
      </c>
      <c r="AD80">
        <f>IF(AND('1 Org'!F80&gt;Tmin, NOT('1 Org'!$I80="")),'1 Org'!$I80,0)</f>
        <v>0</v>
      </c>
      <c r="AE80">
        <f>IF(AND('1 Org'!C80&lt;Tmax, NOT('1 Org'!$H80="")),'1 Org'!$H80,4)</f>
        <v>4</v>
      </c>
      <c r="AF80">
        <f>IF(AND('1 Org'!D80&lt;Tmax, NOT('1 Org'!$H80="")),'1 Org'!$H80,4)</f>
        <v>4</v>
      </c>
      <c r="AG80">
        <f>IF(AND('1 Org'!E80&lt;Tmax, NOT('1 Org'!$H80="")),'1 Org'!$H80,4)</f>
        <v>4</v>
      </c>
      <c r="AH80">
        <f>IF(AND('1 Org'!F80&lt;Tmax, NOT('1 Org'!$H80="")),'1 Org'!$H80,4)</f>
        <v>4</v>
      </c>
      <c r="AI80"/>
      <c r="AJ80" s="213"/>
      <c r="AK80" s="213"/>
      <c r="AL80" s="213"/>
      <c r="AM80" s="213"/>
      <c r="AN80" s="213"/>
    </row>
    <row r="81" spans="1:40" x14ac:dyDescent="0.25">
      <c r="A81" s="164" t="s">
        <v>681</v>
      </c>
      <c r="B81" s="128" t="s">
        <v>557</v>
      </c>
      <c r="C81" s="243"/>
      <c r="D81" s="243"/>
      <c r="E81" s="243"/>
      <c r="F81" s="243"/>
      <c r="G81" s="133"/>
      <c r="H81" s="133"/>
      <c r="I81" s="133"/>
      <c r="J81" s="136"/>
      <c r="L81" s="227"/>
      <c r="M81" s="227"/>
      <c r="N81" s="227"/>
      <c r="O81" s="227"/>
      <c r="P81" s="227"/>
      <c r="Q81" s="227"/>
      <c r="R81" s="227"/>
      <c r="S81" s="227"/>
      <c r="T81" s="227"/>
      <c r="U81" s="227"/>
      <c r="V81" s="227"/>
      <c r="W81" s="227"/>
      <c r="X81" s="227"/>
      <c r="Y81" s="227"/>
      <c r="Z81" s="227"/>
      <c r="AA81"/>
      <c r="AB81"/>
      <c r="AC81"/>
      <c r="AD81"/>
      <c r="AE81"/>
      <c r="AF81"/>
      <c r="AG81"/>
      <c r="AH81"/>
      <c r="AI81"/>
      <c r="AJ81" s="213"/>
      <c r="AK81" s="213"/>
      <c r="AL81" s="213"/>
      <c r="AM81" s="213"/>
      <c r="AN81" s="213"/>
    </row>
    <row r="82" spans="1:40" ht="30.6" x14ac:dyDescent="0.25">
      <c r="A82" s="164" t="s">
        <v>1521</v>
      </c>
      <c r="B82" s="128" t="s">
        <v>6924</v>
      </c>
      <c r="C82" s="243"/>
      <c r="D82" s="243"/>
      <c r="E82" s="243"/>
      <c r="F82" s="243"/>
      <c r="G82" s="133">
        <v>4</v>
      </c>
      <c r="H82" s="133">
        <v>2</v>
      </c>
      <c r="I82" s="133"/>
      <c r="J82" s="136" t="s">
        <v>6925</v>
      </c>
      <c r="L82" s="128"/>
      <c r="M82" s="308"/>
      <c r="N82" s="213"/>
      <c r="O82" s="213"/>
      <c r="P82" s="213"/>
      <c r="Q82" s="213"/>
      <c r="R82" s="213"/>
      <c r="S82" s="213"/>
      <c r="T82" s="213"/>
      <c r="U82" s="213"/>
      <c r="V82" s="213"/>
      <c r="W82" s="213"/>
      <c r="X82" s="213"/>
      <c r="Y82" s="213"/>
      <c r="Z82" s="213"/>
      <c r="AA82">
        <f>IF(AND('1 Org'!C82&gt;Tmin, NOT('1 Org'!$I82="")),'1 Org'!$I82,0)</f>
        <v>0</v>
      </c>
      <c r="AB82">
        <f>IF(AND('1 Org'!D82&gt;Tmin, NOT('1 Org'!$I82="")),'1 Org'!$I82,0)</f>
        <v>0</v>
      </c>
      <c r="AC82">
        <f>IF(AND('1 Org'!E82&gt;Tmin, NOT('1 Org'!$I82="")),'1 Org'!$I82,0)</f>
        <v>0</v>
      </c>
      <c r="AD82">
        <f>IF(AND('1 Org'!F82&gt;Tmin, NOT('1 Org'!$I82="")),'1 Org'!$I82,0)</f>
        <v>0</v>
      </c>
      <c r="AE82">
        <f>IF(AND('1 Org'!C82&lt;Tmax, NOT('1 Org'!$H82="")),'1 Org'!$H82,4)</f>
        <v>2</v>
      </c>
      <c r="AF82">
        <f>IF(AND('1 Org'!D82&lt;Tmax, NOT('1 Org'!$H82="")),'1 Org'!$H82,4)</f>
        <v>2</v>
      </c>
      <c r="AG82">
        <f>IF(AND('1 Org'!E82&lt;Tmax, NOT('1 Org'!$H82="")),'1 Org'!$H82,4)</f>
        <v>2</v>
      </c>
      <c r="AH82">
        <f>IF(AND('1 Org'!F82&lt;Tmax, NOT('1 Org'!$H82="")),'1 Org'!$H82,4)</f>
        <v>2</v>
      </c>
      <c r="AI82"/>
      <c r="AJ82" s="213"/>
      <c r="AK82" s="213"/>
      <c r="AL82" s="213"/>
      <c r="AM82" s="213"/>
      <c r="AN82" s="213"/>
    </row>
    <row r="83" spans="1:40" ht="20.399999999999999" x14ac:dyDescent="0.25">
      <c r="A83" s="164" t="s">
        <v>1522</v>
      </c>
      <c r="B83" s="128" t="s">
        <v>6926</v>
      </c>
      <c r="C83" s="243"/>
      <c r="D83" s="243"/>
      <c r="E83" s="243"/>
      <c r="F83" s="243"/>
      <c r="G83" s="133">
        <v>4</v>
      </c>
      <c r="H83" s="133"/>
      <c r="I83" s="133"/>
      <c r="J83" s="136" t="s">
        <v>6925</v>
      </c>
      <c r="L83" s="128"/>
      <c r="M83" s="308"/>
      <c r="N83" s="213"/>
      <c r="O83" s="213"/>
      <c r="P83" s="213"/>
      <c r="Q83" s="213"/>
      <c r="R83" s="213"/>
      <c r="S83" s="213"/>
      <c r="T83" s="213"/>
      <c r="U83" s="213"/>
      <c r="V83" s="213"/>
      <c r="W83" s="213"/>
      <c r="X83" s="213"/>
      <c r="Y83" s="213"/>
      <c r="Z83" s="213"/>
      <c r="AA83">
        <f>IF(AND('1 Org'!C83&gt;Tmin, NOT('1 Org'!$I83="")),'1 Org'!$I83,0)</f>
        <v>0</v>
      </c>
      <c r="AB83">
        <f>IF(AND('1 Org'!D83&gt;Tmin, NOT('1 Org'!$I83="")),'1 Org'!$I83,0)</f>
        <v>0</v>
      </c>
      <c r="AC83">
        <f>IF(AND('1 Org'!E83&gt;Tmin, NOT('1 Org'!$I83="")),'1 Org'!$I83,0)</f>
        <v>0</v>
      </c>
      <c r="AD83">
        <f>IF(AND('1 Org'!F83&gt;Tmin, NOT('1 Org'!$I83="")),'1 Org'!$I83,0)</f>
        <v>0</v>
      </c>
      <c r="AE83">
        <f>IF(AND('1 Org'!C83&lt;Tmax, NOT('1 Org'!$H83="")),'1 Org'!$H83,4)</f>
        <v>4</v>
      </c>
      <c r="AF83">
        <f>IF(AND('1 Org'!D83&lt;Tmax, NOT('1 Org'!$H83="")),'1 Org'!$H83,4)</f>
        <v>4</v>
      </c>
      <c r="AG83">
        <f>IF(AND('1 Org'!E83&lt;Tmax, NOT('1 Org'!$H83="")),'1 Org'!$H83,4)</f>
        <v>4</v>
      </c>
      <c r="AH83">
        <f>IF(AND('1 Org'!F83&lt;Tmax, NOT('1 Org'!$H83="")),'1 Org'!$H83,4)</f>
        <v>4</v>
      </c>
      <c r="AI83"/>
      <c r="AJ83" s="213"/>
      <c r="AK83" s="213"/>
      <c r="AL83" s="213"/>
      <c r="AM83" s="213"/>
      <c r="AN83" s="213"/>
    </row>
    <row r="84" spans="1:40" ht="20.399999999999999" x14ac:dyDescent="0.25">
      <c r="A84" s="164" t="s">
        <v>1523</v>
      </c>
      <c r="B84" s="128" t="s">
        <v>6927</v>
      </c>
      <c r="C84" s="243"/>
      <c r="D84" s="243"/>
      <c r="E84" s="243"/>
      <c r="F84" s="243"/>
      <c r="G84" s="133">
        <v>4</v>
      </c>
      <c r="H84" s="133"/>
      <c r="I84" s="133"/>
      <c r="J84" s="136" t="s">
        <v>6925</v>
      </c>
      <c r="L84" s="128"/>
      <c r="M84" s="308"/>
      <c r="N84" s="213"/>
      <c r="O84" s="213"/>
      <c r="P84" s="213"/>
      <c r="Q84" s="213"/>
      <c r="R84" s="213"/>
      <c r="S84" s="213"/>
      <c r="T84" s="213"/>
      <c r="U84" s="213"/>
      <c r="V84" s="213"/>
      <c r="W84" s="213"/>
      <c r="X84" s="213"/>
      <c r="Y84" s="213"/>
      <c r="Z84" s="213"/>
      <c r="AA84">
        <f>IF(AND('1 Org'!C84&gt;Tmin, NOT('1 Org'!$I84="")),'1 Org'!$I84,0)</f>
        <v>0</v>
      </c>
      <c r="AB84">
        <f>IF(AND('1 Org'!D84&gt;Tmin, NOT('1 Org'!$I84="")),'1 Org'!$I84,0)</f>
        <v>0</v>
      </c>
      <c r="AC84">
        <f>IF(AND('1 Org'!E84&gt;Tmin, NOT('1 Org'!$I84="")),'1 Org'!$I84,0)</f>
        <v>0</v>
      </c>
      <c r="AD84">
        <f>IF(AND('1 Org'!F84&gt;Tmin, NOT('1 Org'!$I84="")),'1 Org'!$I84,0)</f>
        <v>0</v>
      </c>
      <c r="AE84">
        <f>IF(AND('1 Org'!C84&lt;Tmax, NOT('1 Org'!$H84="")),'1 Org'!$H84,4)</f>
        <v>4</v>
      </c>
      <c r="AF84">
        <f>IF(AND('1 Org'!D84&lt;Tmax, NOT('1 Org'!$H84="")),'1 Org'!$H84,4)</f>
        <v>4</v>
      </c>
      <c r="AG84">
        <f>IF(AND('1 Org'!E84&lt;Tmax, NOT('1 Org'!$H84="")),'1 Org'!$H84,4)</f>
        <v>4</v>
      </c>
      <c r="AH84">
        <f>IF(AND('1 Org'!F84&lt;Tmax, NOT('1 Org'!$H84="")),'1 Org'!$H84,4)</f>
        <v>4</v>
      </c>
      <c r="AI84"/>
      <c r="AJ84" s="213"/>
      <c r="AK84" s="213"/>
      <c r="AL84" s="213"/>
      <c r="AM84" s="213"/>
      <c r="AN84" s="213"/>
    </row>
    <row r="85" spans="1:40" x14ac:dyDescent="0.25">
      <c r="A85" s="164" t="s">
        <v>682</v>
      </c>
      <c r="B85" s="128" t="s">
        <v>125</v>
      </c>
      <c r="C85" s="243"/>
      <c r="D85" s="243"/>
      <c r="E85" s="243"/>
      <c r="F85" s="243"/>
      <c r="G85" s="133"/>
      <c r="H85" s="133"/>
      <c r="I85" s="133"/>
      <c r="J85" s="136"/>
      <c r="L85" s="128"/>
      <c r="M85" s="308"/>
      <c r="N85" s="213"/>
      <c r="O85" s="213"/>
      <c r="P85" s="213"/>
      <c r="Q85" s="213"/>
      <c r="R85" s="213"/>
      <c r="S85" s="213"/>
      <c r="T85" s="213"/>
      <c r="U85" s="213"/>
      <c r="V85" s="213"/>
      <c r="W85" s="213"/>
      <c r="X85" s="213"/>
      <c r="Y85" s="213"/>
      <c r="Z85" s="213"/>
      <c r="AA85"/>
      <c r="AB85"/>
      <c r="AC85"/>
      <c r="AD85"/>
      <c r="AE85"/>
      <c r="AF85"/>
      <c r="AG85"/>
      <c r="AH85"/>
      <c r="AI85"/>
      <c r="AJ85" s="213"/>
      <c r="AK85" s="213"/>
      <c r="AL85" s="213"/>
      <c r="AM85" s="213"/>
      <c r="AN85" s="213"/>
    </row>
    <row r="86" spans="1:40" ht="20.399999999999999" x14ac:dyDescent="0.25">
      <c r="A86" s="164" t="s">
        <v>1458</v>
      </c>
      <c r="B86" s="128" t="s">
        <v>6928</v>
      </c>
      <c r="C86" s="243"/>
      <c r="D86" s="243"/>
      <c r="E86" s="243"/>
      <c r="F86" s="243"/>
      <c r="G86" s="133">
        <v>4</v>
      </c>
      <c r="H86" s="133"/>
      <c r="I86" s="133"/>
      <c r="J86" s="136" t="s">
        <v>6929</v>
      </c>
      <c r="L86" s="128"/>
      <c r="M86" s="308"/>
      <c r="N86" s="213"/>
      <c r="O86" s="213"/>
      <c r="P86" s="213"/>
      <c r="Q86" s="213"/>
      <c r="R86" s="213"/>
      <c r="S86" s="213"/>
      <c r="T86" s="213"/>
      <c r="U86" s="213"/>
      <c r="V86" s="213"/>
      <c r="W86" s="213"/>
      <c r="X86" s="213"/>
      <c r="Y86" s="213"/>
      <c r="Z86" s="213"/>
      <c r="AA86">
        <f>IF(AND('1 Org'!C86&gt;Tmin, NOT('1 Org'!$I86="")),'1 Org'!$I86,0)</f>
        <v>0</v>
      </c>
      <c r="AB86">
        <f>IF(AND('1 Org'!D86&gt;Tmin, NOT('1 Org'!$I86="")),'1 Org'!$I86,0)</f>
        <v>0</v>
      </c>
      <c r="AC86">
        <f>IF(AND('1 Org'!E86&gt;Tmin, NOT('1 Org'!$I86="")),'1 Org'!$I86,0)</f>
        <v>0</v>
      </c>
      <c r="AD86">
        <f>IF(AND('1 Org'!F86&gt;Tmin, NOT('1 Org'!$I86="")),'1 Org'!$I86,0)</f>
        <v>0</v>
      </c>
      <c r="AE86">
        <f>IF(AND('1 Org'!C86&lt;Tmax, NOT('1 Org'!$H86="")),'1 Org'!$H86,4)</f>
        <v>4</v>
      </c>
      <c r="AF86">
        <f>IF(AND('1 Org'!D86&lt;Tmax, NOT('1 Org'!$H86="")),'1 Org'!$H86,4)</f>
        <v>4</v>
      </c>
      <c r="AG86">
        <f>IF(AND('1 Org'!E86&lt;Tmax, NOT('1 Org'!$H86="")),'1 Org'!$H86,4)</f>
        <v>4</v>
      </c>
      <c r="AH86">
        <f>IF(AND('1 Org'!F86&lt;Tmax, NOT('1 Org'!$H86="")),'1 Org'!$H86,4)</f>
        <v>4</v>
      </c>
      <c r="AI86"/>
      <c r="AJ86" s="213"/>
      <c r="AK86" s="213"/>
      <c r="AL86" s="213"/>
      <c r="AM86" s="213"/>
      <c r="AN86" s="213"/>
    </row>
    <row r="87" spans="1:40" ht="20.399999999999999" x14ac:dyDescent="0.25">
      <c r="A87" s="164" t="s">
        <v>6930</v>
      </c>
      <c r="B87" s="128" t="s">
        <v>6931</v>
      </c>
      <c r="C87" s="243"/>
      <c r="D87" s="243"/>
      <c r="E87" s="243"/>
      <c r="F87" s="243"/>
      <c r="G87" s="133">
        <v>2</v>
      </c>
      <c r="H87" s="133"/>
      <c r="I87" s="133"/>
      <c r="J87" s="136" t="s">
        <v>6929</v>
      </c>
      <c r="L87" s="128"/>
      <c r="M87" s="308"/>
      <c r="N87" s="213"/>
      <c r="O87" s="213"/>
      <c r="P87" s="213"/>
      <c r="Q87" s="213"/>
      <c r="R87" s="213"/>
      <c r="S87" s="213"/>
      <c r="T87" s="213"/>
      <c r="U87" s="213"/>
      <c r="V87" s="213"/>
      <c r="W87" s="213"/>
      <c r="X87" s="213"/>
      <c r="Y87" s="213"/>
      <c r="Z87" s="213"/>
      <c r="AA87">
        <f>IF(AND('1 Org'!C87&gt;Tmin, NOT('1 Org'!$I87="")),'1 Org'!$I87,0)</f>
        <v>0</v>
      </c>
      <c r="AB87">
        <f>IF(AND('1 Org'!D87&gt;Tmin, NOT('1 Org'!$I87="")),'1 Org'!$I87,0)</f>
        <v>0</v>
      </c>
      <c r="AC87">
        <f>IF(AND('1 Org'!E87&gt;Tmin, NOT('1 Org'!$I87="")),'1 Org'!$I87,0)</f>
        <v>0</v>
      </c>
      <c r="AD87">
        <f>IF(AND('1 Org'!F87&gt;Tmin, NOT('1 Org'!$I87="")),'1 Org'!$I87,0)</f>
        <v>0</v>
      </c>
      <c r="AE87">
        <f>IF(AND('1 Org'!C87&lt;Tmax, NOT('1 Org'!$H87="")),'1 Org'!$H87,4)</f>
        <v>4</v>
      </c>
      <c r="AF87">
        <f>IF(AND('1 Org'!D87&lt;Tmax, NOT('1 Org'!$H87="")),'1 Org'!$H87,4)</f>
        <v>4</v>
      </c>
      <c r="AG87">
        <f>IF(AND('1 Org'!E87&lt;Tmax, NOT('1 Org'!$H87="")),'1 Org'!$H87,4)</f>
        <v>4</v>
      </c>
      <c r="AH87">
        <f>IF(AND('1 Org'!F87&lt;Tmax, NOT('1 Org'!$H87="")),'1 Org'!$H87,4)</f>
        <v>4</v>
      </c>
      <c r="AI87"/>
      <c r="AJ87" s="213"/>
      <c r="AK87" s="213"/>
      <c r="AL87" s="213"/>
      <c r="AM87" s="213"/>
      <c r="AN87" s="213"/>
    </row>
    <row r="88" spans="1:40" x14ac:dyDescent="0.25">
      <c r="A88" s="164" t="s">
        <v>6932</v>
      </c>
      <c r="B88" s="128" t="s">
        <v>6933</v>
      </c>
      <c r="C88" s="243"/>
      <c r="D88" s="243"/>
      <c r="E88" s="243"/>
      <c r="F88" s="243"/>
      <c r="G88" s="133">
        <v>4</v>
      </c>
      <c r="H88" s="133"/>
      <c r="I88" s="133"/>
      <c r="J88" s="136" t="s">
        <v>6929</v>
      </c>
      <c r="L88" s="128"/>
      <c r="M88" s="308"/>
      <c r="N88" s="213"/>
      <c r="O88" s="213"/>
      <c r="P88" s="213"/>
      <c r="Q88" s="213"/>
      <c r="R88" s="213"/>
      <c r="S88" s="213"/>
      <c r="T88" s="213"/>
      <c r="U88" s="213"/>
      <c r="V88" s="213"/>
      <c r="W88" s="213"/>
      <c r="X88" s="213"/>
      <c r="Y88" s="213"/>
      <c r="Z88" s="213"/>
      <c r="AA88">
        <f>IF(AND('1 Org'!C88&gt;Tmin, NOT('1 Org'!$I88="")),'1 Org'!$I88,0)</f>
        <v>0</v>
      </c>
      <c r="AB88">
        <f>IF(AND('1 Org'!D88&gt;Tmin, NOT('1 Org'!$I88="")),'1 Org'!$I88,0)</f>
        <v>0</v>
      </c>
      <c r="AC88">
        <f>IF(AND('1 Org'!E88&gt;Tmin, NOT('1 Org'!$I88="")),'1 Org'!$I88,0)</f>
        <v>0</v>
      </c>
      <c r="AD88">
        <f>IF(AND('1 Org'!F88&gt;Tmin, NOT('1 Org'!$I88="")),'1 Org'!$I88,0)</f>
        <v>0</v>
      </c>
      <c r="AE88">
        <f>IF(AND('1 Org'!C88&lt;Tmax, NOT('1 Org'!$H88="")),'1 Org'!$H88,4)</f>
        <v>4</v>
      </c>
      <c r="AF88">
        <f>IF(AND('1 Org'!D88&lt;Tmax, NOT('1 Org'!$H88="")),'1 Org'!$H88,4)</f>
        <v>4</v>
      </c>
      <c r="AG88">
        <f>IF(AND('1 Org'!E88&lt;Tmax, NOT('1 Org'!$H88="")),'1 Org'!$H88,4)</f>
        <v>4</v>
      </c>
      <c r="AH88">
        <f>IF(AND('1 Org'!F88&lt;Tmax, NOT('1 Org'!$H88="")),'1 Org'!$H88,4)</f>
        <v>4</v>
      </c>
      <c r="AI88"/>
      <c r="AJ88" s="213"/>
      <c r="AK88" s="213"/>
      <c r="AL88" s="213"/>
      <c r="AM88" s="213"/>
      <c r="AN88" s="213"/>
    </row>
    <row r="89" spans="1:40" x14ac:dyDescent="0.25">
      <c r="A89" s="164" t="s">
        <v>683</v>
      </c>
      <c r="B89" s="128" t="s">
        <v>684</v>
      </c>
      <c r="C89" s="243"/>
      <c r="D89" s="243"/>
      <c r="E89" s="243"/>
      <c r="F89" s="243"/>
      <c r="G89" s="133"/>
      <c r="H89" s="133"/>
      <c r="I89" s="133"/>
      <c r="J89" s="136"/>
      <c r="L89" s="128"/>
      <c r="M89" s="308"/>
      <c r="N89" s="213"/>
      <c r="O89" s="213"/>
      <c r="P89" s="213"/>
      <c r="Q89" s="213"/>
      <c r="R89" s="213"/>
      <c r="S89" s="213"/>
      <c r="T89" s="213"/>
      <c r="U89" s="213"/>
      <c r="V89" s="213"/>
      <c r="W89" s="213"/>
      <c r="X89" s="213"/>
      <c r="Y89" s="213"/>
      <c r="Z89" s="213"/>
      <c r="AA89"/>
      <c r="AB89"/>
      <c r="AC89"/>
      <c r="AD89"/>
      <c r="AE89"/>
      <c r="AF89"/>
      <c r="AG89"/>
      <c r="AH89"/>
      <c r="AI89"/>
      <c r="AJ89" s="213"/>
      <c r="AK89" s="213"/>
      <c r="AL89" s="213"/>
      <c r="AM89" s="213"/>
      <c r="AN89" s="213"/>
    </row>
    <row r="90" spans="1:40" ht="30.6" x14ac:dyDescent="0.25">
      <c r="A90" s="164" t="s">
        <v>1459</v>
      </c>
      <c r="B90" s="128" t="s">
        <v>6934</v>
      </c>
      <c r="C90" s="243"/>
      <c r="D90" s="243"/>
      <c r="E90" s="243"/>
      <c r="F90" s="243"/>
      <c r="G90" s="133">
        <v>4</v>
      </c>
      <c r="H90" s="133"/>
      <c r="I90" s="133"/>
      <c r="J90" s="136" t="s">
        <v>6935</v>
      </c>
      <c r="L90" s="128"/>
      <c r="M90" s="308"/>
      <c r="N90" s="213"/>
      <c r="O90" s="213"/>
      <c r="P90" s="213"/>
      <c r="Q90" s="213"/>
      <c r="R90" s="213"/>
      <c r="S90" s="213"/>
      <c r="T90" s="213"/>
      <c r="U90" s="213"/>
      <c r="V90" s="213"/>
      <c r="W90" s="213"/>
      <c r="X90" s="213"/>
      <c r="Y90" s="213"/>
      <c r="Z90" s="213"/>
      <c r="AA90">
        <f>IF(AND('1 Org'!C90&gt;Tmin, NOT('1 Org'!$I90="")),'1 Org'!$I90,0)</f>
        <v>0</v>
      </c>
      <c r="AB90">
        <f>IF(AND('1 Org'!D90&gt;Tmin, NOT('1 Org'!$I90="")),'1 Org'!$I90,0)</f>
        <v>0</v>
      </c>
      <c r="AC90">
        <f>IF(AND('1 Org'!E90&gt;Tmin, NOT('1 Org'!$I90="")),'1 Org'!$I90,0)</f>
        <v>0</v>
      </c>
      <c r="AD90">
        <f>IF(AND('1 Org'!F90&gt;Tmin, NOT('1 Org'!$I90="")),'1 Org'!$I90,0)</f>
        <v>0</v>
      </c>
      <c r="AE90">
        <f>IF(AND('1 Org'!C90&lt;Tmax, NOT('1 Org'!$H90="")),'1 Org'!$H90,4)</f>
        <v>4</v>
      </c>
      <c r="AF90">
        <f>IF(AND('1 Org'!D90&lt;Tmax, NOT('1 Org'!$H90="")),'1 Org'!$H90,4)</f>
        <v>4</v>
      </c>
      <c r="AG90">
        <f>IF(AND('1 Org'!E90&lt;Tmax, NOT('1 Org'!$H90="")),'1 Org'!$H90,4)</f>
        <v>4</v>
      </c>
      <c r="AH90">
        <f>IF(AND('1 Org'!F90&lt;Tmax, NOT('1 Org'!$H90="")),'1 Org'!$H90,4)</f>
        <v>4</v>
      </c>
      <c r="AI90"/>
      <c r="AJ90" s="213"/>
      <c r="AK90" s="213"/>
      <c r="AL90" s="213"/>
      <c r="AM90" s="213"/>
      <c r="AN90" s="213"/>
    </row>
    <row r="91" spans="1:40" ht="20.399999999999999" x14ac:dyDescent="0.25">
      <c r="A91" s="164" t="s">
        <v>1460</v>
      </c>
      <c r="B91" s="128" t="s">
        <v>6936</v>
      </c>
      <c r="C91" s="243"/>
      <c r="D91" s="243"/>
      <c r="E91" s="243"/>
      <c r="F91" s="243"/>
      <c r="G91" s="133">
        <v>4</v>
      </c>
      <c r="H91" s="133"/>
      <c r="I91" s="133"/>
      <c r="J91" s="136" t="s">
        <v>6935</v>
      </c>
      <c r="L91" s="128"/>
      <c r="M91" s="308"/>
      <c r="N91" s="213"/>
      <c r="O91" s="213"/>
      <c r="P91" s="213"/>
      <c r="Q91" s="213"/>
      <c r="R91" s="213"/>
      <c r="S91" s="213"/>
      <c r="T91" s="213"/>
      <c r="U91" s="213"/>
      <c r="V91" s="213"/>
      <c r="W91" s="213"/>
      <c r="X91" s="213"/>
      <c r="Y91" s="213"/>
      <c r="Z91" s="213"/>
      <c r="AA91">
        <f>IF(AND('1 Org'!C91&gt;Tmin, NOT('1 Org'!$I91="")),'1 Org'!$I91,0)</f>
        <v>0</v>
      </c>
      <c r="AB91">
        <f>IF(AND('1 Org'!D91&gt;Tmin, NOT('1 Org'!$I91="")),'1 Org'!$I91,0)</f>
        <v>0</v>
      </c>
      <c r="AC91">
        <f>IF(AND('1 Org'!E91&gt;Tmin, NOT('1 Org'!$I91="")),'1 Org'!$I91,0)</f>
        <v>0</v>
      </c>
      <c r="AD91">
        <f>IF(AND('1 Org'!F91&gt;Tmin, NOT('1 Org'!$I91="")),'1 Org'!$I91,0)</f>
        <v>0</v>
      </c>
      <c r="AE91">
        <f>IF(AND('1 Org'!C91&lt;Tmax, NOT('1 Org'!$H91="")),'1 Org'!$H91,4)</f>
        <v>4</v>
      </c>
      <c r="AF91">
        <f>IF(AND('1 Org'!D91&lt;Tmax, NOT('1 Org'!$H91="")),'1 Org'!$H91,4)</f>
        <v>4</v>
      </c>
      <c r="AG91">
        <f>IF(AND('1 Org'!E91&lt;Tmax, NOT('1 Org'!$H91="")),'1 Org'!$H91,4)</f>
        <v>4</v>
      </c>
      <c r="AH91">
        <f>IF(AND('1 Org'!F91&lt;Tmax, NOT('1 Org'!$H91="")),'1 Org'!$H91,4)</f>
        <v>4</v>
      </c>
      <c r="AI91"/>
      <c r="AJ91" s="213"/>
      <c r="AK91" s="213"/>
      <c r="AL91" s="213"/>
      <c r="AM91" s="213"/>
      <c r="AN91" s="213"/>
    </row>
    <row r="92" spans="1:40" ht="20.399999999999999" x14ac:dyDescent="0.25">
      <c r="A92" s="164" t="s">
        <v>1461</v>
      </c>
      <c r="B92" s="128" t="s">
        <v>6937</v>
      </c>
      <c r="C92" s="243"/>
      <c r="D92" s="243"/>
      <c r="E92" s="243"/>
      <c r="F92" s="243"/>
      <c r="G92" s="133">
        <v>4</v>
      </c>
      <c r="H92" s="133"/>
      <c r="I92" s="133"/>
      <c r="J92" s="136" t="s">
        <v>6935</v>
      </c>
      <c r="L92" s="128"/>
      <c r="M92" s="308"/>
      <c r="N92" s="213"/>
      <c r="O92" s="213"/>
      <c r="P92" s="213"/>
      <c r="Q92" s="213"/>
      <c r="R92" s="213"/>
      <c r="S92" s="213"/>
      <c r="T92" s="213"/>
      <c r="U92" s="213"/>
      <c r="V92" s="213"/>
      <c r="W92" s="213"/>
      <c r="X92" s="213"/>
      <c r="Y92" s="213"/>
      <c r="Z92" s="213"/>
      <c r="AA92">
        <f>IF(AND('1 Org'!C92&gt;Tmin, NOT('1 Org'!$I92="")),'1 Org'!$I92,0)</f>
        <v>0</v>
      </c>
      <c r="AB92">
        <f>IF(AND('1 Org'!D92&gt;Tmin, NOT('1 Org'!$I92="")),'1 Org'!$I92,0)</f>
        <v>0</v>
      </c>
      <c r="AC92">
        <f>IF(AND('1 Org'!E92&gt;Tmin, NOT('1 Org'!$I92="")),'1 Org'!$I92,0)</f>
        <v>0</v>
      </c>
      <c r="AD92">
        <f>IF(AND('1 Org'!F92&gt;Tmin, NOT('1 Org'!$I92="")),'1 Org'!$I92,0)</f>
        <v>0</v>
      </c>
      <c r="AE92">
        <f>IF(AND('1 Org'!C92&lt;Tmax, NOT('1 Org'!$H92="")),'1 Org'!$H92,4)</f>
        <v>4</v>
      </c>
      <c r="AF92">
        <f>IF(AND('1 Org'!D92&lt;Tmax, NOT('1 Org'!$H92="")),'1 Org'!$H92,4)</f>
        <v>4</v>
      </c>
      <c r="AG92">
        <f>IF(AND('1 Org'!E92&lt;Tmax, NOT('1 Org'!$H92="")),'1 Org'!$H92,4)</f>
        <v>4</v>
      </c>
      <c r="AH92">
        <f>IF(AND('1 Org'!F92&lt;Tmax, NOT('1 Org'!$H92="")),'1 Org'!$H92,4)</f>
        <v>4</v>
      </c>
      <c r="AI92"/>
      <c r="AJ92" s="213"/>
      <c r="AK92" s="213"/>
      <c r="AL92" s="213"/>
      <c r="AM92" s="213"/>
      <c r="AN92" s="213"/>
    </row>
    <row r="93" spans="1:40" x14ac:dyDescent="0.25">
      <c r="A93" s="164" t="s">
        <v>3247</v>
      </c>
      <c r="B93" s="128" t="s">
        <v>4817</v>
      </c>
      <c r="C93" s="243"/>
      <c r="D93" s="704"/>
      <c r="E93" s="243"/>
      <c r="F93" s="243"/>
      <c r="G93" s="133"/>
      <c r="H93" s="133"/>
      <c r="I93" s="133"/>
      <c r="J93" s="136"/>
      <c r="L93" s="128"/>
      <c r="M93" s="308"/>
      <c r="N93" s="213"/>
      <c r="O93" s="213"/>
      <c r="P93" s="213"/>
      <c r="Q93" s="213"/>
      <c r="R93" s="213"/>
      <c r="S93" s="213"/>
      <c r="T93" s="213"/>
      <c r="U93" s="213"/>
      <c r="V93" s="213"/>
      <c r="W93" s="213"/>
      <c r="X93" s="213"/>
      <c r="Y93" s="213"/>
      <c r="Z93" s="213"/>
      <c r="AA93"/>
      <c r="AB93"/>
      <c r="AC93"/>
      <c r="AD93"/>
      <c r="AE93"/>
      <c r="AF93"/>
      <c r="AG93"/>
      <c r="AH93"/>
      <c r="AI93"/>
      <c r="AJ93" s="213"/>
      <c r="AK93" s="213"/>
      <c r="AL93" s="213"/>
      <c r="AM93" s="213"/>
      <c r="AN93" s="213"/>
    </row>
    <row r="94" spans="1:40" ht="20.399999999999999" x14ac:dyDescent="0.25">
      <c r="A94" s="164" t="s">
        <v>4812</v>
      </c>
      <c r="B94" s="128" t="s">
        <v>7462</v>
      </c>
      <c r="C94" s="243">
        <v>0</v>
      </c>
      <c r="D94" s="704"/>
      <c r="E94" s="243"/>
      <c r="F94" s="243"/>
      <c r="G94" s="133">
        <v>4</v>
      </c>
      <c r="H94" s="133">
        <v>3</v>
      </c>
      <c r="I94" s="133"/>
      <c r="J94" s="136"/>
      <c r="K94" s="135" t="s">
        <v>7497</v>
      </c>
      <c r="L94" s="128"/>
      <c r="M94" s="308"/>
      <c r="N94" s="213"/>
      <c r="O94" s="213"/>
      <c r="P94" s="213"/>
      <c r="Q94" s="213"/>
      <c r="R94" s="213"/>
      <c r="S94" s="213"/>
      <c r="T94" s="213"/>
      <c r="U94" s="213"/>
      <c r="V94" s="213"/>
      <c r="W94" s="213"/>
      <c r="X94" s="213"/>
      <c r="Y94" s="213"/>
      <c r="Z94" s="213"/>
      <c r="AA94">
        <f>IF(AND('1 Org'!C94&gt;Tmin, NOT('1 Org'!$I94="")),'1 Org'!$I94,0)</f>
        <v>0</v>
      </c>
      <c r="AB94">
        <f>IF(AND('1 Org'!D94&gt;Tmin, NOT('1 Org'!$I94="")),'1 Org'!$I94,0)</f>
        <v>0</v>
      </c>
      <c r="AC94">
        <f>IF(AND('1 Org'!E94&gt;Tmin, NOT('1 Org'!$I94="")),'1 Org'!$I94,0)</f>
        <v>0</v>
      </c>
      <c r="AD94">
        <f>IF(AND('1 Org'!F94&gt;Tmin, NOT('1 Org'!$I94="")),'1 Org'!$I94,0)</f>
        <v>0</v>
      </c>
      <c r="AE94">
        <f>IF(AND('1 Org'!C94&lt;Tmax, NOT('1 Org'!$H94="")),'1 Org'!$H94,4)</f>
        <v>3</v>
      </c>
      <c r="AF94">
        <f>IF(AND('1 Org'!D94&lt;Tmax, NOT('1 Org'!$H94="")),'1 Org'!$H94,4)</f>
        <v>3</v>
      </c>
      <c r="AG94">
        <f>IF(AND('1 Org'!E94&lt;Tmax, NOT('1 Org'!$H94="")),'1 Org'!$H94,4)</f>
        <v>3</v>
      </c>
      <c r="AH94">
        <f>IF(AND('1 Org'!F94&lt;Tmax, NOT('1 Org'!$H94="")),'1 Org'!$H94,4)</f>
        <v>3</v>
      </c>
      <c r="AI94"/>
      <c r="AJ94" s="213"/>
      <c r="AK94" s="213"/>
      <c r="AL94" s="213"/>
      <c r="AM94" s="213"/>
      <c r="AN94" s="213"/>
    </row>
    <row r="95" spans="1:40" ht="20.399999999999999" x14ac:dyDescent="0.25">
      <c r="A95" s="164" t="s">
        <v>4813</v>
      </c>
      <c r="B95" s="128" t="s">
        <v>7463</v>
      </c>
      <c r="C95" s="243" t="s">
        <v>7496</v>
      </c>
      <c r="D95" s="704"/>
      <c r="E95" s="243"/>
      <c r="F95" s="243"/>
      <c r="G95" s="133">
        <v>4</v>
      </c>
      <c r="H95" s="133">
        <v>3</v>
      </c>
      <c r="I95" s="133"/>
      <c r="J95" s="136"/>
      <c r="K95" s="135" t="s">
        <v>7498</v>
      </c>
      <c r="L95" s="128"/>
      <c r="M95" s="308"/>
      <c r="N95" s="213"/>
      <c r="O95" s="213"/>
      <c r="P95" s="213"/>
      <c r="Q95" s="213"/>
      <c r="R95" s="213"/>
      <c r="S95" s="213"/>
      <c r="T95" s="213"/>
      <c r="U95" s="213"/>
      <c r="V95" s="213"/>
      <c r="W95" s="213"/>
      <c r="X95" s="213"/>
      <c r="Y95" s="213"/>
      <c r="Z95" s="213"/>
      <c r="AA95">
        <f>IF(AND('1 Org'!C95&gt;Tmin, NOT('1 Org'!$I95="")),'1 Org'!$I95,0)</f>
        <v>0</v>
      </c>
      <c r="AB95">
        <f>IF(AND('1 Org'!D95&gt;Tmin, NOT('1 Org'!$I95="")),'1 Org'!$I95,0)</f>
        <v>0</v>
      </c>
      <c r="AC95">
        <f>IF(AND('1 Org'!E95&gt;Tmin, NOT('1 Org'!$I95="")),'1 Org'!$I95,0)</f>
        <v>0</v>
      </c>
      <c r="AD95">
        <f>IF(AND('1 Org'!F95&gt;Tmin, NOT('1 Org'!$I95="")),'1 Org'!$I95,0)</f>
        <v>0</v>
      </c>
      <c r="AE95">
        <f>IF(AND('1 Org'!C95&lt;Tmax, NOT('1 Org'!$H95="")),'1 Org'!$H95,4)</f>
        <v>4</v>
      </c>
      <c r="AF95">
        <f>IF(AND('1 Org'!D95&lt;Tmax, NOT('1 Org'!$H95="")),'1 Org'!$H95,4)</f>
        <v>3</v>
      </c>
      <c r="AG95">
        <f>IF(AND('1 Org'!E95&lt;Tmax, NOT('1 Org'!$H95="")),'1 Org'!$H95,4)</f>
        <v>3</v>
      </c>
      <c r="AH95">
        <f>IF(AND('1 Org'!F95&lt;Tmax, NOT('1 Org'!$H95="")),'1 Org'!$H95,4)</f>
        <v>3</v>
      </c>
      <c r="AI95"/>
      <c r="AJ95" s="213"/>
      <c r="AK95" s="213"/>
      <c r="AL95" s="213"/>
      <c r="AM95" s="213"/>
      <c r="AN95" s="213"/>
    </row>
    <row r="96" spans="1:40" x14ac:dyDescent="0.25">
      <c r="A96" s="164" t="s">
        <v>4814</v>
      </c>
      <c r="B96" s="128" t="s">
        <v>3248</v>
      </c>
      <c r="C96" s="243">
        <v>0</v>
      </c>
      <c r="D96" s="704"/>
      <c r="E96" s="243"/>
      <c r="F96" s="243"/>
      <c r="G96" s="133">
        <v>4</v>
      </c>
      <c r="H96" s="133">
        <v>2</v>
      </c>
      <c r="I96" s="133"/>
      <c r="J96" s="136"/>
      <c r="K96" s="135" t="s">
        <v>7494</v>
      </c>
      <c r="L96" s="128"/>
      <c r="M96" s="308"/>
      <c r="N96" s="213"/>
      <c r="O96" s="213"/>
      <c r="P96" s="213"/>
      <c r="Q96" s="213"/>
      <c r="R96" s="213"/>
      <c r="S96" s="213"/>
      <c r="T96" s="213"/>
      <c r="U96" s="213"/>
      <c r="V96" s="213"/>
      <c r="W96" s="213"/>
      <c r="X96" s="213"/>
      <c r="Y96" s="213"/>
      <c r="Z96" s="213"/>
      <c r="AA96">
        <f>IF(AND('1 Org'!C96&gt;Tmin, NOT('1 Org'!$I96="")),'1 Org'!$I96,0)</f>
        <v>0</v>
      </c>
      <c r="AB96">
        <f>IF(AND('1 Org'!D96&gt;Tmin, NOT('1 Org'!$I96="")),'1 Org'!$I96,0)</f>
        <v>0</v>
      </c>
      <c r="AC96">
        <f>IF(AND('1 Org'!E96&gt;Tmin, NOT('1 Org'!$I96="")),'1 Org'!$I96,0)</f>
        <v>0</v>
      </c>
      <c r="AD96">
        <f>IF(AND('1 Org'!F96&gt;Tmin, NOT('1 Org'!$I96="")),'1 Org'!$I96,0)</f>
        <v>0</v>
      </c>
      <c r="AE96">
        <f>IF(AND('1 Org'!C96&lt;Tmax, NOT('1 Org'!$H96="")),'1 Org'!$H96,4)</f>
        <v>2</v>
      </c>
      <c r="AF96">
        <f>IF(AND('1 Org'!D96&lt;Tmax, NOT('1 Org'!$H96="")),'1 Org'!$H96,4)</f>
        <v>2</v>
      </c>
      <c r="AG96">
        <f>IF(AND('1 Org'!E96&lt;Tmax, NOT('1 Org'!$H96="")),'1 Org'!$H96,4)</f>
        <v>2</v>
      </c>
      <c r="AH96">
        <f>IF(AND('1 Org'!F96&lt;Tmax, NOT('1 Org'!$H96="")),'1 Org'!$H96,4)</f>
        <v>2</v>
      </c>
      <c r="AI96"/>
      <c r="AJ96" s="213"/>
      <c r="AK96" s="213"/>
      <c r="AL96" s="213"/>
      <c r="AM96" s="213"/>
      <c r="AN96" s="213"/>
    </row>
    <row r="97" spans="1:40" ht="20.399999999999999" x14ac:dyDescent="0.25">
      <c r="A97" s="164" t="s">
        <v>4815</v>
      </c>
      <c r="B97" s="128" t="s">
        <v>4811</v>
      </c>
      <c r="C97" s="243">
        <v>0</v>
      </c>
      <c r="D97" s="704"/>
      <c r="E97" s="243"/>
      <c r="F97" s="243"/>
      <c r="G97" s="133">
        <v>2</v>
      </c>
      <c r="H97" s="133"/>
      <c r="I97" s="133"/>
      <c r="J97" s="136"/>
      <c r="K97" s="135" t="s">
        <v>7494</v>
      </c>
      <c r="L97" s="128"/>
      <c r="M97" s="308"/>
      <c r="N97" s="213"/>
      <c r="O97" s="213"/>
      <c r="P97" s="213"/>
      <c r="Q97" s="213"/>
      <c r="R97" s="213"/>
      <c r="S97" s="213"/>
      <c r="T97" s="213"/>
      <c r="U97" s="213"/>
      <c r="V97" s="213"/>
      <c r="W97" s="213"/>
      <c r="X97" s="213"/>
      <c r="Y97" s="213"/>
      <c r="Z97" s="213"/>
      <c r="AA97">
        <f>IF(AND('1 Org'!C97&gt;Tmin, NOT('1 Org'!$I97="")),'1 Org'!$I97,0)</f>
        <v>0</v>
      </c>
      <c r="AB97">
        <f>IF(AND('1 Org'!D97&gt;Tmin, NOT('1 Org'!$I97="")),'1 Org'!$I97,0)</f>
        <v>0</v>
      </c>
      <c r="AC97">
        <f>IF(AND('1 Org'!E97&gt;Tmin, NOT('1 Org'!$I97="")),'1 Org'!$I97,0)</f>
        <v>0</v>
      </c>
      <c r="AD97">
        <f>IF(AND('1 Org'!F97&gt;Tmin, NOT('1 Org'!$I97="")),'1 Org'!$I97,0)</f>
        <v>0</v>
      </c>
      <c r="AE97">
        <f>IF(AND('1 Org'!C97&lt;Tmax, NOT('1 Org'!$H97="")),'1 Org'!$H97,4)</f>
        <v>4</v>
      </c>
      <c r="AF97">
        <f>IF(AND('1 Org'!D97&lt;Tmax, NOT('1 Org'!$H97="")),'1 Org'!$H97,4)</f>
        <v>4</v>
      </c>
      <c r="AG97">
        <f>IF(AND('1 Org'!E97&lt;Tmax, NOT('1 Org'!$H97="")),'1 Org'!$H97,4)</f>
        <v>4</v>
      </c>
      <c r="AH97">
        <f>IF(AND('1 Org'!F97&lt;Tmax, NOT('1 Org'!$H97="")),'1 Org'!$H97,4)</f>
        <v>4</v>
      </c>
      <c r="AI97"/>
      <c r="AJ97" s="213"/>
      <c r="AK97" s="213"/>
      <c r="AL97" s="213"/>
      <c r="AM97" s="213"/>
      <c r="AN97" s="213"/>
    </row>
    <row r="98" spans="1:40" x14ac:dyDescent="0.25">
      <c r="A98" s="164" t="s">
        <v>4816</v>
      </c>
      <c r="B98" s="128" t="s">
        <v>6755</v>
      </c>
      <c r="C98" s="243">
        <v>0</v>
      </c>
      <c r="D98" s="243"/>
      <c r="E98" s="243"/>
      <c r="F98" s="243"/>
      <c r="G98" s="133">
        <v>2</v>
      </c>
      <c r="H98" s="133"/>
      <c r="I98" s="133"/>
      <c r="J98" s="136"/>
      <c r="K98" s="135" t="s">
        <v>7494</v>
      </c>
      <c r="L98" s="128"/>
      <c r="M98" s="308"/>
      <c r="N98" s="213"/>
      <c r="O98" s="213"/>
      <c r="P98" s="213"/>
      <c r="Q98" s="213"/>
      <c r="R98" s="213"/>
      <c r="S98" s="213"/>
      <c r="T98" s="213"/>
      <c r="U98" s="213"/>
      <c r="V98" s="213"/>
      <c r="W98" s="213"/>
      <c r="X98" s="213"/>
      <c r="Y98" s="213"/>
      <c r="Z98" s="213"/>
      <c r="AA98">
        <f>IF(AND('1 Org'!C98&gt;Tmin, NOT('1 Org'!$I98="")),'1 Org'!$I98,0)</f>
        <v>0</v>
      </c>
      <c r="AB98">
        <f>IF(AND('1 Org'!D98&gt;Tmin, NOT('1 Org'!$I98="")),'1 Org'!$I98,0)</f>
        <v>0</v>
      </c>
      <c r="AC98">
        <f>IF(AND('1 Org'!E98&gt;Tmin, NOT('1 Org'!$I98="")),'1 Org'!$I98,0)</f>
        <v>0</v>
      </c>
      <c r="AD98">
        <f>IF(AND('1 Org'!F98&gt;Tmin, NOT('1 Org'!$I98="")),'1 Org'!$I98,0)</f>
        <v>0</v>
      </c>
      <c r="AE98">
        <f>IF(AND('1 Org'!C98&lt;Tmax, NOT('1 Org'!$H98="")),'1 Org'!$H98,4)</f>
        <v>4</v>
      </c>
      <c r="AF98">
        <f>IF(AND('1 Org'!D98&lt;Tmax, NOT('1 Org'!$H98="")),'1 Org'!$H98,4)</f>
        <v>4</v>
      </c>
      <c r="AG98">
        <f>IF(AND('1 Org'!E98&lt;Tmax, NOT('1 Org'!$H98="")),'1 Org'!$H98,4)</f>
        <v>4</v>
      </c>
      <c r="AH98">
        <f>IF(AND('1 Org'!F98&lt;Tmax, NOT('1 Org'!$H98="")),'1 Org'!$H98,4)</f>
        <v>4</v>
      </c>
      <c r="AI98"/>
      <c r="AJ98" s="213"/>
      <c r="AK98" s="213"/>
      <c r="AL98" s="213"/>
      <c r="AM98" s="213"/>
      <c r="AN98" s="213"/>
    </row>
    <row r="99" spans="1:40" x14ac:dyDescent="0.25">
      <c r="A99" s="225" t="s">
        <v>6747</v>
      </c>
      <c r="B99" s="309" t="s">
        <v>503</v>
      </c>
      <c r="C99" s="243"/>
      <c r="D99" s="243"/>
      <c r="E99" s="243"/>
      <c r="F99" s="243"/>
      <c r="G99" s="133"/>
      <c r="H99" s="133"/>
      <c r="I99" s="133"/>
      <c r="J99" s="136"/>
      <c r="L99" s="128"/>
      <c r="M99" s="308"/>
      <c r="N99" s="213"/>
      <c r="O99" s="213"/>
      <c r="P99" s="213"/>
      <c r="Q99" s="213"/>
      <c r="R99" s="213"/>
      <c r="S99" s="213"/>
      <c r="T99" s="213"/>
      <c r="U99" s="213"/>
      <c r="V99" s="213"/>
      <c r="W99" s="213"/>
      <c r="X99" s="213"/>
      <c r="Y99" s="213"/>
      <c r="Z99" s="213"/>
      <c r="AA99"/>
      <c r="AB99"/>
      <c r="AC99"/>
      <c r="AD99"/>
      <c r="AE99"/>
      <c r="AF99"/>
      <c r="AG99"/>
      <c r="AH99"/>
      <c r="AI99"/>
      <c r="AJ99" s="213"/>
      <c r="AK99" s="213"/>
      <c r="AL99" s="213"/>
      <c r="AM99" s="213"/>
      <c r="AN99" s="213"/>
    </row>
    <row r="100" spans="1:40" x14ac:dyDescent="0.25">
      <c r="A100" s="164" t="s">
        <v>678</v>
      </c>
      <c r="B100" s="128" t="s">
        <v>503</v>
      </c>
      <c r="C100" s="243"/>
      <c r="D100" s="243"/>
      <c r="E100" s="243"/>
      <c r="F100" s="243"/>
      <c r="G100" s="133"/>
      <c r="H100" s="133"/>
      <c r="I100" s="133"/>
      <c r="J100" s="136"/>
      <c r="L100" s="227"/>
      <c r="M100" s="227"/>
      <c r="N100" s="227"/>
      <c r="O100" s="227"/>
      <c r="P100" s="227"/>
      <c r="Q100" s="227"/>
      <c r="R100" s="227"/>
      <c r="S100" s="227"/>
      <c r="T100" s="227"/>
      <c r="U100" s="227"/>
      <c r="V100" s="227"/>
      <c r="W100" s="227"/>
      <c r="X100" s="227"/>
      <c r="Y100" s="227"/>
      <c r="Z100" s="227"/>
      <c r="AA100"/>
      <c r="AB100"/>
      <c r="AC100"/>
      <c r="AD100"/>
      <c r="AE100"/>
      <c r="AF100"/>
      <c r="AG100"/>
      <c r="AH100"/>
      <c r="AI100"/>
      <c r="AJ100" s="213"/>
      <c r="AK100" s="213"/>
      <c r="AL100" s="213"/>
      <c r="AM100" s="213"/>
      <c r="AN100" s="213"/>
    </row>
    <row r="101" spans="1:40" x14ac:dyDescent="0.25">
      <c r="A101" s="164" t="s">
        <v>1462</v>
      </c>
      <c r="B101" s="128" t="s">
        <v>6938</v>
      </c>
      <c r="C101" s="243"/>
      <c r="D101" s="243"/>
      <c r="E101" s="243"/>
      <c r="F101" s="243"/>
      <c r="G101" s="133">
        <v>2</v>
      </c>
      <c r="H101" s="133"/>
      <c r="I101" s="133"/>
      <c r="J101" s="136" t="s">
        <v>6939</v>
      </c>
      <c r="L101" s="227"/>
      <c r="M101" s="227"/>
      <c r="N101" s="227"/>
      <c r="O101" s="227"/>
      <c r="P101" s="227"/>
      <c r="Q101" s="227"/>
      <c r="R101" s="227"/>
      <c r="S101" s="227"/>
      <c r="T101" s="227"/>
      <c r="U101" s="227"/>
      <c r="V101" s="227"/>
      <c r="W101" s="227"/>
      <c r="X101" s="227"/>
      <c r="Y101" s="227"/>
      <c r="Z101" s="227"/>
      <c r="AA101">
        <f>IF(AND('1 Org'!C101&gt;Tmin, NOT('1 Org'!$I101="")),'1 Org'!$I101,0)</f>
        <v>0</v>
      </c>
      <c r="AB101">
        <f>IF(AND('1 Org'!D101&gt;Tmin, NOT('1 Org'!$I101="")),'1 Org'!$I101,0)</f>
        <v>0</v>
      </c>
      <c r="AC101">
        <f>IF(AND('1 Org'!E101&gt;Tmin, NOT('1 Org'!$I101="")),'1 Org'!$I101,0)</f>
        <v>0</v>
      </c>
      <c r="AD101">
        <f>IF(AND('1 Org'!F101&gt;Tmin, NOT('1 Org'!$I101="")),'1 Org'!$I101,0)</f>
        <v>0</v>
      </c>
      <c r="AE101">
        <f>IF(AND('1 Org'!C101&lt;Tmax, NOT('1 Org'!$H101="")),'1 Org'!$H101,4)</f>
        <v>4</v>
      </c>
      <c r="AF101">
        <f>IF(AND('1 Org'!D101&lt;Tmax, NOT('1 Org'!$H101="")),'1 Org'!$H101,4)</f>
        <v>4</v>
      </c>
      <c r="AG101">
        <f>IF(AND('1 Org'!E101&lt;Tmax, NOT('1 Org'!$H101="")),'1 Org'!$H101,4)</f>
        <v>4</v>
      </c>
      <c r="AH101">
        <f>IF(AND('1 Org'!F101&lt;Tmax, NOT('1 Org'!$H101="")),'1 Org'!$H101,4)</f>
        <v>4</v>
      </c>
      <c r="AI101"/>
      <c r="AJ101" s="213"/>
      <c r="AK101" s="213"/>
      <c r="AL101" s="213"/>
      <c r="AM101" s="213"/>
      <c r="AN101" s="213"/>
    </row>
    <row r="102" spans="1:40" ht="40.799999999999997" x14ac:dyDescent="0.25">
      <c r="A102" s="164" t="s">
        <v>1463</v>
      </c>
      <c r="B102" s="128" t="s">
        <v>352</v>
      </c>
      <c r="C102" s="243"/>
      <c r="D102" s="243"/>
      <c r="E102" s="243"/>
      <c r="F102" s="243"/>
      <c r="G102" s="133">
        <v>2</v>
      </c>
      <c r="H102" s="133"/>
      <c r="I102" s="133"/>
      <c r="J102" s="136" t="s">
        <v>6939</v>
      </c>
      <c r="L102" s="227"/>
      <c r="M102" s="227"/>
      <c r="N102" s="227"/>
      <c r="O102" s="227"/>
      <c r="P102" s="227"/>
      <c r="Q102" s="227"/>
      <c r="R102" s="227"/>
      <c r="S102" s="227"/>
      <c r="T102" s="227"/>
      <c r="U102" s="227"/>
      <c r="V102" s="227"/>
      <c r="W102" s="227"/>
      <c r="X102" s="227"/>
      <c r="Y102" s="227"/>
      <c r="Z102" s="227"/>
      <c r="AA102">
        <f>IF(AND('1 Org'!C102&gt;Tmin, NOT('1 Org'!$I102="")),'1 Org'!$I102,0)</f>
        <v>0</v>
      </c>
      <c r="AB102">
        <f>IF(AND('1 Org'!D102&gt;Tmin, NOT('1 Org'!$I102="")),'1 Org'!$I102,0)</f>
        <v>0</v>
      </c>
      <c r="AC102">
        <f>IF(AND('1 Org'!E102&gt;Tmin, NOT('1 Org'!$I102="")),'1 Org'!$I102,0)</f>
        <v>0</v>
      </c>
      <c r="AD102">
        <f>IF(AND('1 Org'!F102&gt;Tmin, NOT('1 Org'!$I102="")),'1 Org'!$I102,0)</f>
        <v>0</v>
      </c>
      <c r="AE102">
        <f>IF(AND('1 Org'!C102&lt;Tmax, NOT('1 Org'!$H102="")),'1 Org'!$H102,4)</f>
        <v>4</v>
      </c>
      <c r="AF102">
        <f>IF(AND('1 Org'!D102&lt;Tmax, NOT('1 Org'!$H102="")),'1 Org'!$H102,4)</f>
        <v>4</v>
      </c>
      <c r="AG102">
        <f>IF(AND('1 Org'!E102&lt;Tmax, NOT('1 Org'!$H102="")),'1 Org'!$H102,4)</f>
        <v>4</v>
      </c>
      <c r="AH102">
        <f>IF(AND('1 Org'!F102&lt;Tmax, NOT('1 Org'!$H102="")),'1 Org'!$H102,4)</f>
        <v>4</v>
      </c>
      <c r="AI102"/>
      <c r="AJ102" s="213"/>
      <c r="AK102" s="213"/>
      <c r="AL102" s="213"/>
      <c r="AM102" s="213"/>
      <c r="AN102" s="213"/>
    </row>
    <row r="103" spans="1:40" ht="20.399999999999999" x14ac:dyDescent="0.25">
      <c r="A103" s="164" t="s">
        <v>1464</v>
      </c>
      <c r="B103" s="128" t="s">
        <v>6940</v>
      </c>
      <c r="C103" s="243"/>
      <c r="D103" s="243"/>
      <c r="E103" s="243"/>
      <c r="F103" s="243"/>
      <c r="G103" s="133">
        <v>4</v>
      </c>
      <c r="H103" s="133"/>
      <c r="I103" s="133"/>
      <c r="J103" s="136" t="s">
        <v>6939</v>
      </c>
      <c r="L103" s="227"/>
      <c r="M103" s="227"/>
      <c r="N103" s="227"/>
      <c r="O103" s="227"/>
      <c r="P103" s="227"/>
      <c r="Q103" s="227"/>
      <c r="R103" s="227"/>
      <c r="S103" s="227"/>
      <c r="T103" s="227"/>
      <c r="U103" s="227"/>
      <c r="V103" s="227"/>
      <c r="W103" s="227"/>
      <c r="X103" s="227"/>
      <c r="Y103" s="227"/>
      <c r="Z103" s="227"/>
      <c r="AA103">
        <f>IF(AND('1 Org'!C103&gt;Tmin, NOT('1 Org'!$I103="")),'1 Org'!$I103,0)</f>
        <v>0</v>
      </c>
      <c r="AB103">
        <f>IF(AND('1 Org'!D103&gt;Tmin, NOT('1 Org'!$I103="")),'1 Org'!$I103,0)</f>
        <v>0</v>
      </c>
      <c r="AC103">
        <f>IF(AND('1 Org'!E103&gt;Tmin, NOT('1 Org'!$I103="")),'1 Org'!$I103,0)</f>
        <v>0</v>
      </c>
      <c r="AD103">
        <f>IF(AND('1 Org'!F103&gt;Tmin, NOT('1 Org'!$I103="")),'1 Org'!$I103,0)</f>
        <v>0</v>
      </c>
      <c r="AE103">
        <f>IF(AND('1 Org'!C103&lt;Tmax, NOT('1 Org'!$H103="")),'1 Org'!$H103,4)</f>
        <v>4</v>
      </c>
      <c r="AF103">
        <f>IF(AND('1 Org'!D103&lt;Tmax, NOT('1 Org'!$H103="")),'1 Org'!$H103,4)</f>
        <v>4</v>
      </c>
      <c r="AG103">
        <f>IF(AND('1 Org'!E103&lt;Tmax, NOT('1 Org'!$H103="")),'1 Org'!$H103,4)</f>
        <v>4</v>
      </c>
      <c r="AH103">
        <f>IF(AND('1 Org'!F103&lt;Tmax, NOT('1 Org'!$H103="")),'1 Org'!$H103,4)</f>
        <v>4</v>
      </c>
      <c r="AI103"/>
      <c r="AJ103" s="213"/>
      <c r="AK103" s="213"/>
      <c r="AL103" s="213"/>
      <c r="AM103" s="213"/>
      <c r="AN103" s="213"/>
    </row>
    <row r="104" spans="1:40" ht="20.399999999999999" x14ac:dyDescent="0.25">
      <c r="A104" s="164" t="s">
        <v>1465</v>
      </c>
      <c r="B104" s="128" t="s">
        <v>6941</v>
      </c>
      <c r="C104" s="243"/>
      <c r="D104" s="243"/>
      <c r="E104" s="243"/>
      <c r="F104" s="243"/>
      <c r="G104" s="133">
        <v>2</v>
      </c>
      <c r="H104" s="133"/>
      <c r="I104" s="133"/>
      <c r="J104" s="136" t="s">
        <v>6942</v>
      </c>
      <c r="L104" s="227"/>
      <c r="M104" s="227"/>
      <c r="N104" s="227"/>
      <c r="O104" s="227"/>
      <c r="P104" s="227"/>
      <c r="Q104" s="227"/>
      <c r="R104" s="227"/>
      <c r="S104" s="227"/>
      <c r="T104" s="227"/>
      <c r="U104" s="227"/>
      <c r="V104" s="227"/>
      <c r="W104" s="227"/>
      <c r="X104" s="227"/>
      <c r="Y104" s="227"/>
      <c r="Z104" s="227"/>
      <c r="AA104">
        <f>IF(AND('1 Org'!C104&gt;Tmin, NOT('1 Org'!$I104="")),'1 Org'!$I104,0)</f>
        <v>0</v>
      </c>
      <c r="AB104">
        <f>IF(AND('1 Org'!D104&gt;Tmin, NOT('1 Org'!$I104="")),'1 Org'!$I104,0)</f>
        <v>0</v>
      </c>
      <c r="AC104">
        <f>IF(AND('1 Org'!E104&gt;Tmin, NOT('1 Org'!$I104="")),'1 Org'!$I104,0)</f>
        <v>0</v>
      </c>
      <c r="AD104">
        <f>IF(AND('1 Org'!F104&gt;Tmin, NOT('1 Org'!$I104="")),'1 Org'!$I104,0)</f>
        <v>0</v>
      </c>
      <c r="AE104">
        <f>IF(AND('1 Org'!C104&lt;Tmax, NOT('1 Org'!$H104="")),'1 Org'!$H104,4)</f>
        <v>4</v>
      </c>
      <c r="AF104">
        <f>IF(AND('1 Org'!D104&lt;Tmax, NOT('1 Org'!$H104="")),'1 Org'!$H104,4)</f>
        <v>4</v>
      </c>
      <c r="AG104">
        <f>IF(AND('1 Org'!E104&lt;Tmax, NOT('1 Org'!$H104="")),'1 Org'!$H104,4)</f>
        <v>4</v>
      </c>
      <c r="AH104">
        <f>IF(AND('1 Org'!F104&lt;Tmax, NOT('1 Org'!$H104="")),'1 Org'!$H104,4)</f>
        <v>4</v>
      </c>
      <c r="AI104"/>
      <c r="AJ104" s="213"/>
      <c r="AK104" s="213"/>
      <c r="AL104" s="213"/>
      <c r="AM104" s="213"/>
      <c r="AN104" s="213"/>
    </row>
    <row r="105" spans="1:40" ht="20.399999999999999" x14ac:dyDescent="0.25">
      <c r="A105" s="164" t="s">
        <v>1466</v>
      </c>
      <c r="B105" s="128" t="s">
        <v>6943</v>
      </c>
      <c r="C105" s="243"/>
      <c r="D105" s="243"/>
      <c r="E105" s="243"/>
      <c r="F105" s="243"/>
      <c r="G105" s="133">
        <v>4</v>
      </c>
      <c r="H105" s="133"/>
      <c r="I105" s="133"/>
      <c r="J105" s="136" t="s">
        <v>6942</v>
      </c>
      <c r="L105" s="227"/>
      <c r="M105" s="227"/>
      <c r="N105" s="227"/>
      <c r="O105" s="227"/>
      <c r="P105" s="227"/>
      <c r="Q105" s="227"/>
      <c r="R105" s="227"/>
      <c r="S105" s="227"/>
      <c r="T105" s="227"/>
      <c r="U105" s="227"/>
      <c r="V105" s="227"/>
      <c r="W105" s="227"/>
      <c r="X105" s="227"/>
      <c r="Y105" s="227"/>
      <c r="Z105" s="227"/>
      <c r="AA105">
        <f>IF(AND('1 Org'!C105&gt;Tmin, NOT('1 Org'!$I105="")),'1 Org'!$I105,0)</f>
        <v>0</v>
      </c>
      <c r="AB105">
        <f>IF(AND('1 Org'!D105&gt;Tmin, NOT('1 Org'!$I105="")),'1 Org'!$I105,0)</f>
        <v>0</v>
      </c>
      <c r="AC105">
        <f>IF(AND('1 Org'!E105&gt;Tmin, NOT('1 Org'!$I105="")),'1 Org'!$I105,0)</f>
        <v>0</v>
      </c>
      <c r="AD105">
        <f>IF(AND('1 Org'!F105&gt;Tmin, NOT('1 Org'!$I105="")),'1 Org'!$I105,0)</f>
        <v>0</v>
      </c>
      <c r="AE105">
        <f>IF(AND('1 Org'!C105&lt;Tmax, NOT('1 Org'!$H105="")),'1 Org'!$H105,4)</f>
        <v>4</v>
      </c>
      <c r="AF105">
        <f>IF(AND('1 Org'!D105&lt;Tmax, NOT('1 Org'!$H105="")),'1 Org'!$H105,4)</f>
        <v>4</v>
      </c>
      <c r="AG105">
        <f>IF(AND('1 Org'!E105&lt;Tmax, NOT('1 Org'!$H105="")),'1 Org'!$H105,4)</f>
        <v>4</v>
      </c>
      <c r="AH105">
        <f>IF(AND('1 Org'!F105&lt;Tmax, NOT('1 Org'!$H105="")),'1 Org'!$H105,4)</f>
        <v>4</v>
      </c>
      <c r="AI105"/>
      <c r="AJ105" s="213"/>
      <c r="AK105" s="213"/>
      <c r="AL105" s="213"/>
      <c r="AM105" s="213"/>
      <c r="AN105" s="213"/>
    </row>
    <row r="106" spans="1:40" ht="30.6" x14ac:dyDescent="0.25">
      <c r="A106" s="164" t="s">
        <v>1467</v>
      </c>
      <c r="B106" s="128" t="s">
        <v>6944</v>
      </c>
      <c r="C106" s="243"/>
      <c r="D106" s="243"/>
      <c r="E106" s="243"/>
      <c r="F106" s="243"/>
      <c r="G106" s="133">
        <v>1</v>
      </c>
      <c r="H106" s="133"/>
      <c r="I106" s="133"/>
      <c r="J106" s="136" t="s">
        <v>6945</v>
      </c>
      <c r="L106" s="227"/>
      <c r="M106" s="227"/>
      <c r="N106" s="227"/>
      <c r="O106" s="227"/>
      <c r="P106" s="227"/>
      <c r="Q106" s="227"/>
      <c r="R106" s="227"/>
      <c r="S106" s="227"/>
      <c r="T106" s="227"/>
      <c r="U106" s="227"/>
      <c r="V106" s="227"/>
      <c r="W106" s="227"/>
      <c r="X106" s="227"/>
      <c r="Y106" s="227"/>
      <c r="Z106" s="227"/>
      <c r="AA106">
        <f>IF(AND('1 Org'!C106&gt;Tmin, NOT('1 Org'!$I106="")),'1 Org'!$I106,0)</f>
        <v>0</v>
      </c>
      <c r="AB106">
        <f>IF(AND('1 Org'!D106&gt;Tmin, NOT('1 Org'!$I106="")),'1 Org'!$I106,0)</f>
        <v>0</v>
      </c>
      <c r="AC106">
        <f>IF(AND('1 Org'!E106&gt;Tmin, NOT('1 Org'!$I106="")),'1 Org'!$I106,0)</f>
        <v>0</v>
      </c>
      <c r="AD106">
        <f>IF(AND('1 Org'!F106&gt;Tmin, NOT('1 Org'!$I106="")),'1 Org'!$I106,0)</f>
        <v>0</v>
      </c>
      <c r="AE106">
        <f>IF(AND('1 Org'!C106&lt;Tmax, NOT('1 Org'!$H106="")),'1 Org'!$H106,4)</f>
        <v>4</v>
      </c>
      <c r="AF106">
        <f>IF(AND('1 Org'!D106&lt;Tmax, NOT('1 Org'!$H106="")),'1 Org'!$H106,4)</f>
        <v>4</v>
      </c>
      <c r="AG106">
        <f>IF(AND('1 Org'!E106&lt;Tmax, NOT('1 Org'!$H106="")),'1 Org'!$H106,4)</f>
        <v>4</v>
      </c>
      <c r="AH106">
        <f>IF(AND('1 Org'!F106&lt;Tmax, NOT('1 Org'!$H106="")),'1 Org'!$H106,4)</f>
        <v>4</v>
      </c>
      <c r="AI106"/>
      <c r="AJ106" s="213"/>
      <c r="AK106" s="213"/>
      <c r="AL106" s="213"/>
      <c r="AM106" s="213"/>
      <c r="AN106" s="213"/>
    </row>
    <row r="107" spans="1:40" x14ac:dyDescent="0.25">
      <c r="A107" s="164" t="s">
        <v>6946</v>
      </c>
      <c r="B107" s="128" t="s">
        <v>6947</v>
      </c>
      <c r="C107" s="243"/>
      <c r="D107" s="243"/>
      <c r="E107" s="243"/>
      <c r="F107" s="243"/>
      <c r="G107" s="133">
        <v>4</v>
      </c>
      <c r="H107" s="133"/>
      <c r="I107" s="133"/>
      <c r="J107" s="136" t="s">
        <v>6945</v>
      </c>
      <c r="L107" s="227"/>
      <c r="M107" s="227"/>
      <c r="N107" s="227"/>
      <c r="O107" s="227"/>
      <c r="P107" s="227"/>
      <c r="Q107" s="227"/>
      <c r="R107" s="227"/>
      <c r="S107" s="227"/>
      <c r="T107" s="227"/>
      <c r="U107" s="227"/>
      <c r="V107" s="227"/>
      <c r="W107" s="227"/>
      <c r="X107" s="227"/>
      <c r="Y107" s="227"/>
      <c r="Z107" s="227"/>
      <c r="AA107">
        <f>IF(AND('1 Org'!C107&gt;Tmin, NOT('1 Org'!$I107="")),'1 Org'!$I107,0)</f>
        <v>0</v>
      </c>
      <c r="AB107">
        <f>IF(AND('1 Org'!D107&gt;Tmin, NOT('1 Org'!$I107="")),'1 Org'!$I107,0)</f>
        <v>0</v>
      </c>
      <c r="AC107">
        <f>IF(AND('1 Org'!E107&gt;Tmin, NOT('1 Org'!$I107="")),'1 Org'!$I107,0)</f>
        <v>0</v>
      </c>
      <c r="AD107">
        <f>IF(AND('1 Org'!F107&gt;Tmin, NOT('1 Org'!$I107="")),'1 Org'!$I107,0)</f>
        <v>0</v>
      </c>
      <c r="AE107">
        <f>IF(AND('1 Org'!C107&lt;Tmax, NOT('1 Org'!$H107="")),'1 Org'!$H107,4)</f>
        <v>4</v>
      </c>
      <c r="AF107">
        <f>IF(AND('1 Org'!D107&lt;Tmax, NOT('1 Org'!$H107="")),'1 Org'!$H107,4)</f>
        <v>4</v>
      </c>
      <c r="AG107">
        <f>IF(AND('1 Org'!E107&lt;Tmax, NOT('1 Org'!$H107="")),'1 Org'!$H107,4)</f>
        <v>4</v>
      </c>
      <c r="AH107">
        <f>IF(AND('1 Org'!F107&lt;Tmax, NOT('1 Org'!$H107="")),'1 Org'!$H107,4)</f>
        <v>4</v>
      </c>
      <c r="AI107"/>
      <c r="AJ107" s="213"/>
      <c r="AK107" s="213"/>
      <c r="AL107" s="213"/>
      <c r="AM107" s="213"/>
      <c r="AN107" s="213"/>
    </row>
    <row r="108" spans="1:40" x14ac:dyDescent="0.25">
      <c r="A108" s="164" t="s">
        <v>676</v>
      </c>
      <c r="B108" s="128" t="s">
        <v>1511</v>
      </c>
      <c r="C108" s="243"/>
      <c r="D108" s="243"/>
      <c r="E108" s="243"/>
      <c r="F108" s="243"/>
      <c r="G108" s="133"/>
      <c r="H108" s="133"/>
      <c r="I108" s="133"/>
      <c r="J108" s="136"/>
      <c r="L108" s="227"/>
      <c r="M108" s="227"/>
      <c r="N108" s="227"/>
      <c r="O108" s="227"/>
      <c r="P108" s="227"/>
      <c r="Q108" s="227"/>
      <c r="R108" s="227"/>
      <c r="S108" s="227"/>
      <c r="T108" s="227"/>
      <c r="U108" s="227"/>
      <c r="V108" s="227"/>
      <c r="W108" s="227"/>
      <c r="X108" s="227"/>
      <c r="Y108" s="227"/>
      <c r="Z108" s="227"/>
      <c r="AA108"/>
      <c r="AB108"/>
      <c r="AC108"/>
      <c r="AD108"/>
      <c r="AE108"/>
      <c r="AF108"/>
      <c r="AG108"/>
      <c r="AH108"/>
      <c r="AI108"/>
      <c r="AJ108" s="213"/>
      <c r="AK108" s="213"/>
      <c r="AL108" s="213"/>
      <c r="AM108" s="213"/>
      <c r="AN108" s="213"/>
    </row>
    <row r="109" spans="1:40" ht="49.5" customHeight="1" x14ac:dyDescent="0.25">
      <c r="A109" s="164" t="s">
        <v>1468</v>
      </c>
      <c r="B109" s="128" t="s">
        <v>6948</v>
      </c>
      <c r="C109" s="243"/>
      <c r="D109" s="243"/>
      <c r="E109" s="243"/>
      <c r="F109" s="243"/>
      <c r="G109" s="133">
        <v>4</v>
      </c>
      <c r="H109" s="133"/>
      <c r="I109" s="133"/>
      <c r="J109" s="136" t="s">
        <v>6949</v>
      </c>
      <c r="L109" s="227"/>
      <c r="M109" s="227"/>
      <c r="N109" s="227"/>
      <c r="O109" s="227"/>
      <c r="P109" s="227"/>
      <c r="Q109" s="227"/>
      <c r="R109" s="227"/>
      <c r="S109" s="227"/>
      <c r="T109" s="227"/>
      <c r="U109" s="227"/>
      <c r="V109" s="227"/>
      <c r="W109" s="227"/>
      <c r="X109" s="227"/>
      <c r="Y109" s="227"/>
      <c r="Z109" s="227"/>
      <c r="AA109">
        <f>IF(AND('1 Org'!C109&gt;Tmin, NOT('1 Org'!$I109="")),'1 Org'!$I109,0)</f>
        <v>0</v>
      </c>
      <c r="AB109">
        <f>IF(AND('1 Org'!D109&gt;Tmin, NOT('1 Org'!$I109="")),'1 Org'!$I109,0)</f>
        <v>0</v>
      </c>
      <c r="AC109">
        <f>IF(AND('1 Org'!E109&gt;Tmin, NOT('1 Org'!$I109="")),'1 Org'!$I109,0)</f>
        <v>0</v>
      </c>
      <c r="AD109">
        <f>IF(AND('1 Org'!F109&gt;Tmin, NOT('1 Org'!$I109="")),'1 Org'!$I109,0)</f>
        <v>0</v>
      </c>
      <c r="AE109">
        <f>IF(AND('1 Org'!C109&lt;Tmax, NOT('1 Org'!$H109="")),'1 Org'!$H109,4)</f>
        <v>4</v>
      </c>
      <c r="AF109">
        <f>IF(AND('1 Org'!D109&lt;Tmax, NOT('1 Org'!$H109="")),'1 Org'!$H109,4)</f>
        <v>4</v>
      </c>
      <c r="AG109">
        <f>IF(AND('1 Org'!E109&lt;Tmax, NOT('1 Org'!$H109="")),'1 Org'!$H109,4)</f>
        <v>4</v>
      </c>
      <c r="AH109">
        <f>IF(AND('1 Org'!F109&lt;Tmax, NOT('1 Org'!$H109="")),'1 Org'!$H109,4)</f>
        <v>4</v>
      </c>
      <c r="AI109"/>
      <c r="AJ109" s="213"/>
      <c r="AK109" s="213"/>
      <c r="AL109" s="213"/>
      <c r="AM109" s="213"/>
      <c r="AN109" s="213"/>
    </row>
    <row r="110" spans="1:40" ht="20.399999999999999" x14ac:dyDescent="0.25">
      <c r="A110" s="164" t="s">
        <v>1469</v>
      </c>
      <c r="B110" s="128" t="s">
        <v>6950</v>
      </c>
      <c r="C110" s="243"/>
      <c r="D110" s="243"/>
      <c r="E110" s="243"/>
      <c r="F110" s="243"/>
      <c r="G110" s="133">
        <v>4</v>
      </c>
      <c r="H110" s="133"/>
      <c r="I110" s="133"/>
      <c r="J110" s="136" t="s">
        <v>6949</v>
      </c>
      <c r="L110" s="227"/>
      <c r="M110" s="227"/>
      <c r="N110" s="227"/>
      <c r="O110" s="227"/>
      <c r="P110" s="227"/>
      <c r="Q110" s="227"/>
      <c r="R110" s="227"/>
      <c r="S110" s="227"/>
      <c r="T110" s="227"/>
      <c r="U110" s="227"/>
      <c r="V110" s="227"/>
      <c r="W110" s="227"/>
      <c r="X110" s="227"/>
      <c r="Y110" s="227"/>
      <c r="Z110" s="227"/>
      <c r="AA110">
        <f>IF(AND('1 Org'!C110&gt;Tmin, NOT('1 Org'!$I110="")),'1 Org'!$I110,0)</f>
        <v>0</v>
      </c>
      <c r="AB110">
        <f>IF(AND('1 Org'!D110&gt;Tmin, NOT('1 Org'!$I110="")),'1 Org'!$I110,0)</f>
        <v>0</v>
      </c>
      <c r="AC110">
        <f>IF(AND('1 Org'!E110&gt;Tmin, NOT('1 Org'!$I110="")),'1 Org'!$I110,0)</f>
        <v>0</v>
      </c>
      <c r="AD110">
        <f>IF(AND('1 Org'!F110&gt;Tmin, NOT('1 Org'!$I110="")),'1 Org'!$I110,0)</f>
        <v>0</v>
      </c>
      <c r="AE110">
        <f>IF(AND('1 Org'!C110&lt;Tmax, NOT('1 Org'!$H110="")),'1 Org'!$H110,4)</f>
        <v>4</v>
      </c>
      <c r="AF110">
        <f>IF(AND('1 Org'!D110&lt;Tmax, NOT('1 Org'!$H110="")),'1 Org'!$H110,4)</f>
        <v>4</v>
      </c>
      <c r="AG110">
        <f>IF(AND('1 Org'!E110&lt;Tmax, NOT('1 Org'!$H110="")),'1 Org'!$H110,4)</f>
        <v>4</v>
      </c>
      <c r="AH110">
        <f>IF(AND('1 Org'!F110&lt;Tmax, NOT('1 Org'!$H110="")),'1 Org'!$H110,4)</f>
        <v>4</v>
      </c>
      <c r="AI110"/>
      <c r="AJ110" s="213"/>
      <c r="AK110" s="213"/>
      <c r="AL110" s="213"/>
      <c r="AM110" s="213"/>
      <c r="AN110" s="213"/>
    </row>
    <row r="111" spans="1:40" ht="20.399999999999999" x14ac:dyDescent="0.25">
      <c r="A111" s="164" t="s">
        <v>1470</v>
      </c>
      <c r="B111" s="128" t="s">
        <v>6951</v>
      </c>
      <c r="C111" s="243"/>
      <c r="D111" s="243"/>
      <c r="E111" s="243"/>
      <c r="F111" s="243"/>
      <c r="G111" s="133">
        <v>1</v>
      </c>
      <c r="H111" s="133"/>
      <c r="I111" s="133"/>
      <c r="J111" s="136" t="s">
        <v>6952</v>
      </c>
      <c r="L111" s="227"/>
      <c r="M111" s="227"/>
      <c r="N111" s="227"/>
      <c r="O111" s="227"/>
      <c r="P111" s="227"/>
      <c r="Q111" s="227"/>
      <c r="R111" s="227"/>
      <c r="S111" s="227"/>
      <c r="T111" s="227"/>
      <c r="U111" s="227"/>
      <c r="V111" s="227"/>
      <c r="W111" s="227"/>
      <c r="X111" s="227"/>
      <c r="Y111" s="227"/>
      <c r="Z111" s="227"/>
      <c r="AA111">
        <f>IF(AND('1 Org'!C111&gt;Tmin, NOT('1 Org'!$I111="")),'1 Org'!$I111,0)</f>
        <v>0</v>
      </c>
      <c r="AB111">
        <f>IF(AND('1 Org'!D111&gt;Tmin, NOT('1 Org'!$I111="")),'1 Org'!$I111,0)</f>
        <v>0</v>
      </c>
      <c r="AC111">
        <f>IF(AND('1 Org'!E111&gt;Tmin, NOT('1 Org'!$I111="")),'1 Org'!$I111,0)</f>
        <v>0</v>
      </c>
      <c r="AD111">
        <f>IF(AND('1 Org'!F111&gt;Tmin, NOT('1 Org'!$I111="")),'1 Org'!$I111,0)</f>
        <v>0</v>
      </c>
      <c r="AE111">
        <f>IF(AND('1 Org'!C111&lt;Tmax, NOT('1 Org'!$H111="")),'1 Org'!$H111,4)</f>
        <v>4</v>
      </c>
      <c r="AF111">
        <f>IF(AND('1 Org'!D111&lt;Tmax, NOT('1 Org'!$H111="")),'1 Org'!$H111,4)</f>
        <v>4</v>
      </c>
      <c r="AG111">
        <f>IF(AND('1 Org'!E111&lt;Tmax, NOT('1 Org'!$H111="")),'1 Org'!$H111,4)</f>
        <v>4</v>
      </c>
      <c r="AH111">
        <f>IF(AND('1 Org'!F111&lt;Tmax, NOT('1 Org'!$H111="")),'1 Org'!$H111,4)</f>
        <v>4</v>
      </c>
      <c r="AI111"/>
      <c r="AJ111" s="213"/>
      <c r="AK111" s="213"/>
      <c r="AL111" s="213"/>
      <c r="AM111" s="213"/>
      <c r="AN111" s="213"/>
    </row>
    <row r="112" spans="1:40" x14ac:dyDescent="0.25">
      <c r="A112" s="164" t="s">
        <v>1471</v>
      </c>
      <c r="B112" s="128" t="s">
        <v>6953</v>
      </c>
      <c r="C112" s="243"/>
      <c r="D112" s="243"/>
      <c r="E112" s="243"/>
      <c r="F112" s="243"/>
      <c r="G112" s="133">
        <v>4</v>
      </c>
      <c r="H112" s="133"/>
      <c r="I112" s="133"/>
      <c r="J112" s="136" t="s">
        <v>6952</v>
      </c>
      <c r="L112" s="227"/>
      <c r="M112" s="227"/>
      <c r="N112" s="227"/>
      <c r="O112" s="227"/>
      <c r="P112" s="227"/>
      <c r="Q112" s="227"/>
      <c r="R112" s="227"/>
      <c r="S112" s="227"/>
      <c r="T112" s="227"/>
      <c r="U112" s="227"/>
      <c r="V112" s="227"/>
      <c r="W112" s="227"/>
      <c r="X112" s="227"/>
      <c r="Y112" s="227"/>
      <c r="Z112" s="227"/>
      <c r="AA112">
        <f>IF(AND('1 Org'!C112&gt;Tmin, NOT('1 Org'!$I112="")),'1 Org'!$I112,0)</f>
        <v>0</v>
      </c>
      <c r="AB112">
        <f>IF(AND('1 Org'!D112&gt;Tmin, NOT('1 Org'!$I112="")),'1 Org'!$I112,0)</f>
        <v>0</v>
      </c>
      <c r="AC112">
        <f>IF(AND('1 Org'!E112&gt;Tmin, NOT('1 Org'!$I112="")),'1 Org'!$I112,0)</f>
        <v>0</v>
      </c>
      <c r="AD112">
        <f>IF(AND('1 Org'!F112&gt;Tmin, NOT('1 Org'!$I112="")),'1 Org'!$I112,0)</f>
        <v>0</v>
      </c>
      <c r="AE112">
        <f>IF(AND('1 Org'!C112&lt;Tmax, NOT('1 Org'!$H112="")),'1 Org'!$H112,4)</f>
        <v>4</v>
      </c>
      <c r="AF112">
        <f>IF(AND('1 Org'!D112&lt;Tmax, NOT('1 Org'!$H112="")),'1 Org'!$H112,4)</f>
        <v>4</v>
      </c>
      <c r="AG112">
        <f>IF(AND('1 Org'!E112&lt;Tmax, NOT('1 Org'!$H112="")),'1 Org'!$H112,4)</f>
        <v>4</v>
      </c>
      <c r="AH112">
        <f>IF(AND('1 Org'!F112&lt;Tmax, NOT('1 Org'!$H112="")),'1 Org'!$H112,4)</f>
        <v>4</v>
      </c>
      <c r="AI112"/>
      <c r="AJ112" s="213"/>
      <c r="AK112" s="213"/>
      <c r="AL112" s="213"/>
      <c r="AM112" s="213"/>
      <c r="AN112" s="213"/>
    </row>
    <row r="113" spans="1:40" x14ac:dyDescent="0.25">
      <c r="A113" s="225" t="s">
        <v>1472</v>
      </c>
      <c r="B113" s="309" t="s">
        <v>414</v>
      </c>
      <c r="C113" s="243"/>
      <c r="D113" s="243"/>
      <c r="E113" s="243"/>
      <c r="F113" s="243"/>
      <c r="G113" s="133"/>
      <c r="H113" s="133"/>
      <c r="I113" s="133"/>
      <c r="J113" s="136"/>
      <c r="L113" s="227"/>
      <c r="M113" s="227"/>
      <c r="N113" s="227"/>
      <c r="O113" s="227"/>
      <c r="P113" s="227"/>
      <c r="Q113" s="227"/>
      <c r="R113" s="227"/>
      <c r="S113" s="227"/>
      <c r="T113" s="227"/>
      <c r="U113" s="227"/>
      <c r="V113" s="227"/>
      <c r="W113" s="227"/>
      <c r="X113" s="227"/>
      <c r="Y113" s="227"/>
      <c r="Z113" s="227"/>
      <c r="AA113"/>
      <c r="AB113"/>
      <c r="AC113"/>
      <c r="AD113"/>
      <c r="AE113"/>
      <c r="AF113"/>
      <c r="AG113"/>
      <c r="AH113"/>
      <c r="AI113"/>
      <c r="AJ113" s="213"/>
      <c r="AK113" s="213"/>
      <c r="AL113" s="213"/>
      <c r="AM113" s="213"/>
      <c r="AN113" s="213"/>
    </row>
    <row r="114" spans="1:40" x14ac:dyDescent="0.25">
      <c r="A114" s="164" t="s">
        <v>697</v>
      </c>
      <c r="B114" s="128" t="s">
        <v>287</v>
      </c>
      <c r="C114" s="243"/>
      <c r="D114" s="243"/>
      <c r="E114" s="243"/>
      <c r="F114" s="243"/>
      <c r="G114" s="133"/>
      <c r="H114" s="133"/>
      <c r="I114" s="133"/>
      <c r="J114" s="136"/>
      <c r="L114" s="227"/>
      <c r="M114" s="227"/>
      <c r="N114" s="227"/>
      <c r="O114" s="227"/>
      <c r="P114" s="227"/>
      <c r="Q114" s="227"/>
      <c r="R114" s="227"/>
      <c r="S114" s="227"/>
      <c r="T114" s="227"/>
      <c r="U114" s="227"/>
      <c r="V114" s="227"/>
      <c r="W114" s="227"/>
      <c r="X114" s="227"/>
      <c r="Y114" s="227"/>
      <c r="Z114" s="227"/>
      <c r="AA114"/>
      <c r="AB114"/>
      <c r="AC114"/>
      <c r="AD114"/>
      <c r="AE114"/>
      <c r="AF114"/>
      <c r="AG114"/>
      <c r="AH114"/>
      <c r="AI114"/>
      <c r="AJ114" s="213"/>
      <c r="AK114" s="213"/>
      <c r="AL114" s="213"/>
      <c r="AM114" s="213"/>
      <c r="AN114" s="213"/>
    </row>
    <row r="115" spans="1:40" ht="30.6" x14ac:dyDescent="0.25">
      <c r="A115" s="164" t="s">
        <v>1473</v>
      </c>
      <c r="B115" s="128" t="s">
        <v>1474</v>
      </c>
      <c r="C115" s="243">
        <v>0</v>
      </c>
      <c r="D115" s="243"/>
      <c r="E115" s="243"/>
      <c r="F115" s="243"/>
      <c r="G115" s="133">
        <v>3</v>
      </c>
      <c r="H115" s="133"/>
      <c r="I115" s="133"/>
      <c r="J115" s="136"/>
      <c r="K115" s="135" t="s">
        <v>7529</v>
      </c>
      <c r="AA115">
        <f>IF(AND('1 Org'!C115&gt;Tmin, NOT('1 Org'!$I115="")),'1 Org'!$I115,0)</f>
        <v>0</v>
      </c>
      <c r="AB115">
        <f>IF(AND('1 Org'!D115&gt;Tmin, NOT('1 Org'!$I115="")),'1 Org'!$I115,0)</f>
        <v>0</v>
      </c>
      <c r="AC115">
        <f>IF(AND('1 Org'!E115&gt;Tmin, NOT('1 Org'!$I115="")),'1 Org'!$I115,0)</f>
        <v>0</v>
      </c>
      <c r="AD115">
        <f>IF(AND('1 Org'!F115&gt;Tmin, NOT('1 Org'!$I115="")),'1 Org'!$I115,0)</f>
        <v>0</v>
      </c>
      <c r="AE115">
        <f>IF(AND('1 Org'!C115&lt;Tmax, NOT('1 Org'!$H115="")),'1 Org'!$H115,4)</f>
        <v>4</v>
      </c>
      <c r="AF115">
        <f>IF(AND('1 Org'!D115&lt;Tmax, NOT('1 Org'!$H115="")),'1 Org'!$H115,4)</f>
        <v>4</v>
      </c>
      <c r="AG115">
        <f>IF(AND('1 Org'!E115&lt;Tmax, NOT('1 Org'!$H115="")),'1 Org'!$H115,4)</f>
        <v>4</v>
      </c>
      <c r="AH115">
        <f>IF(AND('1 Org'!F115&lt;Tmax, NOT('1 Org'!$H115="")),'1 Org'!$H115,4)</f>
        <v>4</v>
      </c>
      <c r="AI115"/>
      <c r="AN115" s="213"/>
    </row>
    <row r="116" spans="1:40" ht="20.399999999999999" x14ac:dyDescent="0.25">
      <c r="A116" s="164" t="s">
        <v>1475</v>
      </c>
      <c r="B116" s="128" t="s">
        <v>7387</v>
      </c>
      <c r="C116" s="243">
        <v>0</v>
      </c>
      <c r="D116" s="243"/>
      <c r="E116" s="243"/>
      <c r="F116" s="243"/>
      <c r="G116" s="133">
        <v>2</v>
      </c>
      <c r="H116" s="133"/>
      <c r="I116" s="133"/>
      <c r="J116" s="136" t="s">
        <v>7025</v>
      </c>
      <c r="K116" s="135" t="s">
        <v>7494</v>
      </c>
      <c r="AA116">
        <f>IF(AND('1 Org'!C116&gt;Tmin, NOT('1 Org'!$I116="")),'1 Org'!$I116,0)</f>
        <v>0</v>
      </c>
      <c r="AB116">
        <f>IF(AND('1 Org'!D116&gt;Tmin, NOT('1 Org'!$I116="")),'1 Org'!$I116,0)</f>
        <v>0</v>
      </c>
      <c r="AC116">
        <f>IF(AND('1 Org'!E116&gt;Tmin, NOT('1 Org'!$I116="")),'1 Org'!$I116,0)</f>
        <v>0</v>
      </c>
      <c r="AD116">
        <f>IF(AND('1 Org'!F116&gt;Tmin, NOT('1 Org'!$I116="")),'1 Org'!$I116,0)</f>
        <v>0</v>
      </c>
      <c r="AE116">
        <f>IF(AND('1 Org'!C116&lt;Tmax, NOT('1 Org'!$H116="")),'1 Org'!$H116,4)</f>
        <v>4</v>
      </c>
      <c r="AF116">
        <f>IF(AND('1 Org'!D116&lt;Tmax, NOT('1 Org'!$H116="")),'1 Org'!$H116,4)</f>
        <v>4</v>
      </c>
      <c r="AG116">
        <f>IF(AND('1 Org'!E116&lt;Tmax, NOT('1 Org'!$H116="")),'1 Org'!$H116,4)</f>
        <v>4</v>
      </c>
      <c r="AH116">
        <f>IF(AND('1 Org'!F116&lt;Tmax, NOT('1 Org'!$H116="")),'1 Org'!$H116,4)</f>
        <v>4</v>
      </c>
      <c r="AI116"/>
      <c r="AN116" s="213"/>
    </row>
    <row r="117" spans="1:40" ht="20.399999999999999" x14ac:dyDescent="0.25">
      <c r="A117" s="164" t="s">
        <v>1476</v>
      </c>
      <c r="B117" s="128" t="s">
        <v>7388</v>
      </c>
      <c r="C117" s="243">
        <v>0</v>
      </c>
      <c r="D117" s="243"/>
      <c r="E117" s="243"/>
      <c r="F117" s="243"/>
      <c r="G117" s="133">
        <v>2</v>
      </c>
      <c r="H117" s="133"/>
      <c r="I117" s="133"/>
      <c r="J117" s="136" t="s">
        <v>7025</v>
      </c>
      <c r="K117" s="135" t="s">
        <v>7494</v>
      </c>
      <c r="AA117">
        <f>IF(AND('1 Org'!C117&gt;Tmin, NOT('1 Org'!$I117="")),'1 Org'!$I117,0)</f>
        <v>0</v>
      </c>
      <c r="AB117">
        <f>IF(AND('1 Org'!D117&gt;Tmin, NOT('1 Org'!$I117="")),'1 Org'!$I117,0)</f>
        <v>0</v>
      </c>
      <c r="AC117">
        <f>IF(AND('1 Org'!E117&gt;Tmin, NOT('1 Org'!$I117="")),'1 Org'!$I117,0)</f>
        <v>0</v>
      </c>
      <c r="AD117">
        <f>IF(AND('1 Org'!F117&gt;Tmin, NOT('1 Org'!$I117="")),'1 Org'!$I117,0)</f>
        <v>0</v>
      </c>
      <c r="AE117">
        <f>IF(AND('1 Org'!C117&lt;Tmax, NOT('1 Org'!$H117="")),'1 Org'!$H117,4)</f>
        <v>4</v>
      </c>
      <c r="AF117">
        <f>IF(AND('1 Org'!D117&lt;Tmax, NOT('1 Org'!$H117="")),'1 Org'!$H117,4)</f>
        <v>4</v>
      </c>
      <c r="AG117">
        <f>IF(AND('1 Org'!E117&lt;Tmax, NOT('1 Org'!$H117="")),'1 Org'!$H117,4)</f>
        <v>4</v>
      </c>
      <c r="AH117">
        <f>IF(AND('1 Org'!F117&lt;Tmax, NOT('1 Org'!$H117="")),'1 Org'!$H117,4)</f>
        <v>4</v>
      </c>
      <c r="AI117"/>
      <c r="AN117" s="213"/>
    </row>
    <row r="118" spans="1:40" ht="20.399999999999999" x14ac:dyDescent="0.25">
      <c r="A118" s="164" t="s">
        <v>1477</v>
      </c>
      <c r="B118" s="128" t="s">
        <v>94</v>
      </c>
      <c r="C118" s="243">
        <v>0</v>
      </c>
      <c r="D118" s="243"/>
      <c r="E118" s="243"/>
      <c r="F118" s="243"/>
      <c r="G118" s="133">
        <v>3</v>
      </c>
      <c r="H118" s="133">
        <v>2</v>
      </c>
      <c r="I118" s="133"/>
      <c r="J118" s="136"/>
      <c r="K118" s="135" t="s">
        <v>7530</v>
      </c>
      <c r="AA118">
        <f>IF(AND('1 Org'!C118&gt;Tmin, NOT('1 Org'!$I118="")),'1 Org'!$I118,0)</f>
        <v>0</v>
      </c>
      <c r="AB118">
        <f>IF(AND('1 Org'!D118&gt;Tmin, NOT('1 Org'!$I118="")),'1 Org'!$I118,0)</f>
        <v>0</v>
      </c>
      <c r="AC118">
        <f>IF(AND('1 Org'!E118&gt;Tmin, NOT('1 Org'!$I118="")),'1 Org'!$I118,0)</f>
        <v>0</v>
      </c>
      <c r="AD118">
        <f>IF(AND('1 Org'!F118&gt;Tmin, NOT('1 Org'!$I118="")),'1 Org'!$I118,0)</f>
        <v>0</v>
      </c>
      <c r="AE118">
        <f>IF(AND('1 Org'!C118&lt;Tmax, NOT('1 Org'!$H118="")),'1 Org'!$H118,4)</f>
        <v>2</v>
      </c>
      <c r="AF118">
        <f>IF(AND('1 Org'!D118&lt;Tmax, NOT('1 Org'!$H118="")),'1 Org'!$H118,4)</f>
        <v>2</v>
      </c>
      <c r="AG118">
        <f>IF(AND('1 Org'!E118&lt;Tmax, NOT('1 Org'!$H118="")),'1 Org'!$H118,4)</f>
        <v>2</v>
      </c>
      <c r="AH118">
        <f>IF(AND('1 Org'!F118&lt;Tmax, NOT('1 Org'!$H118="")),'1 Org'!$H118,4)</f>
        <v>2</v>
      </c>
      <c r="AI118"/>
      <c r="AN118" s="213"/>
    </row>
    <row r="119" spans="1:40" ht="20.399999999999999" x14ac:dyDescent="0.25">
      <c r="A119" s="164" t="s">
        <v>1478</v>
      </c>
      <c r="B119" s="128" t="s">
        <v>429</v>
      </c>
      <c r="C119" s="243">
        <v>0</v>
      </c>
      <c r="D119" s="243"/>
      <c r="E119" s="243"/>
      <c r="F119" s="243"/>
      <c r="G119" s="133">
        <v>3</v>
      </c>
      <c r="H119" s="133">
        <v>2</v>
      </c>
      <c r="I119" s="133"/>
      <c r="J119" s="136"/>
      <c r="K119" s="135" t="s">
        <v>7530</v>
      </c>
      <c r="L119" s="227"/>
      <c r="M119" s="227"/>
      <c r="N119" s="227"/>
      <c r="O119" s="227"/>
      <c r="P119" s="227"/>
      <c r="Q119" s="227"/>
      <c r="R119" s="227"/>
      <c r="S119" s="227"/>
      <c r="T119" s="227"/>
      <c r="U119" s="227"/>
      <c r="V119" s="227"/>
      <c r="W119" s="227"/>
      <c r="X119" s="227"/>
      <c r="Y119" s="227"/>
      <c r="Z119" s="227"/>
      <c r="AA119">
        <f>IF(AND('1 Org'!C119&gt;Tmin, NOT('1 Org'!$I119="")),'1 Org'!$I119,0)</f>
        <v>0</v>
      </c>
      <c r="AB119">
        <f>IF(AND('1 Org'!D119&gt;Tmin, NOT('1 Org'!$I119="")),'1 Org'!$I119,0)</f>
        <v>0</v>
      </c>
      <c r="AC119">
        <f>IF(AND('1 Org'!E119&gt;Tmin, NOT('1 Org'!$I119="")),'1 Org'!$I119,0)</f>
        <v>0</v>
      </c>
      <c r="AD119">
        <f>IF(AND('1 Org'!F119&gt;Tmin, NOT('1 Org'!$I119="")),'1 Org'!$I119,0)</f>
        <v>0</v>
      </c>
      <c r="AE119">
        <f>IF(AND('1 Org'!C119&lt;Tmax, NOT('1 Org'!$H119="")),'1 Org'!$H119,4)</f>
        <v>2</v>
      </c>
      <c r="AF119">
        <f>IF(AND('1 Org'!D119&lt;Tmax, NOT('1 Org'!$H119="")),'1 Org'!$H119,4)</f>
        <v>2</v>
      </c>
      <c r="AG119">
        <f>IF(AND('1 Org'!E119&lt;Tmax, NOT('1 Org'!$H119="")),'1 Org'!$H119,4)</f>
        <v>2</v>
      </c>
      <c r="AH119">
        <f>IF(AND('1 Org'!F119&lt;Tmax, NOT('1 Org'!$H119="")),'1 Org'!$H119,4)</f>
        <v>2</v>
      </c>
      <c r="AI119"/>
      <c r="AJ119" s="213"/>
      <c r="AK119" s="213"/>
      <c r="AL119" s="213"/>
      <c r="AM119" s="213"/>
      <c r="AN119" s="213"/>
    </row>
    <row r="120" spans="1:40" x14ac:dyDescent="0.25">
      <c r="A120" s="164" t="s">
        <v>1479</v>
      </c>
      <c r="B120" s="128" t="s">
        <v>430</v>
      </c>
      <c r="C120" s="243">
        <v>0</v>
      </c>
      <c r="D120" s="243"/>
      <c r="E120" s="243"/>
      <c r="F120" s="243"/>
      <c r="G120" s="133">
        <v>3</v>
      </c>
      <c r="H120" s="133"/>
      <c r="I120" s="133"/>
      <c r="J120" s="136"/>
      <c r="K120" s="135" t="s">
        <v>7530</v>
      </c>
      <c r="AA120">
        <f>IF(AND('1 Org'!C120&gt;Tmin, NOT('1 Org'!$I120="")),'1 Org'!$I120,0)</f>
        <v>0</v>
      </c>
      <c r="AB120">
        <f>IF(AND('1 Org'!D120&gt;Tmin, NOT('1 Org'!$I120="")),'1 Org'!$I120,0)</f>
        <v>0</v>
      </c>
      <c r="AC120">
        <f>IF(AND('1 Org'!E120&gt;Tmin, NOT('1 Org'!$I120="")),'1 Org'!$I120,0)</f>
        <v>0</v>
      </c>
      <c r="AD120">
        <f>IF(AND('1 Org'!F120&gt;Tmin, NOT('1 Org'!$I120="")),'1 Org'!$I120,0)</f>
        <v>0</v>
      </c>
      <c r="AE120">
        <f>IF(AND('1 Org'!C120&lt;Tmax, NOT('1 Org'!$H120="")),'1 Org'!$H120,4)</f>
        <v>4</v>
      </c>
      <c r="AF120">
        <f>IF(AND('1 Org'!D120&lt;Tmax, NOT('1 Org'!$H120="")),'1 Org'!$H120,4)</f>
        <v>4</v>
      </c>
      <c r="AG120">
        <f>IF(AND('1 Org'!E120&lt;Tmax, NOT('1 Org'!$H120="")),'1 Org'!$H120,4)</f>
        <v>4</v>
      </c>
      <c r="AH120">
        <f>IF(AND('1 Org'!F120&lt;Tmax, NOT('1 Org'!$H120="")),'1 Org'!$H120,4)</f>
        <v>4</v>
      </c>
      <c r="AI120"/>
      <c r="AN120" s="213"/>
    </row>
    <row r="121" spans="1:40" x14ac:dyDescent="0.25">
      <c r="A121" s="164" t="s">
        <v>1480</v>
      </c>
      <c r="B121" s="128" t="s">
        <v>90</v>
      </c>
      <c r="C121" s="243">
        <v>0</v>
      </c>
      <c r="D121" s="243"/>
      <c r="E121" s="243"/>
      <c r="F121" s="243"/>
      <c r="G121" s="133">
        <v>2</v>
      </c>
      <c r="H121" s="133"/>
      <c r="I121" s="133"/>
      <c r="J121" s="136"/>
      <c r="K121" s="135" t="s">
        <v>7530</v>
      </c>
      <c r="AA121">
        <f>IF(AND('1 Org'!C121&gt;Tmin, NOT('1 Org'!$I121="")),'1 Org'!$I121,0)</f>
        <v>0</v>
      </c>
      <c r="AB121">
        <f>IF(AND('1 Org'!D121&gt;Tmin, NOT('1 Org'!$I121="")),'1 Org'!$I121,0)</f>
        <v>0</v>
      </c>
      <c r="AC121">
        <f>IF(AND('1 Org'!E121&gt;Tmin, NOT('1 Org'!$I121="")),'1 Org'!$I121,0)</f>
        <v>0</v>
      </c>
      <c r="AD121">
        <f>IF(AND('1 Org'!F121&gt;Tmin, NOT('1 Org'!$I121="")),'1 Org'!$I121,0)</f>
        <v>0</v>
      </c>
      <c r="AE121">
        <f>IF(AND('1 Org'!C121&lt;Tmax, NOT('1 Org'!$H121="")),'1 Org'!$H121,4)</f>
        <v>4</v>
      </c>
      <c r="AF121">
        <f>IF(AND('1 Org'!D121&lt;Tmax, NOT('1 Org'!$H121="")),'1 Org'!$H121,4)</f>
        <v>4</v>
      </c>
      <c r="AG121">
        <f>IF(AND('1 Org'!E121&lt;Tmax, NOT('1 Org'!$H121="")),'1 Org'!$H121,4)</f>
        <v>4</v>
      </c>
      <c r="AH121">
        <f>IF(AND('1 Org'!F121&lt;Tmax, NOT('1 Org'!$H121="")),'1 Org'!$H121,4)</f>
        <v>4</v>
      </c>
      <c r="AI121"/>
      <c r="AN121" s="213"/>
    </row>
    <row r="122" spans="1:40" x14ac:dyDescent="0.25">
      <c r="A122" s="164" t="s">
        <v>1481</v>
      </c>
      <c r="B122" s="128" t="s">
        <v>561</v>
      </c>
      <c r="C122" s="243">
        <v>0</v>
      </c>
      <c r="D122" s="243"/>
      <c r="E122" s="243"/>
      <c r="F122" s="243"/>
      <c r="G122" s="133">
        <v>4</v>
      </c>
      <c r="H122" s="133">
        <v>2</v>
      </c>
      <c r="I122" s="133"/>
      <c r="J122" s="136"/>
      <c r="K122" s="135" t="s">
        <v>7530</v>
      </c>
      <c r="AA122">
        <f>IF(AND('1 Org'!C122&gt;Tmin, NOT('1 Org'!$I122="")),'1 Org'!$I122,0)</f>
        <v>0</v>
      </c>
      <c r="AB122">
        <f>IF(AND('1 Org'!D122&gt;Tmin, NOT('1 Org'!$I122="")),'1 Org'!$I122,0)</f>
        <v>0</v>
      </c>
      <c r="AC122">
        <f>IF(AND('1 Org'!E122&gt;Tmin, NOT('1 Org'!$I122="")),'1 Org'!$I122,0)</f>
        <v>0</v>
      </c>
      <c r="AD122">
        <f>IF(AND('1 Org'!F122&gt;Tmin, NOT('1 Org'!$I122="")),'1 Org'!$I122,0)</f>
        <v>0</v>
      </c>
      <c r="AE122">
        <f>IF(AND('1 Org'!C122&lt;Tmax, NOT('1 Org'!$H122="")),'1 Org'!$H122,4)</f>
        <v>2</v>
      </c>
      <c r="AF122">
        <f>IF(AND('1 Org'!D122&lt;Tmax, NOT('1 Org'!$H122="")),'1 Org'!$H122,4)</f>
        <v>2</v>
      </c>
      <c r="AG122">
        <f>IF(AND('1 Org'!E122&lt;Tmax, NOT('1 Org'!$H122="")),'1 Org'!$H122,4)</f>
        <v>2</v>
      </c>
      <c r="AH122">
        <f>IF(AND('1 Org'!F122&lt;Tmax, NOT('1 Org'!$H122="")),'1 Org'!$H122,4)</f>
        <v>2</v>
      </c>
      <c r="AI122"/>
      <c r="AN122" s="213"/>
    </row>
    <row r="123" spans="1:40" x14ac:dyDescent="0.25">
      <c r="A123" s="164" t="s">
        <v>1482</v>
      </c>
      <c r="B123" s="128" t="s">
        <v>431</v>
      </c>
      <c r="C123" s="243">
        <v>0</v>
      </c>
      <c r="D123" s="243"/>
      <c r="E123" s="243"/>
      <c r="F123" s="243"/>
      <c r="G123" s="133">
        <v>4</v>
      </c>
      <c r="H123" s="133"/>
      <c r="I123" s="133"/>
      <c r="J123" s="136"/>
      <c r="K123" s="135" t="s">
        <v>7530</v>
      </c>
      <c r="AA123">
        <f>IF(AND('1 Org'!C123&gt;Tmin, NOT('1 Org'!$I123="")),'1 Org'!$I123,0)</f>
        <v>0</v>
      </c>
      <c r="AB123">
        <f>IF(AND('1 Org'!D123&gt;Tmin, NOT('1 Org'!$I123="")),'1 Org'!$I123,0)</f>
        <v>0</v>
      </c>
      <c r="AC123">
        <f>IF(AND('1 Org'!E123&gt;Tmin, NOT('1 Org'!$I123="")),'1 Org'!$I123,0)</f>
        <v>0</v>
      </c>
      <c r="AD123">
        <f>IF(AND('1 Org'!F123&gt;Tmin, NOT('1 Org'!$I123="")),'1 Org'!$I123,0)</f>
        <v>0</v>
      </c>
      <c r="AE123">
        <f>IF(AND('1 Org'!C123&lt;Tmax, NOT('1 Org'!$H123="")),'1 Org'!$H123,4)</f>
        <v>4</v>
      </c>
      <c r="AF123">
        <f>IF(AND('1 Org'!D123&lt;Tmax, NOT('1 Org'!$H123="")),'1 Org'!$H123,4)</f>
        <v>4</v>
      </c>
      <c r="AG123">
        <f>IF(AND('1 Org'!E123&lt;Tmax, NOT('1 Org'!$H123="")),'1 Org'!$H123,4)</f>
        <v>4</v>
      </c>
      <c r="AH123">
        <f>IF(AND('1 Org'!F123&lt;Tmax, NOT('1 Org'!$H123="")),'1 Org'!$H123,4)</f>
        <v>4</v>
      </c>
      <c r="AI123"/>
      <c r="AN123" s="213"/>
    </row>
    <row r="124" spans="1:40" ht="20.399999999999999" x14ac:dyDescent="0.25">
      <c r="A124" s="164" t="s">
        <v>1483</v>
      </c>
      <c r="B124" s="128" t="s">
        <v>91</v>
      </c>
      <c r="C124" s="243">
        <v>0</v>
      </c>
      <c r="D124" s="243"/>
      <c r="E124" s="243"/>
      <c r="F124" s="243"/>
      <c r="G124" s="133">
        <v>1</v>
      </c>
      <c r="H124" s="133">
        <v>2</v>
      </c>
      <c r="I124" s="133">
        <v>3</v>
      </c>
      <c r="J124" s="136"/>
      <c r="K124" s="135" t="s">
        <v>7530</v>
      </c>
      <c r="AA124">
        <f>IF(AND('1 Org'!C124&gt;Tmin, NOT('1 Org'!$I124="")),'1 Org'!$I124,0)</f>
        <v>0</v>
      </c>
      <c r="AB124">
        <f>IF(AND('1 Org'!D124&gt;Tmin, NOT('1 Org'!$I124="")),'1 Org'!$I124,0)</f>
        <v>0</v>
      </c>
      <c r="AC124">
        <f>IF(AND('1 Org'!E124&gt;Tmin, NOT('1 Org'!$I124="")),'1 Org'!$I124,0)</f>
        <v>0</v>
      </c>
      <c r="AD124">
        <f>IF(AND('1 Org'!F124&gt;Tmin, NOT('1 Org'!$I124="")),'1 Org'!$I124,0)</f>
        <v>0</v>
      </c>
      <c r="AE124">
        <f>IF(AND('1 Org'!C124&lt;Tmax, NOT('1 Org'!$H124="")),'1 Org'!$H124,4)</f>
        <v>2</v>
      </c>
      <c r="AF124">
        <f>IF(AND('1 Org'!D124&lt;Tmax, NOT('1 Org'!$H124="")),'1 Org'!$H124,4)</f>
        <v>2</v>
      </c>
      <c r="AG124">
        <f>IF(AND('1 Org'!E124&lt;Tmax, NOT('1 Org'!$H124="")),'1 Org'!$H124,4)</f>
        <v>2</v>
      </c>
      <c r="AH124">
        <f>IF(AND('1 Org'!F124&lt;Tmax, NOT('1 Org'!$H124="")),'1 Org'!$H124,4)</f>
        <v>2</v>
      </c>
      <c r="AI124"/>
      <c r="AN124" s="213"/>
    </row>
    <row r="125" spans="1:40" x14ac:dyDescent="0.25">
      <c r="A125" s="164" t="s">
        <v>1484</v>
      </c>
      <c r="B125" s="128" t="s">
        <v>428</v>
      </c>
      <c r="C125" s="243">
        <v>0</v>
      </c>
      <c r="D125" s="243"/>
      <c r="E125" s="243"/>
      <c r="F125" s="243"/>
      <c r="G125" s="133">
        <v>3</v>
      </c>
      <c r="H125" s="133"/>
      <c r="I125" s="133"/>
      <c r="J125" s="136"/>
      <c r="K125" s="135" t="s">
        <v>7531</v>
      </c>
      <c r="AA125">
        <f>IF(AND('1 Org'!C125&gt;Tmin, NOT('1 Org'!$I125="")),'1 Org'!$I125,0)</f>
        <v>0</v>
      </c>
      <c r="AB125">
        <f>IF(AND('1 Org'!D125&gt;Tmin, NOT('1 Org'!$I125="")),'1 Org'!$I125,0)</f>
        <v>0</v>
      </c>
      <c r="AC125">
        <f>IF(AND('1 Org'!E125&gt;Tmin, NOT('1 Org'!$I125="")),'1 Org'!$I125,0)</f>
        <v>0</v>
      </c>
      <c r="AD125">
        <f>IF(AND('1 Org'!F125&gt;Tmin, NOT('1 Org'!$I125="")),'1 Org'!$I125,0)</f>
        <v>0</v>
      </c>
      <c r="AE125">
        <f>IF(AND('1 Org'!C125&lt;Tmax, NOT('1 Org'!$H125="")),'1 Org'!$H125,4)</f>
        <v>4</v>
      </c>
      <c r="AF125">
        <f>IF(AND('1 Org'!D125&lt;Tmax, NOT('1 Org'!$H125="")),'1 Org'!$H125,4)</f>
        <v>4</v>
      </c>
      <c r="AG125">
        <f>IF(AND('1 Org'!E125&lt;Tmax, NOT('1 Org'!$H125="")),'1 Org'!$H125,4)</f>
        <v>4</v>
      </c>
      <c r="AH125">
        <f>IF(AND('1 Org'!F125&lt;Tmax, NOT('1 Org'!$H125="")),'1 Org'!$H125,4)</f>
        <v>4</v>
      </c>
      <c r="AI125"/>
      <c r="AN125" s="213"/>
    </row>
    <row r="126" spans="1:40" x14ac:dyDescent="0.25">
      <c r="A126" s="164" t="s">
        <v>1485</v>
      </c>
      <c r="B126" s="128" t="s">
        <v>432</v>
      </c>
      <c r="C126" s="243">
        <v>0</v>
      </c>
      <c r="D126" s="243"/>
      <c r="E126" s="243"/>
      <c r="F126" s="243"/>
      <c r="G126" s="133">
        <v>3</v>
      </c>
      <c r="H126" s="133">
        <v>2</v>
      </c>
      <c r="I126" s="133"/>
      <c r="J126" s="136"/>
      <c r="K126" s="135" t="s">
        <v>7530</v>
      </c>
      <c r="AA126">
        <f>IF(AND('1 Org'!C126&gt;Tmin, NOT('1 Org'!$I126="")),'1 Org'!$I126,0)</f>
        <v>0</v>
      </c>
      <c r="AB126">
        <f>IF(AND('1 Org'!D126&gt;Tmin, NOT('1 Org'!$I126="")),'1 Org'!$I126,0)</f>
        <v>0</v>
      </c>
      <c r="AC126">
        <f>IF(AND('1 Org'!E126&gt;Tmin, NOT('1 Org'!$I126="")),'1 Org'!$I126,0)</f>
        <v>0</v>
      </c>
      <c r="AD126">
        <f>IF(AND('1 Org'!F126&gt;Tmin, NOT('1 Org'!$I126="")),'1 Org'!$I126,0)</f>
        <v>0</v>
      </c>
      <c r="AE126">
        <f>IF(AND('1 Org'!C126&lt;Tmax, NOT('1 Org'!$H126="")),'1 Org'!$H126,4)</f>
        <v>2</v>
      </c>
      <c r="AF126">
        <f>IF(AND('1 Org'!D126&lt;Tmax, NOT('1 Org'!$H126="")),'1 Org'!$H126,4)</f>
        <v>2</v>
      </c>
      <c r="AG126">
        <f>IF(AND('1 Org'!E126&lt;Tmax, NOT('1 Org'!$H126="")),'1 Org'!$H126,4)</f>
        <v>2</v>
      </c>
      <c r="AH126">
        <f>IF(AND('1 Org'!F126&lt;Tmax, NOT('1 Org'!$H126="")),'1 Org'!$H126,4)</f>
        <v>2</v>
      </c>
      <c r="AI126"/>
      <c r="AN126" s="213"/>
    </row>
    <row r="127" spans="1:40" x14ac:dyDescent="0.25">
      <c r="A127" s="164" t="s">
        <v>1486</v>
      </c>
      <c r="B127" s="128" t="s">
        <v>433</v>
      </c>
      <c r="C127" s="243">
        <v>0</v>
      </c>
      <c r="D127" s="243"/>
      <c r="E127" s="243"/>
      <c r="F127" s="243"/>
      <c r="G127" s="133">
        <v>3</v>
      </c>
      <c r="H127" s="133">
        <v>2</v>
      </c>
      <c r="I127" s="133"/>
      <c r="J127" s="136"/>
      <c r="K127" s="135" t="s">
        <v>7532</v>
      </c>
      <c r="AA127">
        <f>IF(AND('1 Org'!C127&gt;Tmin, NOT('1 Org'!$I127="")),'1 Org'!$I127,0)</f>
        <v>0</v>
      </c>
      <c r="AB127">
        <f>IF(AND('1 Org'!D127&gt;Tmin, NOT('1 Org'!$I127="")),'1 Org'!$I127,0)</f>
        <v>0</v>
      </c>
      <c r="AC127">
        <f>IF(AND('1 Org'!E127&gt;Tmin, NOT('1 Org'!$I127="")),'1 Org'!$I127,0)</f>
        <v>0</v>
      </c>
      <c r="AD127">
        <f>IF(AND('1 Org'!F127&gt;Tmin, NOT('1 Org'!$I127="")),'1 Org'!$I127,0)</f>
        <v>0</v>
      </c>
      <c r="AE127">
        <f>IF(AND('1 Org'!C127&lt;Tmax, NOT('1 Org'!$H127="")),'1 Org'!$H127,4)</f>
        <v>2</v>
      </c>
      <c r="AF127">
        <f>IF(AND('1 Org'!D127&lt;Tmax, NOT('1 Org'!$H127="")),'1 Org'!$H127,4)</f>
        <v>2</v>
      </c>
      <c r="AG127">
        <f>IF(AND('1 Org'!E127&lt;Tmax, NOT('1 Org'!$H127="")),'1 Org'!$H127,4)</f>
        <v>2</v>
      </c>
      <c r="AH127">
        <f>IF(AND('1 Org'!F127&lt;Tmax, NOT('1 Org'!$H127="")),'1 Org'!$H127,4)</f>
        <v>2</v>
      </c>
      <c r="AI127"/>
      <c r="AN127" s="213"/>
    </row>
    <row r="128" spans="1:40" ht="16.5" customHeight="1" x14ac:dyDescent="0.25">
      <c r="A128" s="164" t="s">
        <v>6957</v>
      </c>
      <c r="B128" s="128" t="s">
        <v>6954</v>
      </c>
      <c r="C128" s="243">
        <v>0</v>
      </c>
      <c r="D128" s="243"/>
      <c r="E128" s="243"/>
      <c r="F128" s="243"/>
      <c r="G128" s="133">
        <v>2</v>
      </c>
      <c r="H128" s="133"/>
      <c r="I128" s="133"/>
      <c r="J128" s="136" t="s">
        <v>6955</v>
      </c>
      <c r="K128" s="135" t="s">
        <v>7530</v>
      </c>
      <c r="AA128">
        <f>IF(AND('1 Org'!C128&gt;Tmin, NOT('1 Org'!$I128="")),'1 Org'!$I128,0)</f>
        <v>0</v>
      </c>
      <c r="AB128">
        <f>IF(AND('1 Org'!D128&gt;Tmin, NOT('1 Org'!$I128="")),'1 Org'!$I128,0)</f>
        <v>0</v>
      </c>
      <c r="AC128">
        <f>IF(AND('1 Org'!E128&gt;Tmin, NOT('1 Org'!$I128="")),'1 Org'!$I128,0)</f>
        <v>0</v>
      </c>
      <c r="AD128">
        <f>IF(AND('1 Org'!F128&gt;Tmin, NOT('1 Org'!$I128="")),'1 Org'!$I128,0)</f>
        <v>0</v>
      </c>
      <c r="AE128">
        <f>IF(AND('1 Org'!C128&lt;Tmax, NOT('1 Org'!$H128="")),'1 Org'!$H128,4)</f>
        <v>4</v>
      </c>
      <c r="AF128">
        <f>IF(AND('1 Org'!D128&lt;Tmax, NOT('1 Org'!$H128="")),'1 Org'!$H128,4)</f>
        <v>4</v>
      </c>
      <c r="AG128">
        <f>IF(AND('1 Org'!E128&lt;Tmax, NOT('1 Org'!$H128="")),'1 Org'!$H128,4)</f>
        <v>4</v>
      </c>
      <c r="AH128">
        <f>IF(AND('1 Org'!F128&lt;Tmax, NOT('1 Org'!$H128="")),'1 Org'!$H128,4)</f>
        <v>4</v>
      </c>
      <c r="AI128"/>
      <c r="AN128" s="213"/>
    </row>
    <row r="129" spans="1:40" ht="20.399999999999999" x14ac:dyDescent="0.25">
      <c r="A129" s="164" t="s">
        <v>6958</v>
      </c>
      <c r="B129" s="128" t="s">
        <v>6956</v>
      </c>
      <c r="C129" s="243">
        <v>0</v>
      </c>
      <c r="D129" s="243"/>
      <c r="E129" s="243"/>
      <c r="F129" s="243"/>
      <c r="G129" s="133">
        <v>2</v>
      </c>
      <c r="H129" s="133"/>
      <c r="I129" s="133"/>
      <c r="J129" s="136" t="s">
        <v>6955</v>
      </c>
      <c r="K129" s="135" t="s">
        <v>7494</v>
      </c>
      <c r="AA129">
        <f>IF(AND('1 Org'!C129&gt;Tmin, NOT('1 Org'!$I129="")),'1 Org'!$I129,0)</f>
        <v>0</v>
      </c>
      <c r="AB129">
        <f>IF(AND('1 Org'!D129&gt;Tmin, NOT('1 Org'!$I129="")),'1 Org'!$I129,0)</f>
        <v>0</v>
      </c>
      <c r="AC129">
        <f>IF(AND('1 Org'!E129&gt;Tmin, NOT('1 Org'!$I129="")),'1 Org'!$I129,0)</f>
        <v>0</v>
      </c>
      <c r="AD129">
        <f>IF(AND('1 Org'!F129&gt;Tmin, NOT('1 Org'!$I129="")),'1 Org'!$I129,0)</f>
        <v>0</v>
      </c>
      <c r="AE129">
        <f>IF(AND('1 Org'!C129&lt;Tmax, NOT('1 Org'!$H129="")),'1 Org'!$H129,4)</f>
        <v>4</v>
      </c>
      <c r="AF129">
        <f>IF(AND('1 Org'!D129&lt;Tmax, NOT('1 Org'!$H129="")),'1 Org'!$H129,4)</f>
        <v>4</v>
      </c>
      <c r="AG129">
        <f>IF(AND('1 Org'!E129&lt;Tmax, NOT('1 Org'!$H129="")),'1 Org'!$H129,4)</f>
        <v>4</v>
      </c>
      <c r="AH129">
        <f>IF(AND('1 Org'!F129&lt;Tmax, NOT('1 Org'!$H129="")),'1 Org'!$H129,4)</f>
        <v>4</v>
      </c>
      <c r="AI129"/>
      <c r="AN129" s="213"/>
    </row>
    <row r="130" spans="1:40" ht="30.6" x14ac:dyDescent="0.25">
      <c r="A130" s="164" t="s">
        <v>7389</v>
      </c>
      <c r="B130" s="128" t="s">
        <v>1512</v>
      </c>
      <c r="C130" s="243">
        <v>0</v>
      </c>
      <c r="D130" s="243"/>
      <c r="E130" s="243"/>
      <c r="F130" s="243"/>
      <c r="G130" s="133">
        <v>3</v>
      </c>
      <c r="H130" s="133">
        <v>2</v>
      </c>
      <c r="I130" s="133"/>
      <c r="J130" s="136"/>
      <c r="K130" s="135" t="s">
        <v>7530</v>
      </c>
      <c r="AA130">
        <f>IF(AND('1 Org'!C130&gt;Tmin, NOT('1 Org'!$I130="")),'1 Org'!$I130,0)</f>
        <v>0</v>
      </c>
      <c r="AB130">
        <f>IF(AND('1 Org'!D130&gt;Tmin, NOT('1 Org'!$I130="")),'1 Org'!$I130,0)</f>
        <v>0</v>
      </c>
      <c r="AC130">
        <f>IF(AND('1 Org'!E130&gt;Tmin, NOT('1 Org'!$I130="")),'1 Org'!$I130,0)</f>
        <v>0</v>
      </c>
      <c r="AD130">
        <f>IF(AND('1 Org'!F130&gt;Tmin, NOT('1 Org'!$I130="")),'1 Org'!$I130,0)</f>
        <v>0</v>
      </c>
      <c r="AE130">
        <f>IF(AND('1 Org'!C130&lt;Tmax, NOT('1 Org'!$H130="")),'1 Org'!$H130,4)</f>
        <v>2</v>
      </c>
      <c r="AF130">
        <f>IF(AND('1 Org'!D130&lt;Tmax, NOT('1 Org'!$H130="")),'1 Org'!$H130,4)</f>
        <v>2</v>
      </c>
      <c r="AG130">
        <f>IF(AND('1 Org'!E130&lt;Tmax, NOT('1 Org'!$H130="")),'1 Org'!$H130,4)</f>
        <v>2</v>
      </c>
      <c r="AH130">
        <f>IF(AND('1 Org'!F130&lt;Tmax, NOT('1 Org'!$H130="")),'1 Org'!$H130,4)</f>
        <v>2</v>
      </c>
      <c r="AI130"/>
      <c r="AN130" s="213"/>
    </row>
    <row r="131" spans="1:40" x14ac:dyDescent="0.25">
      <c r="A131" s="164" t="s">
        <v>7390</v>
      </c>
      <c r="B131" s="128" t="s">
        <v>43</v>
      </c>
      <c r="C131" s="243">
        <v>0</v>
      </c>
      <c r="D131" s="243"/>
      <c r="E131" s="243"/>
      <c r="F131" s="243"/>
      <c r="G131" s="133">
        <v>3</v>
      </c>
      <c r="H131" s="133">
        <v>2</v>
      </c>
      <c r="I131" s="133"/>
      <c r="J131" s="136"/>
      <c r="K131" s="135" t="s">
        <v>7530</v>
      </c>
      <c r="L131" s="251"/>
      <c r="M131" s="251"/>
      <c r="N131" s="251"/>
      <c r="O131" s="251"/>
      <c r="P131" s="251"/>
      <c r="Q131" s="251"/>
      <c r="R131" s="251"/>
      <c r="S131" s="251"/>
      <c r="T131" s="251"/>
      <c r="U131" s="251"/>
      <c r="V131" s="251"/>
      <c r="W131" s="251"/>
      <c r="X131" s="251"/>
      <c r="Y131" s="251"/>
      <c r="Z131" s="251"/>
      <c r="AA131">
        <f>IF(AND('1 Org'!C131&gt;Tmin, NOT('1 Org'!$I131="")),'1 Org'!$I131,0)</f>
        <v>0</v>
      </c>
      <c r="AB131">
        <f>IF(AND('1 Org'!D131&gt;Tmin, NOT('1 Org'!$I131="")),'1 Org'!$I131,0)</f>
        <v>0</v>
      </c>
      <c r="AC131">
        <f>IF(AND('1 Org'!E131&gt;Tmin, NOT('1 Org'!$I131="")),'1 Org'!$I131,0)</f>
        <v>0</v>
      </c>
      <c r="AD131">
        <f>IF(AND('1 Org'!F131&gt;Tmin, NOT('1 Org'!$I131="")),'1 Org'!$I131,0)</f>
        <v>0</v>
      </c>
      <c r="AE131">
        <f>IF(AND('1 Org'!C131&lt;Tmax, NOT('1 Org'!$H131="")),'1 Org'!$H131,4)</f>
        <v>2</v>
      </c>
      <c r="AF131">
        <f>IF(AND('1 Org'!D131&lt;Tmax, NOT('1 Org'!$H131="")),'1 Org'!$H131,4)</f>
        <v>2</v>
      </c>
      <c r="AG131">
        <f>IF(AND('1 Org'!E131&lt;Tmax, NOT('1 Org'!$H131="")),'1 Org'!$H131,4)</f>
        <v>2</v>
      </c>
      <c r="AH131">
        <f>IF(AND('1 Org'!F131&lt;Tmax, NOT('1 Org'!$H131="")),'1 Org'!$H131,4)</f>
        <v>2</v>
      </c>
      <c r="AI131"/>
      <c r="AN131" s="213"/>
    </row>
    <row r="132" spans="1:40" x14ac:dyDescent="0.25">
      <c r="A132" s="164" t="s">
        <v>699</v>
      </c>
      <c r="B132" s="128" t="s">
        <v>15</v>
      </c>
      <c r="C132" s="243"/>
      <c r="D132" s="243"/>
      <c r="E132" s="243"/>
      <c r="F132" s="243"/>
      <c r="G132" s="133"/>
      <c r="H132" s="133"/>
      <c r="I132" s="133"/>
      <c r="J132" s="136"/>
      <c r="L132" s="251"/>
      <c r="M132" s="251"/>
      <c r="N132" s="251"/>
      <c r="O132" s="251"/>
      <c r="P132" s="251"/>
      <c r="Q132" s="251"/>
      <c r="R132" s="251"/>
      <c r="S132" s="251"/>
      <c r="T132" s="251"/>
      <c r="U132" s="251"/>
      <c r="V132" s="251"/>
      <c r="W132" s="251"/>
      <c r="X132" s="251"/>
      <c r="Y132" s="251"/>
      <c r="Z132" s="251"/>
      <c r="AA132"/>
      <c r="AB132"/>
      <c r="AC132"/>
      <c r="AD132"/>
      <c r="AE132"/>
      <c r="AF132"/>
      <c r="AG132"/>
      <c r="AH132"/>
      <c r="AI132"/>
      <c r="AN132" s="213"/>
    </row>
    <row r="133" spans="1:40" ht="20.399999999999999" x14ac:dyDescent="0.25">
      <c r="A133" s="164" t="s">
        <v>1487</v>
      </c>
      <c r="B133" s="128" t="s">
        <v>434</v>
      </c>
      <c r="C133" s="243"/>
      <c r="D133" s="243"/>
      <c r="E133" s="243"/>
      <c r="F133" s="243"/>
      <c r="G133" s="133">
        <v>4</v>
      </c>
      <c r="H133" s="133">
        <v>2</v>
      </c>
      <c r="I133" s="133"/>
      <c r="J133" s="136"/>
      <c r="L133" s="251"/>
      <c r="M133" s="251"/>
      <c r="N133" s="251"/>
      <c r="O133" s="251"/>
      <c r="P133" s="251"/>
      <c r="Q133" s="251"/>
      <c r="R133" s="251"/>
      <c r="S133" s="251"/>
      <c r="T133" s="251"/>
      <c r="U133" s="251"/>
      <c r="V133" s="251"/>
      <c r="W133" s="251"/>
      <c r="X133" s="251"/>
      <c r="Y133" s="251"/>
      <c r="Z133" s="251"/>
      <c r="AA133">
        <f>IF(AND('1 Org'!C133&gt;Tmin, NOT('1 Org'!$I133="")),'1 Org'!$I133,0)</f>
        <v>0</v>
      </c>
      <c r="AB133">
        <f>IF(AND('1 Org'!D133&gt;Tmin, NOT('1 Org'!$I133="")),'1 Org'!$I133,0)</f>
        <v>0</v>
      </c>
      <c r="AC133">
        <f>IF(AND('1 Org'!E133&gt;Tmin, NOT('1 Org'!$I133="")),'1 Org'!$I133,0)</f>
        <v>0</v>
      </c>
      <c r="AD133">
        <f>IF(AND('1 Org'!F133&gt;Tmin, NOT('1 Org'!$I133="")),'1 Org'!$I133,0)</f>
        <v>0</v>
      </c>
      <c r="AE133">
        <f>IF(AND('1 Org'!C133&lt;Tmax, NOT('1 Org'!$H133="")),'1 Org'!$H133,4)</f>
        <v>2</v>
      </c>
      <c r="AF133">
        <f>IF(AND('1 Org'!D133&lt;Tmax, NOT('1 Org'!$H133="")),'1 Org'!$H133,4)</f>
        <v>2</v>
      </c>
      <c r="AG133">
        <f>IF(AND('1 Org'!E133&lt;Tmax, NOT('1 Org'!$H133="")),'1 Org'!$H133,4)</f>
        <v>2</v>
      </c>
      <c r="AH133">
        <f>IF(AND('1 Org'!F133&lt;Tmax, NOT('1 Org'!$H133="")),'1 Org'!$H133,4)</f>
        <v>2</v>
      </c>
      <c r="AI133"/>
      <c r="AN133" s="213"/>
    </row>
    <row r="134" spans="1:40" x14ac:dyDescent="0.25">
      <c r="A134" s="164" t="s">
        <v>1488</v>
      </c>
      <c r="B134" s="128" t="s">
        <v>2297</v>
      </c>
      <c r="C134" s="243"/>
      <c r="D134" s="243"/>
      <c r="E134" s="243"/>
      <c r="F134" s="243"/>
      <c r="G134" s="133">
        <v>4</v>
      </c>
      <c r="H134" s="133">
        <v>2</v>
      </c>
      <c r="I134" s="133"/>
      <c r="J134" s="136"/>
      <c r="L134" s="251"/>
      <c r="M134" s="251"/>
      <c r="N134" s="251"/>
      <c r="O134" s="251"/>
      <c r="P134" s="251"/>
      <c r="Q134" s="251"/>
      <c r="R134" s="251"/>
      <c r="S134" s="251"/>
      <c r="T134" s="251"/>
      <c r="U134" s="251"/>
      <c r="V134" s="251"/>
      <c r="W134" s="251"/>
      <c r="X134" s="251"/>
      <c r="Y134" s="251"/>
      <c r="Z134" s="251"/>
      <c r="AA134">
        <f>IF(AND('1 Org'!C134&gt;Tmin, NOT('1 Org'!$I134="")),'1 Org'!$I134,0)</f>
        <v>0</v>
      </c>
      <c r="AB134">
        <f>IF(AND('1 Org'!D134&gt;Tmin, NOT('1 Org'!$I134="")),'1 Org'!$I134,0)</f>
        <v>0</v>
      </c>
      <c r="AC134">
        <f>IF(AND('1 Org'!E134&gt;Tmin, NOT('1 Org'!$I134="")),'1 Org'!$I134,0)</f>
        <v>0</v>
      </c>
      <c r="AD134">
        <f>IF(AND('1 Org'!F134&gt;Tmin, NOT('1 Org'!$I134="")),'1 Org'!$I134,0)</f>
        <v>0</v>
      </c>
      <c r="AE134">
        <f>IF(AND('1 Org'!C134&lt;Tmax, NOT('1 Org'!$H134="")),'1 Org'!$H134,4)</f>
        <v>2</v>
      </c>
      <c r="AF134">
        <f>IF(AND('1 Org'!D134&lt;Tmax, NOT('1 Org'!$H134="")),'1 Org'!$H134,4)</f>
        <v>2</v>
      </c>
      <c r="AG134">
        <f>IF(AND('1 Org'!E134&lt;Tmax, NOT('1 Org'!$H134="")),'1 Org'!$H134,4)</f>
        <v>2</v>
      </c>
      <c r="AH134">
        <f>IF(AND('1 Org'!F134&lt;Tmax, NOT('1 Org'!$H134="")),'1 Org'!$H134,4)</f>
        <v>2</v>
      </c>
      <c r="AI134"/>
      <c r="AN134" s="213"/>
    </row>
    <row r="135" spans="1:40" ht="20.399999999999999" x14ac:dyDescent="0.25">
      <c r="A135" s="164" t="s">
        <v>1489</v>
      </c>
      <c r="B135" s="128" t="s">
        <v>435</v>
      </c>
      <c r="C135" s="243"/>
      <c r="D135" s="243"/>
      <c r="E135" s="243"/>
      <c r="F135" s="243"/>
      <c r="G135" s="133">
        <v>4</v>
      </c>
      <c r="H135" s="133"/>
      <c r="I135" s="133"/>
      <c r="J135" s="136"/>
      <c r="L135" s="251"/>
      <c r="M135" s="251"/>
      <c r="N135" s="251"/>
      <c r="O135" s="251"/>
      <c r="P135" s="251"/>
      <c r="Q135" s="251"/>
      <c r="R135" s="251"/>
      <c r="S135" s="251"/>
      <c r="T135" s="251"/>
      <c r="U135" s="251"/>
      <c r="V135" s="251"/>
      <c r="W135" s="251"/>
      <c r="X135" s="251"/>
      <c r="Y135" s="251"/>
      <c r="Z135" s="251"/>
      <c r="AA135">
        <f>IF(AND('1 Org'!C135&gt;Tmin, NOT('1 Org'!$I135="")),'1 Org'!$I135,0)</f>
        <v>0</v>
      </c>
      <c r="AB135">
        <f>IF(AND('1 Org'!D135&gt;Tmin, NOT('1 Org'!$I135="")),'1 Org'!$I135,0)</f>
        <v>0</v>
      </c>
      <c r="AC135">
        <f>IF(AND('1 Org'!E135&gt;Tmin, NOT('1 Org'!$I135="")),'1 Org'!$I135,0)</f>
        <v>0</v>
      </c>
      <c r="AD135">
        <f>IF(AND('1 Org'!F135&gt;Tmin, NOT('1 Org'!$I135="")),'1 Org'!$I135,0)</f>
        <v>0</v>
      </c>
      <c r="AE135">
        <f>IF(AND('1 Org'!C135&lt;Tmax, NOT('1 Org'!$H135="")),'1 Org'!$H135,4)</f>
        <v>4</v>
      </c>
      <c r="AF135">
        <f>IF(AND('1 Org'!D135&lt;Tmax, NOT('1 Org'!$H135="")),'1 Org'!$H135,4)</f>
        <v>4</v>
      </c>
      <c r="AG135">
        <f>IF(AND('1 Org'!E135&lt;Tmax, NOT('1 Org'!$H135="")),'1 Org'!$H135,4)</f>
        <v>4</v>
      </c>
      <c r="AH135">
        <f>IF(AND('1 Org'!F135&lt;Tmax, NOT('1 Org'!$H135="")),'1 Org'!$H135,4)</f>
        <v>4</v>
      </c>
      <c r="AI135"/>
      <c r="AN135" s="213"/>
    </row>
    <row r="136" spans="1:40" x14ac:dyDescent="0.25">
      <c r="A136" s="164" t="s">
        <v>1490</v>
      </c>
      <c r="B136" s="128" t="s">
        <v>13</v>
      </c>
      <c r="C136" s="243"/>
      <c r="D136" s="243"/>
      <c r="E136" s="243"/>
      <c r="F136" s="243"/>
      <c r="G136" s="133">
        <v>2</v>
      </c>
      <c r="H136" s="133">
        <v>3</v>
      </c>
      <c r="I136" s="133"/>
      <c r="J136" s="136"/>
      <c r="L136" s="251"/>
      <c r="M136" s="251"/>
      <c r="N136" s="251"/>
      <c r="O136" s="251"/>
      <c r="P136" s="251"/>
      <c r="Q136" s="251"/>
      <c r="R136" s="251"/>
      <c r="S136" s="251"/>
      <c r="T136" s="251"/>
      <c r="U136" s="251"/>
      <c r="V136" s="251"/>
      <c r="W136" s="251"/>
      <c r="X136" s="251"/>
      <c r="Y136" s="251"/>
      <c r="Z136" s="251"/>
      <c r="AA136">
        <f>IF(AND('1 Org'!C136&gt;Tmin, NOT('1 Org'!$I136="")),'1 Org'!$I136,0)</f>
        <v>0</v>
      </c>
      <c r="AB136">
        <f>IF(AND('1 Org'!D136&gt;Tmin, NOT('1 Org'!$I136="")),'1 Org'!$I136,0)</f>
        <v>0</v>
      </c>
      <c r="AC136">
        <f>IF(AND('1 Org'!E136&gt;Tmin, NOT('1 Org'!$I136="")),'1 Org'!$I136,0)</f>
        <v>0</v>
      </c>
      <c r="AD136">
        <f>IF(AND('1 Org'!F136&gt;Tmin, NOT('1 Org'!$I136="")),'1 Org'!$I136,0)</f>
        <v>0</v>
      </c>
      <c r="AE136">
        <f>IF(AND('1 Org'!C136&lt;Tmax, NOT('1 Org'!$H136="")),'1 Org'!$H136,4)</f>
        <v>3</v>
      </c>
      <c r="AF136">
        <f>IF(AND('1 Org'!D136&lt;Tmax, NOT('1 Org'!$H136="")),'1 Org'!$H136,4)</f>
        <v>3</v>
      </c>
      <c r="AG136">
        <f>IF(AND('1 Org'!E136&lt;Tmax, NOT('1 Org'!$H136="")),'1 Org'!$H136,4)</f>
        <v>3</v>
      </c>
      <c r="AH136">
        <f>IF(AND('1 Org'!F136&lt;Tmax, NOT('1 Org'!$H136="")),'1 Org'!$H136,4)</f>
        <v>3</v>
      </c>
      <c r="AI136"/>
      <c r="AN136" s="213"/>
    </row>
    <row r="137" spans="1:40" ht="20.399999999999999" x14ac:dyDescent="0.25">
      <c r="A137" s="164" t="s">
        <v>1491</v>
      </c>
      <c r="B137" s="128" t="s">
        <v>92</v>
      </c>
      <c r="C137" s="243"/>
      <c r="D137" s="243"/>
      <c r="E137" s="243"/>
      <c r="F137" s="243"/>
      <c r="G137" s="133">
        <v>4</v>
      </c>
      <c r="H137" s="133">
        <v>3</v>
      </c>
      <c r="I137" s="133"/>
      <c r="J137" s="136"/>
      <c r="L137" s="251"/>
      <c r="M137" s="251"/>
      <c r="N137" s="251"/>
      <c r="O137" s="251"/>
      <c r="P137" s="251"/>
      <c r="Q137" s="251"/>
      <c r="R137" s="251"/>
      <c r="S137" s="251"/>
      <c r="T137" s="251"/>
      <c r="U137" s="251"/>
      <c r="V137" s="251"/>
      <c r="W137" s="251"/>
      <c r="X137" s="251"/>
      <c r="Y137" s="251"/>
      <c r="Z137" s="251"/>
      <c r="AA137">
        <f>IF(AND('1 Org'!C137&gt;Tmin, NOT('1 Org'!$I137="")),'1 Org'!$I137,0)</f>
        <v>0</v>
      </c>
      <c r="AB137">
        <f>IF(AND('1 Org'!D137&gt;Tmin, NOT('1 Org'!$I137="")),'1 Org'!$I137,0)</f>
        <v>0</v>
      </c>
      <c r="AC137">
        <f>IF(AND('1 Org'!E137&gt;Tmin, NOT('1 Org'!$I137="")),'1 Org'!$I137,0)</f>
        <v>0</v>
      </c>
      <c r="AD137">
        <f>IF(AND('1 Org'!F137&gt;Tmin, NOT('1 Org'!$I137="")),'1 Org'!$I137,0)</f>
        <v>0</v>
      </c>
      <c r="AE137">
        <f>IF(AND('1 Org'!C137&lt;Tmax, NOT('1 Org'!$H137="")),'1 Org'!$H137,4)</f>
        <v>3</v>
      </c>
      <c r="AF137">
        <f>IF(AND('1 Org'!D137&lt;Tmax, NOT('1 Org'!$H137="")),'1 Org'!$H137,4)</f>
        <v>3</v>
      </c>
      <c r="AG137">
        <f>IF(AND('1 Org'!E137&lt;Tmax, NOT('1 Org'!$H137="")),'1 Org'!$H137,4)</f>
        <v>3</v>
      </c>
      <c r="AH137">
        <f>IF(AND('1 Org'!F137&lt;Tmax, NOT('1 Org'!$H137="")),'1 Org'!$H137,4)</f>
        <v>3</v>
      </c>
      <c r="AI137"/>
      <c r="AN137" s="213"/>
    </row>
    <row r="138" spans="1:40" ht="20.399999999999999" x14ac:dyDescent="0.25">
      <c r="A138" s="164" t="s">
        <v>1492</v>
      </c>
      <c r="B138" s="128" t="s">
        <v>436</v>
      </c>
      <c r="C138" s="243"/>
      <c r="D138" s="243"/>
      <c r="E138" s="243"/>
      <c r="F138" s="243"/>
      <c r="G138" s="133">
        <v>2</v>
      </c>
      <c r="H138" s="133"/>
      <c r="I138" s="133"/>
      <c r="J138" s="136"/>
      <c r="L138" s="251"/>
      <c r="M138" s="251"/>
      <c r="N138" s="251"/>
      <c r="O138" s="251"/>
      <c r="P138" s="251"/>
      <c r="Q138" s="251"/>
      <c r="R138" s="251"/>
      <c r="S138" s="251"/>
      <c r="T138" s="251"/>
      <c r="U138" s="251"/>
      <c r="V138" s="251"/>
      <c r="W138" s="251"/>
      <c r="X138" s="251"/>
      <c r="Y138" s="251"/>
      <c r="Z138" s="251"/>
      <c r="AA138">
        <f>IF(AND('1 Org'!C138&gt;Tmin, NOT('1 Org'!$I138="")),'1 Org'!$I138,0)</f>
        <v>0</v>
      </c>
      <c r="AB138">
        <f>IF(AND('1 Org'!D138&gt;Tmin, NOT('1 Org'!$I138="")),'1 Org'!$I138,0)</f>
        <v>0</v>
      </c>
      <c r="AC138">
        <f>IF(AND('1 Org'!E138&gt;Tmin, NOT('1 Org'!$I138="")),'1 Org'!$I138,0)</f>
        <v>0</v>
      </c>
      <c r="AD138">
        <f>IF(AND('1 Org'!F138&gt;Tmin, NOT('1 Org'!$I138="")),'1 Org'!$I138,0)</f>
        <v>0</v>
      </c>
      <c r="AE138">
        <f>IF(AND('1 Org'!C138&lt;Tmax, NOT('1 Org'!$H138="")),'1 Org'!$H138,4)</f>
        <v>4</v>
      </c>
      <c r="AF138">
        <f>IF(AND('1 Org'!D138&lt;Tmax, NOT('1 Org'!$H138="")),'1 Org'!$H138,4)</f>
        <v>4</v>
      </c>
      <c r="AG138">
        <f>IF(AND('1 Org'!E138&lt;Tmax, NOT('1 Org'!$H138="")),'1 Org'!$H138,4)</f>
        <v>4</v>
      </c>
      <c r="AH138">
        <f>IF(AND('1 Org'!F138&lt;Tmax, NOT('1 Org'!$H138="")),'1 Org'!$H138,4)</f>
        <v>4</v>
      </c>
      <c r="AI138"/>
      <c r="AN138" s="213"/>
    </row>
    <row r="139" spans="1:40" x14ac:dyDescent="0.25">
      <c r="A139" s="164" t="s">
        <v>1616</v>
      </c>
      <c r="B139" s="128" t="s">
        <v>437</v>
      </c>
      <c r="C139" s="243"/>
      <c r="D139" s="243"/>
      <c r="E139" s="243"/>
      <c r="F139" s="243"/>
      <c r="G139" s="133">
        <v>3</v>
      </c>
      <c r="H139" s="133"/>
      <c r="I139" s="133"/>
      <c r="J139" s="136"/>
      <c r="AA139">
        <f>IF(AND('1 Org'!C139&gt;Tmin, NOT('1 Org'!$I139="")),'1 Org'!$I139,0)</f>
        <v>0</v>
      </c>
      <c r="AB139">
        <f>IF(AND('1 Org'!D139&gt;Tmin, NOT('1 Org'!$I139="")),'1 Org'!$I139,0)</f>
        <v>0</v>
      </c>
      <c r="AC139">
        <f>IF(AND('1 Org'!E139&gt;Tmin, NOT('1 Org'!$I139="")),'1 Org'!$I139,0)</f>
        <v>0</v>
      </c>
      <c r="AD139">
        <f>IF(AND('1 Org'!F139&gt;Tmin, NOT('1 Org'!$I139="")),'1 Org'!$I139,0)</f>
        <v>0</v>
      </c>
      <c r="AE139">
        <f>IF(AND('1 Org'!C139&lt;Tmax, NOT('1 Org'!$H139="")),'1 Org'!$H139,4)</f>
        <v>4</v>
      </c>
      <c r="AF139">
        <f>IF(AND('1 Org'!D139&lt;Tmax, NOT('1 Org'!$H139="")),'1 Org'!$H139,4)</f>
        <v>4</v>
      </c>
      <c r="AG139">
        <f>IF(AND('1 Org'!E139&lt;Tmax, NOT('1 Org'!$H139="")),'1 Org'!$H139,4)</f>
        <v>4</v>
      </c>
      <c r="AH139">
        <f>IF(AND('1 Org'!F139&lt;Tmax, NOT('1 Org'!$H139="")),'1 Org'!$H139,4)</f>
        <v>4</v>
      </c>
      <c r="AI139"/>
    </row>
    <row r="140" spans="1:40" x14ac:dyDescent="0.25">
      <c r="A140" s="164" t="s">
        <v>701</v>
      </c>
      <c r="B140" s="128" t="s">
        <v>103</v>
      </c>
      <c r="C140" s="243"/>
      <c r="D140" s="243"/>
      <c r="E140" s="243"/>
      <c r="F140" s="243"/>
      <c r="G140" s="133"/>
      <c r="H140" s="133"/>
      <c r="I140" s="133"/>
      <c r="J140" s="136"/>
      <c r="AA140"/>
      <c r="AB140"/>
      <c r="AC140"/>
      <c r="AD140"/>
      <c r="AE140"/>
      <c r="AF140"/>
      <c r="AG140"/>
      <c r="AH140"/>
      <c r="AI140"/>
    </row>
    <row r="141" spans="1:40" x14ac:dyDescent="0.25">
      <c r="A141" s="164" t="s">
        <v>1563</v>
      </c>
      <c r="B141" s="128" t="s">
        <v>1555</v>
      </c>
      <c r="C141" s="243">
        <v>0</v>
      </c>
      <c r="D141" s="243"/>
      <c r="E141" s="243"/>
      <c r="F141" s="243"/>
      <c r="G141" s="133">
        <v>4</v>
      </c>
      <c r="H141" s="133">
        <v>2</v>
      </c>
      <c r="I141" s="133"/>
      <c r="J141" s="136"/>
      <c r="K141" s="135" t="s">
        <v>7519</v>
      </c>
      <c r="AA141">
        <f>IF(AND('1 Org'!C141&gt;Tmin, NOT('1 Org'!$I141="")),'1 Org'!$I141,0)</f>
        <v>0</v>
      </c>
      <c r="AB141">
        <f>IF(AND('1 Org'!D141&gt;Tmin, NOT('1 Org'!$I141="")),'1 Org'!$I141,0)</f>
        <v>0</v>
      </c>
      <c r="AC141">
        <f>IF(AND('1 Org'!E141&gt;Tmin, NOT('1 Org'!$I141="")),'1 Org'!$I141,0)</f>
        <v>0</v>
      </c>
      <c r="AD141">
        <f>IF(AND('1 Org'!F141&gt;Tmin, NOT('1 Org'!$I141="")),'1 Org'!$I141,0)</f>
        <v>0</v>
      </c>
      <c r="AE141">
        <f>IF(AND('1 Org'!C141&lt;Tmax, NOT('1 Org'!$H141="")),'1 Org'!$H141,4)</f>
        <v>2</v>
      </c>
      <c r="AF141">
        <f>IF(AND('1 Org'!D141&lt;Tmax, NOT('1 Org'!$H141="")),'1 Org'!$H141,4)</f>
        <v>2</v>
      </c>
      <c r="AG141">
        <f>IF(AND('1 Org'!E141&lt;Tmax, NOT('1 Org'!$H141="")),'1 Org'!$H141,4)</f>
        <v>2</v>
      </c>
      <c r="AH141">
        <f>IF(AND('1 Org'!F141&lt;Tmax, NOT('1 Org'!$H141="")),'1 Org'!$H141,4)</f>
        <v>2</v>
      </c>
      <c r="AI141"/>
    </row>
    <row r="142" spans="1:40" x14ac:dyDescent="0.25">
      <c r="A142" s="164" t="s">
        <v>1564</v>
      </c>
      <c r="B142" s="128" t="s">
        <v>1556</v>
      </c>
      <c r="C142" s="243">
        <v>0</v>
      </c>
      <c r="D142" s="243"/>
      <c r="E142" s="243"/>
      <c r="F142" s="243"/>
      <c r="G142" s="133">
        <v>4</v>
      </c>
      <c r="H142" s="133">
        <v>3</v>
      </c>
      <c r="I142" s="133"/>
      <c r="J142" s="136"/>
      <c r="K142" s="135" t="s">
        <v>7519</v>
      </c>
      <c r="AA142">
        <f>IF(AND('1 Org'!C142&gt;Tmin, NOT('1 Org'!$I142="")),'1 Org'!$I142,0)</f>
        <v>0</v>
      </c>
      <c r="AB142">
        <f>IF(AND('1 Org'!D142&gt;Tmin, NOT('1 Org'!$I142="")),'1 Org'!$I142,0)</f>
        <v>0</v>
      </c>
      <c r="AC142">
        <f>IF(AND('1 Org'!E142&gt;Tmin, NOT('1 Org'!$I142="")),'1 Org'!$I142,0)</f>
        <v>0</v>
      </c>
      <c r="AD142">
        <f>IF(AND('1 Org'!F142&gt;Tmin, NOT('1 Org'!$I142="")),'1 Org'!$I142,0)</f>
        <v>0</v>
      </c>
      <c r="AE142">
        <f>IF(AND('1 Org'!C142&lt;Tmax, NOT('1 Org'!$H142="")),'1 Org'!$H142,4)</f>
        <v>3</v>
      </c>
      <c r="AF142">
        <f>IF(AND('1 Org'!D142&lt;Tmax, NOT('1 Org'!$H142="")),'1 Org'!$H142,4)</f>
        <v>3</v>
      </c>
      <c r="AG142">
        <f>IF(AND('1 Org'!E142&lt;Tmax, NOT('1 Org'!$H142="")),'1 Org'!$H142,4)</f>
        <v>3</v>
      </c>
      <c r="AH142">
        <f>IF(AND('1 Org'!F142&lt;Tmax, NOT('1 Org'!$H142="")),'1 Org'!$H142,4)</f>
        <v>3</v>
      </c>
      <c r="AI142"/>
    </row>
    <row r="143" spans="1:40" ht="20.399999999999999" x14ac:dyDescent="0.25">
      <c r="A143" s="164" t="s">
        <v>1565</v>
      </c>
      <c r="B143" s="128" t="s">
        <v>1557</v>
      </c>
      <c r="C143" s="243">
        <v>0</v>
      </c>
      <c r="D143" s="243"/>
      <c r="E143" s="243"/>
      <c r="F143" s="243"/>
      <c r="G143" s="133">
        <v>4</v>
      </c>
      <c r="H143" s="133">
        <v>2</v>
      </c>
      <c r="I143" s="133"/>
      <c r="J143" s="136"/>
      <c r="K143" s="135" t="s">
        <v>7527</v>
      </c>
      <c r="AA143">
        <f>IF(AND('1 Org'!C143&gt;Tmin, NOT('1 Org'!$I143="")),'1 Org'!$I143,0)</f>
        <v>0</v>
      </c>
      <c r="AB143">
        <f>IF(AND('1 Org'!D143&gt;Tmin, NOT('1 Org'!$I143="")),'1 Org'!$I143,0)</f>
        <v>0</v>
      </c>
      <c r="AC143">
        <f>IF(AND('1 Org'!E143&gt;Tmin, NOT('1 Org'!$I143="")),'1 Org'!$I143,0)</f>
        <v>0</v>
      </c>
      <c r="AD143">
        <f>IF(AND('1 Org'!F143&gt;Tmin, NOT('1 Org'!$I143="")),'1 Org'!$I143,0)</f>
        <v>0</v>
      </c>
      <c r="AE143">
        <f>IF(AND('1 Org'!C143&lt;Tmax, NOT('1 Org'!$H143="")),'1 Org'!$H143,4)</f>
        <v>2</v>
      </c>
      <c r="AF143">
        <f>IF(AND('1 Org'!D143&lt;Tmax, NOT('1 Org'!$H143="")),'1 Org'!$H143,4)</f>
        <v>2</v>
      </c>
      <c r="AG143">
        <f>IF(AND('1 Org'!E143&lt;Tmax, NOT('1 Org'!$H143="")),'1 Org'!$H143,4)</f>
        <v>2</v>
      </c>
      <c r="AH143">
        <f>IF(AND('1 Org'!F143&lt;Tmax, NOT('1 Org'!$H143="")),'1 Org'!$H143,4)</f>
        <v>2</v>
      </c>
      <c r="AI143"/>
    </row>
    <row r="144" spans="1:40" ht="20.399999999999999" x14ac:dyDescent="0.25">
      <c r="A144" s="164" t="s">
        <v>1566</v>
      </c>
      <c r="B144" s="128" t="s">
        <v>1558</v>
      </c>
      <c r="C144" s="243">
        <v>0</v>
      </c>
      <c r="D144" s="243"/>
      <c r="E144" s="243"/>
      <c r="F144" s="243"/>
      <c r="G144" s="133">
        <v>4</v>
      </c>
      <c r="H144" s="133">
        <v>3</v>
      </c>
      <c r="I144" s="133"/>
      <c r="J144" s="136"/>
      <c r="K144" s="135" t="s">
        <v>7502</v>
      </c>
      <c r="AA144">
        <f>IF(AND('1 Org'!C144&gt;Tmin, NOT('1 Org'!$I144="")),'1 Org'!$I144,0)</f>
        <v>0</v>
      </c>
      <c r="AB144">
        <f>IF(AND('1 Org'!D144&gt;Tmin, NOT('1 Org'!$I144="")),'1 Org'!$I144,0)</f>
        <v>0</v>
      </c>
      <c r="AC144">
        <f>IF(AND('1 Org'!E144&gt;Tmin, NOT('1 Org'!$I144="")),'1 Org'!$I144,0)</f>
        <v>0</v>
      </c>
      <c r="AD144">
        <f>IF(AND('1 Org'!F144&gt;Tmin, NOT('1 Org'!$I144="")),'1 Org'!$I144,0)</f>
        <v>0</v>
      </c>
      <c r="AE144">
        <f>IF(AND('1 Org'!C144&lt;Tmax, NOT('1 Org'!$H144="")),'1 Org'!$H144,4)</f>
        <v>3</v>
      </c>
      <c r="AF144">
        <f>IF(AND('1 Org'!D144&lt;Tmax, NOT('1 Org'!$H144="")),'1 Org'!$H144,4)</f>
        <v>3</v>
      </c>
      <c r="AG144">
        <f>IF(AND('1 Org'!E144&lt;Tmax, NOT('1 Org'!$H144="")),'1 Org'!$H144,4)</f>
        <v>3</v>
      </c>
      <c r="AH144">
        <f>IF(AND('1 Org'!F144&lt;Tmax, NOT('1 Org'!$H144="")),'1 Org'!$H144,4)</f>
        <v>3</v>
      </c>
      <c r="AI144"/>
    </row>
    <row r="145" spans="1:40" ht="20.399999999999999" x14ac:dyDescent="0.25">
      <c r="A145" s="164" t="s">
        <v>1567</v>
      </c>
      <c r="B145" s="128" t="s">
        <v>1559</v>
      </c>
      <c r="C145" s="243">
        <v>0</v>
      </c>
      <c r="D145" s="243"/>
      <c r="E145" s="243"/>
      <c r="F145" s="243"/>
      <c r="G145" s="133">
        <v>4</v>
      </c>
      <c r="H145" s="133">
        <v>3</v>
      </c>
      <c r="I145" s="133"/>
      <c r="J145" s="136"/>
      <c r="K145" s="135" t="s">
        <v>7528</v>
      </c>
      <c r="AA145">
        <f>IF(AND('1 Org'!C145&gt;Tmin, NOT('1 Org'!$I145="")),'1 Org'!$I145,0)</f>
        <v>0</v>
      </c>
      <c r="AB145">
        <f>IF(AND('1 Org'!D145&gt;Tmin, NOT('1 Org'!$I145="")),'1 Org'!$I145,0)</f>
        <v>0</v>
      </c>
      <c r="AC145">
        <f>IF(AND('1 Org'!E145&gt;Tmin, NOT('1 Org'!$I145="")),'1 Org'!$I145,0)</f>
        <v>0</v>
      </c>
      <c r="AD145">
        <f>IF(AND('1 Org'!F145&gt;Tmin, NOT('1 Org'!$I145="")),'1 Org'!$I145,0)</f>
        <v>0</v>
      </c>
      <c r="AE145">
        <f>IF(AND('1 Org'!C145&lt;Tmax, NOT('1 Org'!$H145="")),'1 Org'!$H145,4)</f>
        <v>3</v>
      </c>
      <c r="AF145">
        <f>IF(AND('1 Org'!D145&lt;Tmax, NOT('1 Org'!$H145="")),'1 Org'!$H145,4)</f>
        <v>3</v>
      </c>
      <c r="AG145">
        <f>IF(AND('1 Org'!E145&lt;Tmax, NOT('1 Org'!$H145="")),'1 Org'!$H145,4)</f>
        <v>3</v>
      </c>
      <c r="AH145">
        <f>IF(AND('1 Org'!F145&lt;Tmax, NOT('1 Org'!$H145="")),'1 Org'!$H145,4)</f>
        <v>3</v>
      </c>
      <c r="AI145"/>
    </row>
    <row r="146" spans="1:40" x14ac:dyDescent="0.25">
      <c r="A146" s="164" t="s">
        <v>1568</v>
      </c>
      <c r="B146" s="128" t="s">
        <v>1560</v>
      </c>
      <c r="C146" s="243">
        <v>0</v>
      </c>
      <c r="D146" s="243"/>
      <c r="E146" s="243"/>
      <c r="F146" s="243"/>
      <c r="G146" s="133">
        <v>2</v>
      </c>
      <c r="H146" s="133"/>
      <c r="I146" s="133"/>
      <c r="J146" s="136"/>
      <c r="K146" s="135" t="s">
        <v>7494</v>
      </c>
      <c r="AA146">
        <f>IF(AND('1 Org'!C146&gt;Tmin, NOT('1 Org'!$I146="")),'1 Org'!$I146,0)</f>
        <v>0</v>
      </c>
      <c r="AB146">
        <f>IF(AND('1 Org'!D146&gt;Tmin, NOT('1 Org'!$I146="")),'1 Org'!$I146,0)</f>
        <v>0</v>
      </c>
      <c r="AC146">
        <f>IF(AND('1 Org'!E146&gt;Tmin, NOT('1 Org'!$I146="")),'1 Org'!$I146,0)</f>
        <v>0</v>
      </c>
      <c r="AD146">
        <f>IF(AND('1 Org'!F146&gt;Tmin, NOT('1 Org'!$I146="")),'1 Org'!$I146,0)</f>
        <v>0</v>
      </c>
      <c r="AE146">
        <f>IF(AND('1 Org'!C146&lt;Tmax, NOT('1 Org'!$H146="")),'1 Org'!$H146,4)</f>
        <v>4</v>
      </c>
      <c r="AF146">
        <f>IF(AND('1 Org'!D146&lt;Tmax, NOT('1 Org'!$H146="")),'1 Org'!$H146,4)</f>
        <v>4</v>
      </c>
      <c r="AG146">
        <f>IF(AND('1 Org'!E146&lt;Tmax, NOT('1 Org'!$H146="")),'1 Org'!$H146,4)</f>
        <v>4</v>
      </c>
      <c r="AH146">
        <f>IF(AND('1 Org'!F146&lt;Tmax, NOT('1 Org'!$H146="")),'1 Org'!$H146,4)</f>
        <v>4</v>
      </c>
      <c r="AI146"/>
    </row>
    <row r="147" spans="1:40" ht="20.399999999999999" x14ac:dyDescent="0.25">
      <c r="A147" s="164" t="s">
        <v>1569</v>
      </c>
      <c r="B147" s="128" t="s">
        <v>1561</v>
      </c>
      <c r="C147" s="243">
        <v>0</v>
      </c>
      <c r="D147" s="243"/>
      <c r="E147" s="243"/>
      <c r="F147" s="243"/>
      <c r="G147" s="133">
        <v>2</v>
      </c>
      <c r="H147" s="133"/>
      <c r="I147" s="133"/>
      <c r="J147" s="136"/>
      <c r="K147" s="135" t="s">
        <v>7506</v>
      </c>
      <c r="AA147">
        <f>IF(AND('1 Org'!C147&gt;Tmin, NOT('1 Org'!$I147="")),'1 Org'!$I147,0)</f>
        <v>0</v>
      </c>
      <c r="AB147">
        <f>IF(AND('1 Org'!D147&gt;Tmin, NOT('1 Org'!$I147="")),'1 Org'!$I147,0)</f>
        <v>0</v>
      </c>
      <c r="AC147">
        <f>IF(AND('1 Org'!E147&gt;Tmin, NOT('1 Org'!$I147="")),'1 Org'!$I147,0)</f>
        <v>0</v>
      </c>
      <c r="AD147">
        <f>IF(AND('1 Org'!F147&gt;Tmin, NOT('1 Org'!$I147="")),'1 Org'!$I147,0)</f>
        <v>0</v>
      </c>
      <c r="AE147">
        <f>IF(AND('1 Org'!C147&lt;Tmax, NOT('1 Org'!$H147="")),'1 Org'!$H147,4)</f>
        <v>4</v>
      </c>
      <c r="AF147">
        <f>IF(AND('1 Org'!D147&lt;Tmax, NOT('1 Org'!$H147="")),'1 Org'!$H147,4)</f>
        <v>4</v>
      </c>
      <c r="AG147">
        <f>IF(AND('1 Org'!E147&lt;Tmax, NOT('1 Org'!$H147="")),'1 Org'!$H147,4)</f>
        <v>4</v>
      </c>
      <c r="AH147">
        <f>IF(AND('1 Org'!F147&lt;Tmax, NOT('1 Org'!$H147="")),'1 Org'!$H147,4)</f>
        <v>4</v>
      </c>
      <c r="AI147"/>
    </row>
    <row r="148" spans="1:40" x14ac:dyDescent="0.25">
      <c r="A148" s="164" t="s">
        <v>1570</v>
      </c>
      <c r="B148" s="128" t="s">
        <v>1562</v>
      </c>
      <c r="C148" s="243">
        <v>0</v>
      </c>
      <c r="D148" s="243"/>
      <c r="E148" s="243"/>
      <c r="F148" s="243"/>
      <c r="G148" s="133">
        <v>2</v>
      </c>
      <c r="H148" s="133"/>
      <c r="I148" s="133"/>
      <c r="J148" s="136"/>
      <c r="K148" s="135" t="s">
        <v>7494</v>
      </c>
      <c r="L148" s="227"/>
      <c r="M148" s="227"/>
      <c r="N148" s="227"/>
      <c r="O148" s="227"/>
      <c r="P148" s="227"/>
      <c r="Q148" s="227"/>
      <c r="R148" s="227"/>
      <c r="S148" s="227"/>
      <c r="T148" s="227"/>
      <c r="U148" s="227"/>
      <c r="V148" s="227"/>
      <c r="W148" s="227"/>
      <c r="X148" s="227"/>
      <c r="Y148" s="227"/>
      <c r="Z148" s="227"/>
      <c r="AA148">
        <f>IF(AND('1 Org'!C148&gt;Tmin, NOT('1 Org'!$I148="")),'1 Org'!$I148,0)</f>
        <v>0</v>
      </c>
      <c r="AB148">
        <f>IF(AND('1 Org'!D148&gt;Tmin, NOT('1 Org'!$I148="")),'1 Org'!$I148,0)</f>
        <v>0</v>
      </c>
      <c r="AC148">
        <f>IF(AND('1 Org'!E148&gt;Tmin, NOT('1 Org'!$I148="")),'1 Org'!$I148,0)</f>
        <v>0</v>
      </c>
      <c r="AD148">
        <f>IF(AND('1 Org'!F148&gt;Tmin, NOT('1 Org'!$I148="")),'1 Org'!$I148,0)</f>
        <v>0</v>
      </c>
      <c r="AE148">
        <f>IF(AND('1 Org'!C148&lt;Tmax, NOT('1 Org'!$H148="")),'1 Org'!$H148,4)</f>
        <v>4</v>
      </c>
      <c r="AF148">
        <f>IF(AND('1 Org'!D148&lt;Tmax, NOT('1 Org'!$H148="")),'1 Org'!$H148,4)</f>
        <v>4</v>
      </c>
      <c r="AG148">
        <f>IF(AND('1 Org'!E148&lt;Tmax, NOT('1 Org'!$H148="")),'1 Org'!$H148,4)</f>
        <v>4</v>
      </c>
      <c r="AH148">
        <f>IF(AND('1 Org'!F148&lt;Tmax, NOT('1 Org'!$H148="")),'1 Org'!$H148,4)</f>
        <v>4</v>
      </c>
      <c r="AI148"/>
      <c r="AJ148" s="213"/>
      <c r="AK148" s="213"/>
      <c r="AL148" s="213"/>
      <c r="AM148" s="213"/>
      <c r="AN148" s="213"/>
    </row>
    <row r="149" spans="1:40" x14ac:dyDescent="0.25">
      <c r="A149" s="225" t="s">
        <v>1493</v>
      </c>
      <c r="B149" s="309" t="s">
        <v>1513</v>
      </c>
      <c r="C149" s="243"/>
      <c r="D149" s="243"/>
      <c r="E149" s="243"/>
      <c r="F149" s="243"/>
      <c r="G149" s="133"/>
      <c r="H149" s="133"/>
      <c r="I149" s="133"/>
      <c r="J149" s="136"/>
      <c r="L149" s="227"/>
      <c r="M149" s="227"/>
      <c r="N149" s="227"/>
      <c r="O149" s="227"/>
      <c r="P149" s="227"/>
      <c r="Q149" s="227"/>
      <c r="R149" s="227"/>
      <c r="S149" s="227"/>
      <c r="T149" s="227"/>
      <c r="U149" s="227"/>
      <c r="V149" s="227"/>
      <c r="W149" s="227"/>
      <c r="X149" s="227"/>
      <c r="Y149" s="227"/>
      <c r="Z149" s="227"/>
      <c r="AA149"/>
      <c r="AB149"/>
      <c r="AC149"/>
      <c r="AD149"/>
      <c r="AE149"/>
      <c r="AF149"/>
      <c r="AG149"/>
      <c r="AH149"/>
      <c r="AI149"/>
      <c r="AJ149" s="213"/>
      <c r="AK149" s="213"/>
      <c r="AL149" s="213"/>
      <c r="AM149" s="213"/>
      <c r="AN149" s="213"/>
    </row>
    <row r="150" spans="1:40" x14ac:dyDescent="0.25">
      <c r="A150" s="164" t="s">
        <v>687</v>
      </c>
      <c r="B150" s="128" t="s">
        <v>688</v>
      </c>
      <c r="C150" s="243"/>
      <c r="D150" s="243"/>
      <c r="E150" s="243"/>
      <c r="F150" s="243"/>
      <c r="G150" s="133"/>
      <c r="H150" s="133"/>
      <c r="I150" s="133"/>
      <c r="J150" s="136"/>
      <c r="L150" s="227"/>
      <c r="M150" s="227"/>
      <c r="N150" s="227"/>
      <c r="O150" s="227"/>
      <c r="P150" s="227"/>
      <c r="Q150" s="227"/>
      <c r="R150" s="227"/>
      <c r="S150" s="227"/>
      <c r="T150" s="227"/>
      <c r="U150" s="227"/>
      <c r="V150" s="227"/>
      <c r="W150" s="227"/>
      <c r="X150" s="227"/>
      <c r="Y150" s="227"/>
      <c r="Z150" s="227"/>
      <c r="AA150"/>
      <c r="AB150"/>
      <c r="AC150"/>
      <c r="AD150"/>
      <c r="AE150"/>
      <c r="AF150"/>
      <c r="AG150"/>
      <c r="AH150"/>
      <c r="AI150"/>
      <c r="AJ150" s="213"/>
      <c r="AK150" s="213"/>
      <c r="AL150" s="213"/>
      <c r="AM150" s="213"/>
      <c r="AN150" s="213"/>
    </row>
    <row r="151" spans="1:40" ht="20.399999999999999" x14ac:dyDescent="0.25">
      <c r="A151" s="164" t="s">
        <v>1494</v>
      </c>
      <c r="B151" s="128" t="s">
        <v>6959</v>
      </c>
      <c r="C151" s="243"/>
      <c r="D151" s="243"/>
      <c r="E151" s="243"/>
      <c r="F151" s="243"/>
      <c r="G151" s="133">
        <v>4</v>
      </c>
      <c r="H151" s="133"/>
      <c r="I151" s="133"/>
      <c r="J151" s="136" t="s">
        <v>6960</v>
      </c>
      <c r="L151" s="227"/>
      <c r="M151" s="227"/>
      <c r="N151" s="227"/>
      <c r="O151" s="227"/>
      <c r="P151" s="227"/>
      <c r="Q151" s="227"/>
      <c r="R151" s="227"/>
      <c r="S151" s="227"/>
      <c r="T151" s="227"/>
      <c r="U151" s="227"/>
      <c r="V151" s="227"/>
      <c r="W151" s="227"/>
      <c r="X151" s="227"/>
      <c r="Y151" s="227"/>
      <c r="Z151" s="227"/>
      <c r="AA151">
        <f>IF(AND('1 Org'!C151&gt;Tmin, NOT('1 Org'!$I151="")),'1 Org'!$I151,0)</f>
        <v>0</v>
      </c>
      <c r="AB151">
        <f>IF(AND('1 Org'!D151&gt;Tmin, NOT('1 Org'!$I151="")),'1 Org'!$I151,0)</f>
        <v>0</v>
      </c>
      <c r="AC151">
        <f>IF(AND('1 Org'!E151&gt;Tmin, NOT('1 Org'!$I151="")),'1 Org'!$I151,0)</f>
        <v>0</v>
      </c>
      <c r="AD151">
        <f>IF(AND('1 Org'!F151&gt;Tmin, NOT('1 Org'!$I151="")),'1 Org'!$I151,0)</f>
        <v>0</v>
      </c>
      <c r="AE151">
        <f>IF(AND('1 Org'!C151&lt;Tmax, NOT('1 Org'!$H151="")),'1 Org'!$H151,4)</f>
        <v>4</v>
      </c>
      <c r="AF151">
        <f>IF(AND('1 Org'!D151&lt;Tmax, NOT('1 Org'!$H151="")),'1 Org'!$H151,4)</f>
        <v>4</v>
      </c>
      <c r="AG151">
        <f>IF(AND('1 Org'!E151&lt;Tmax, NOT('1 Org'!$H151="")),'1 Org'!$H151,4)</f>
        <v>4</v>
      </c>
      <c r="AH151">
        <f>IF(AND('1 Org'!F151&lt;Tmax, NOT('1 Org'!$H151="")),'1 Org'!$H151,4)</f>
        <v>4</v>
      </c>
      <c r="AI151"/>
      <c r="AJ151" s="213"/>
      <c r="AK151" s="213"/>
      <c r="AL151" s="213"/>
      <c r="AM151" s="213"/>
      <c r="AN151" s="213"/>
    </row>
    <row r="152" spans="1:40" ht="20.399999999999999" x14ac:dyDescent="0.25">
      <c r="A152" s="164" t="s">
        <v>1495</v>
      </c>
      <c r="B152" s="128" t="s">
        <v>6961</v>
      </c>
      <c r="C152" s="243"/>
      <c r="D152" s="243"/>
      <c r="E152" s="243"/>
      <c r="F152" s="243"/>
      <c r="G152" s="133">
        <v>4</v>
      </c>
      <c r="H152" s="133"/>
      <c r="I152" s="133"/>
      <c r="J152" s="136" t="s">
        <v>6960</v>
      </c>
      <c r="L152" s="227"/>
      <c r="M152" s="227"/>
      <c r="N152" s="227"/>
      <c r="O152" s="227"/>
      <c r="P152" s="227"/>
      <c r="Q152" s="227"/>
      <c r="R152" s="227"/>
      <c r="S152" s="227"/>
      <c r="T152" s="227"/>
      <c r="U152" s="227"/>
      <c r="V152" s="227"/>
      <c r="W152" s="227"/>
      <c r="X152" s="227"/>
      <c r="Y152" s="227"/>
      <c r="Z152" s="227"/>
      <c r="AA152">
        <f>IF(AND('1 Org'!C152&gt;Tmin, NOT('1 Org'!$I152="")),'1 Org'!$I152,0)</f>
        <v>0</v>
      </c>
      <c r="AB152">
        <f>IF(AND('1 Org'!D152&gt;Tmin, NOT('1 Org'!$I152="")),'1 Org'!$I152,0)</f>
        <v>0</v>
      </c>
      <c r="AC152">
        <f>IF(AND('1 Org'!E152&gt;Tmin, NOT('1 Org'!$I152="")),'1 Org'!$I152,0)</f>
        <v>0</v>
      </c>
      <c r="AD152">
        <f>IF(AND('1 Org'!F152&gt;Tmin, NOT('1 Org'!$I152="")),'1 Org'!$I152,0)</f>
        <v>0</v>
      </c>
      <c r="AE152">
        <f>IF(AND('1 Org'!C152&lt;Tmax, NOT('1 Org'!$H152="")),'1 Org'!$H152,4)</f>
        <v>4</v>
      </c>
      <c r="AF152">
        <f>IF(AND('1 Org'!D152&lt;Tmax, NOT('1 Org'!$H152="")),'1 Org'!$H152,4)</f>
        <v>4</v>
      </c>
      <c r="AG152">
        <f>IF(AND('1 Org'!E152&lt;Tmax, NOT('1 Org'!$H152="")),'1 Org'!$H152,4)</f>
        <v>4</v>
      </c>
      <c r="AH152">
        <f>IF(AND('1 Org'!F152&lt;Tmax, NOT('1 Org'!$H152="")),'1 Org'!$H152,4)</f>
        <v>4</v>
      </c>
      <c r="AI152"/>
      <c r="AJ152" s="213"/>
      <c r="AK152" s="213"/>
      <c r="AL152" s="213"/>
      <c r="AM152" s="213"/>
      <c r="AN152" s="213"/>
    </row>
    <row r="153" spans="1:40" ht="20.399999999999999" x14ac:dyDescent="0.25">
      <c r="A153" s="164" t="s">
        <v>6962</v>
      </c>
      <c r="B153" s="128" t="s">
        <v>6963</v>
      </c>
      <c r="C153" s="243"/>
      <c r="D153" s="243"/>
      <c r="E153" s="243"/>
      <c r="F153" s="243"/>
      <c r="G153" s="133">
        <v>4</v>
      </c>
      <c r="H153" s="133"/>
      <c r="I153" s="133"/>
      <c r="J153" s="136" t="s">
        <v>6960</v>
      </c>
      <c r="L153" s="227"/>
      <c r="M153" s="227"/>
      <c r="N153" s="227"/>
      <c r="O153" s="227"/>
      <c r="P153" s="227"/>
      <c r="Q153" s="227"/>
      <c r="R153" s="227"/>
      <c r="S153" s="227"/>
      <c r="T153" s="227"/>
      <c r="U153" s="227"/>
      <c r="V153" s="227"/>
      <c r="W153" s="227"/>
      <c r="X153" s="227"/>
      <c r="Y153" s="227"/>
      <c r="Z153" s="227"/>
      <c r="AA153">
        <f>IF(AND('1 Org'!C153&gt;Tmin, NOT('1 Org'!$I153="")),'1 Org'!$I153,0)</f>
        <v>0</v>
      </c>
      <c r="AB153">
        <f>IF(AND('1 Org'!D153&gt;Tmin, NOT('1 Org'!$I153="")),'1 Org'!$I153,0)</f>
        <v>0</v>
      </c>
      <c r="AC153">
        <f>IF(AND('1 Org'!E153&gt;Tmin, NOT('1 Org'!$I153="")),'1 Org'!$I153,0)</f>
        <v>0</v>
      </c>
      <c r="AD153">
        <f>IF(AND('1 Org'!F153&gt;Tmin, NOT('1 Org'!$I153="")),'1 Org'!$I153,0)</f>
        <v>0</v>
      </c>
      <c r="AE153">
        <f>IF(AND('1 Org'!C153&lt;Tmax, NOT('1 Org'!$H153="")),'1 Org'!$H153,4)</f>
        <v>4</v>
      </c>
      <c r="AF153">
        <f>IF(AND('1 Org'!D153&lt;Tmax, NOT('1 Org'!$H153="")),'1 Org'!$H153,4)</f>
        <v>4</v>
      </c>
      <c r="AG153">
        <f>IF(AND('1 Org'!E153&lt;Tmax, NOT('1 Org'!$H153="")),'1 Org'!$H153,4)</f>
        <v>4</v>
      </c>
      <c r="AH153">
        <f>IF(AND('1 Org'!F153&lt;Tmax, NOT('1 Org'!$H153="")),'1 Org'!$H153,4)</f>
        <v>4</v>
      </c>
      <c r="AI153"/>
      <c r="AJ153" s="213"/>
      <c r="AK153" s="213"/>
      <c r="AL153" s="213"/>
      <c r="AM153" s="213"/>
      <c r="AN153" s="213"/>
    </row>
    <row r="154" spans="1:40" x14ac:dyDescent="0.25">
      <c r="A154" s="164" t="s">
        <v>689</v>
      </c>
      <c r="B154" s="128" t="s">
        <v>6786</v>
      </c>
      <c r="C154" s="243"/>
      <c r="D154" s="243"/>
      <c r="E154" s="243"/>
      <c r="F154" s="243"/>
      <c r="G154" s="133"/>
      <c r="H154" s="133"/>
      <c r="I154" s="133"/>
      <c r="J154" s="136"/>
      <c r="L154" s="227"/>
      <c r="M154" s="227"/>
      <c r="N154" s="227"/>
      <c r="O154" s="227"/>
      <c r="P154" s="227"/>
      <c r="Q154" s="227"/>
      <c r="R154" s="227"/>
      <c r="S154" s="227"/>
      <c r="T154" s="227"/>
      <c r="U154" s="227"/>
      <c r="V154" s="227"/>
      <c r="W154" s="227"/>
      <c r="X154" s="227"/>
      <c r="Y154" s="227"/>
      <c r="Z154" s="227"/>
      <c r="AA154"/>
      <c r="AB154"/>
      <c r="AC154"/>
      <c r="AD154"/>
      <c r="AE154"/>
      <c r="AF154"/>
      <c r="AG154"/>
      <c r="AH154"/>
      <c r="AI154"/>
      <c r="AJ154" s="213"/>
      <c r="AK154" s="213"/>
      <c r="AL154" s="213"/>
      <c r="AM154" s="213"/>
      <c r="AN154" s="213"/>
    </row>
    <row r="155" spans="1:40" ht="20.399999999999999" x14ac:dyDescent="0.25">
      <c r="A155" s="164" t="s">
        <v>1496</v>
      </c>
      <c r="B155" s="128" t="s">
        <v>6964</v>
      </c>
      <c r="C155" s="243"/>
      <c r="D155" s="243"/>
      <c r="E155" s="243"/>
      <c r="F155" s="243"/>
      <c r="G155" s="133">
        <v>4</v>
      </c>
      <c r="H155" s="133"/>
      <c r="I155" s="133"/>
      <c r="J155" s="136" t="s">
        <v>6965</v>
      </c>
      <c r="L155" s="227"/>
      <c r="M155" s="227"/>
      <c r="N155" s="227"/>
      <c r="O155" s="227"/>
      <c r="P155" s="227"/>
      <c r="Q155" s="227"/>
      <c r="R155" s="227"/>
      <c r="S155" s="227"/>
      <c r="T155" s="227"/>
      <c r="U155" s="227"/>
      <c r="V155" s="227"/>
      <c r="W155" s="227"/>
      <c r="X155" s="227"/>
      <c r="Y155" s="227"/>
      <c r="Z155" s="227"/>
      <c r="AA155">
        <f>IF(AND('1 Org'!C155&gt;Tmin, NOT('1 Org'!$I155="")),'1 Org'!$I155,0)</f>
        <v>0</v>
      </c>
      <c r="AB155">
        <f>IF(AND('1 Org'!D155&gt;Tmin, NOT('1 Org'!$I155="")),'1 Org'!$I155,0)</f>
        <v>0</v>
      </c>
      <c r="AC155">
        <f>IF(AND('1 Org'!E155&gt;Tmin, NOT('1 Org'!$I155="")),'1 Org'!$I155,0)</f>
        <v>0</v>
      </c>
      <c r="AD155">
        <f>IF(AND('1 Org'!F155&gt;Tmin, NOT('1 Org'!$I155="")),'1 Org'!$I155,0)</f>
        <v>0</v>
      </c>
      <c r="AE155">
        <f>IF(AND('1 Org'!C155&lt;Tmax, NOT('1 Org'!$H155="")),'1 Org'!$H155,4)</f>
        <v>4</v>
      </c>
      <c r="AF155">
        <f>IF(AND('1 Org'!D155&lt;Tmax, NOT('1 Org'!$H155="")),'1 Org'!$H155,4)</f>
        <v>4</v>
      </c>
      <c r="AG155">
        <f>IF(AND('1 Org'!E155&lt;Tmax, NOT('1 Org'!$H155="")),'1 Org'!$H155,4)</f>
        <v>4</v>
      </c>
      <c r="AH155">
        <f>IF(AND('1 Org'!F155&lt;Tmax, NOT('1 Org'!$H155="")),'1 Org'!$H155,4)</f>
        <v>4</v>
      </c>
      <c r="AI155"/>
      <c r="AJ155" s="213"/>
      <c r="AK155" s="213"/>
      <c r="AL155" s="213"/>
      <c r="AM155" s="213"/>
      <c r="AN155" s="213"/>
    </row>
    <row r="156" spans="1:40" ht="20.399999999999999" x14ac:dyDescent="0.25">
      <c r="A156" s="164" t="s">
        <v>6966</v>
      </c>
      <c r="B156" s="128" t="s">
        <v>6967</v>
      </c>
      <c r="C156" s="243"/>
      <c r="D156" s="243"/>
      <c r="E156" s="243"/>
      <c r="F156" s="243"/>
      <c r="G156" s="133">
        <v>4</v>
      </c>
      <c r="H156" s="133"/>
      <c r="I156" s="133"/>
      <c r="J156" s="136" t="s">
        <v>6965</v>
      </c>
      <c r="L156" s="227"/>
      <c r="M156" s="227"/>
      <c r="N156" s="227"/>
      <c r="O156" s="227"/>
      <c r="P156" s="227"/>
      <c r="Q156" s="227"/>
      <c r="R156" s="227"/>
      <c r="S156" s="227"/>
      <c r="T156" s="227"/>
      <c r="U156" s="227"/>
      <c r="V156" s="227"/>
      <c r="W156" s="227"/>
      <c r="X156" s="227"/>
      <c r="Y156" s="227"/>
      <c r="Z156" s="227"/>
      <c r="AA156">
        <f>IF(AND('1 Org'!C156&gt;Tmin, NOT('1 Org'!$I156="")),'1 Org'!$I156,0)</f>
        <v>0</v>
      </c>
      <c r="AB156">
        <f>IF(AND('1 Org'!D156&gt;Tmin, NOT('1 Org'!$I156="")),'1 Org'!$I156,0)</f>
        <v>0</v>
      </c>
      <c r="AC156">
        <f>IF(AND('1 Org'!E156&gt;Tmin, NOT('1 Org'!$I156="")),'1 Org'!$I156,0)</f>
        <v>0</v>
      </c>
      <c r="AD156">
        <f>IF(AND('1 Org'!F156&gt;Tmin, NOT('1 Org'!$I156="")),'1 Org'!$I156,0)</f>
        <v>0</v>
      </c>
      <c r="AE156">
        <f>IF(AND('1 Org'!C156&lt;Tmax, NOT('1 Org'!$H156="")),'1 Org'!$H156,4)</f>
        <v>4</v>
      </c>
      <c r="AF156">
        <f>IF(AND('1 Org'!D156&lt;Tmax, NOT('1 Org'!$H156="")),'1 Org'!$H156,4)</f>
        <v>4</v>
      </c>
      <c r="AG156">
        <f>IF(AND('1 Org'!E156&lt;Tmax, NOT('1 Org'!$H156="")),'1 Org'!$H156,4)</f>
        <v>4</v>
      </c>
      <c r="AH156">
        <f>IF(AND('1 Org'!F156&lt;Tmax, NOT('1 Org'!$H156="")),'1 Org'!$H156,4)</f>
        <v>4</v>
      </c>
      <c r="AI156"/>
      <c r="AJ156" s="213"/>
      <c r="AK156" s="213"/>
      <c r="AL156" s="213"/>
      <c r="AM156" s="213"/>
      <c r="AN156" s="213"/>
    </row>
    <row r="157" spans="1:40" x14ac:dyDescent="0.25">
      <c r="A157" s="164" t="s">
        <v>691</v>
      </c>
      <c r="B157" s="128" t="s">
        <v>6968</v>
      </c>
      <c r="C157" s="243"/>
      <c r="D157" s="243"/>
      <c r="E157" s="243"/>
      <c r="F157" s="243"/>
      <c r="G157" s="133"/>
      <c r="H157" s="133"/>
      <c r="I157" s="133"/>
      <c r="J157" s="136"/>
      <c r="L157" s="227"/>
      <c r="M157" s="227"/>
      <c r="N157" s="227"/>
      <c r="O157" s="227"/>
      <c r="P157" s="227"/>
      <c r="Q157" s="227"/>
      <c r="R157" s="227"/>
      <c r="S157" s="227"/>
      <c r="T157" s="227"/>
      <c r="U157" s="227"/>
      <c r="V157" s="227"/>
      <c r="W157" s="227"/>
      <c r="X157" s="227"/>
      <c r="Y157" s="227"/>
      <c r="Z157" s="227"/>
      <c r="AA157"/>
      <c r="AB157"/>
      <c r="AC157"/>
      <c r="AD157"/>
      <c r="AE157"/>
      <c r="AF157"/>
      <c r="AG157"/>
      <c r="AH157"/>
      <c r="AI157"/>
      <c r="AJ157" s="213"/>
      <c r="AK157" s="213"/>
      <c r="AL157" s="213"/>
      <c r="AM157" s="213"/>
      <c r="AN157" s="213"/>
    </row>
    <row r="158" spans="1:40" ht="30.6" x14ac:dyDescent="0.25">
      <c r="A158" s="164" t="s">
        <v>1497</v>
      </c>
      <c r="B158" s="128" t="s">
        <v>6969</v>
      </c>
      <c r="C158" s="243"/>
      <c r="D158" s="243"/>
      <c r="E158" s="243"/>
      <c r="F158" s="243"/>
      <c r="G158" s="133">
        <v>4</v>
      </c>
      <c r="H158" s="133"/>
      <c r="I158" s="133"/>
      <c r="J158" s="136" t="s">
        <v>6970</v>
      </c>
      <c r="L158" s="227"/>
      <c r="M158" s="227"/>
      <c r="N158" s="227"/>
      <c r="O158" s="227"/>
      <c r="P158" s="227"/>
      <c r="Q158" s="227"/>
      <c r="R158" s="227"/>
      <c r="S158" s="227"/>
      <c r="T158" s="227"/>
      <c r="U158" s="227"/>
      <c r="V158" s="227"/>
      <c r="W158" s="227"/>
      <c r="X158" s="227"/>
      <c r="Y158" s="227"/>
      <c r="Z158" s="227"/>
      <c r="AA158">
        <f>IF(AND('1 Org'!C158&gt;Tmin, NOT('1 Org'!$I158="")),'1 Org'!$I158,0)</f>
        <v>0</v>
      </c>
      <c r="AB158">
        <f>IF(AND('1 Org'!D158&gt;Tmin, NOT('1 Org'!$I158="")),'1 Org'!$I158,0)</f>
        <v>0</v>
      </c>
      <c r="AC158">
        <f>IF(AND('1 Org'!E158&gt;Tmin, NOT('1 Org'!$I158="")),'1 Org'!$I158,0)</f>
        <v>0</v>
      </c>
      <c r="AD158">
        <f>IF(AND('1 Org'!F158&gt;Tmin, NOT('1 Org'!$I158="")),'1 Org'!$I158,0)</f>
        <v>0</v>
      </c>
      <c r="AE158">
        <f>IF(AND('1 Org'!C158&lt;Tmax, NOT('1 Org'!$H158="")),'1 Org'!$H158,4)</f>
        <v>4</v>
      </c>
      <c r="AF158">
        <f>IF(AND('1 Org'!D158&lt;Tmax, NOT('1 Org'!$H158="")),'1 Org'!$H158,4)</f>
        <v>4</v>
      </c>
      <c r="AG158">
        <f>IF(AND('1 Org'!E158&lt;Tmax, NOT('1 Org'!$H158="")),'1 Org'!$H158,4)</f>
        <v>4</v>
      </c>
      <c r="AH158">
        <f>IF(AND('1 Org'!F158&lt;Tmax, NOT('1 Org'!$H158="")),'1 Org'!$H158,4)</f>
        <v>4</v>
      </c>
      <c r="AI158"/>
      <c r="AJ158" s="213"/>
      <c r="AK158" s="213"/>
      <c r="AL158" s="213"/>
      <c r="AM158" s="213"/>
      <c r="AN158" s="213"/>
    </row>
    <row r="159" spans="1:40" ht="20.399999999999999" x14ac:dyDescent="0.25">
      <c r="A159" s="164" t="s">
        <v>1498</v>
      </c>
      <c r="B159" s="128" t="s">
        <v>6971</v>
      </c>
      <c r="C159" s="243"/>
      <c r="D159" s="243"/>
      <c r="E159" s="243"/>
      <c r="F159" s="243"/>
      <c r="G159" s="133">
        <v>4</v>
      </c>
      <c r="H159" s="133"/>
      <c r="I159" s="133"/>
      <c r="J159" s="136" t="s">
        <v>6970</v>
      </c>
      <c r="L159" s="227"/>
      <c r="M159" s="227"/>
      <c r="N159" s="227"/>
      <c r="O159" s="227"/>
      <c r="P159" s="227"/>
      <c r="Q159" s="227"/>
      <c r="R159" s="227"/>
      <c r="S159" s="227"/>
      <c r="T159" s="227"/>
      <c r="U159" s="227"/>
      <c r="V159" s="227"/>
      <c r="W159" s="227"/>
      <c r="X159" s="227"/>
      <c r="Y159" s="227"/>
      <c r="Z159" s="227"/>
      <c r="AA159">
        <f>IF(AND('1 Org'!C159&gt;Tmin, NOT('1 Org'!$I159="")),'1 Org'!$I159,0)</f>
        <v>0</v>
      </c>
      <c r="AB159">
        <f>IF(AND('1 Org'!D159&gt;Tmin, NOT('1 Org'!$I159="")),'1 Org'!$I159,0)</f>
        <v>0</v>
      </c>
      <c r="AC159">
        <f>IF(AND('1 Org'!E159&gt;Tmin, NOT('1 Org'!$I159="")),'1 Org'!$I159,0)</f>
        <v>0</v>
      </c>
      <c r="AD159">
        <f>IF(AND('1 Org'!F159&gt;Tmin, NOT('1 Org'!$I159="")),'1 Org'!$I159,0)</f>
        <v>0</v>
      </c>
      <c r="AE159">
        <f>IF(AND('1 Org'!C159&lt;Tmax, NOT('1 Org'!$H159="")),'1 Org'!$H159,4)</f>
        <v>4</v>
      </c>
      <c r="AF159">
        <f>IF(AND('1 Org'!D159&lt;Tmax, NOT('1 Org'!$H159="")),'1 Org'!$H159,4)</f>
        <v>4</v>
      </c>
      <c r="AG159">
        <f>IF(AND('1 Org'!E159&lt;Tmax, NOT('1 Org'!$H159="")),'1 Org'!$H159,4)</f>
        <v>4</v>
      </c>
      <c r="AH159">
        <f>IF(AND('1 Org'!F159&lt;Tmax, NOT('1 Org'!$H159="")),'1 Org'!$H159,4)</f>
        <v>4</v>
      </c>
      <c r="AI159"/>
      <c r="AJ159" s="213"/>
      <c r="AK159" s="213"/>
      <c r="AL159" s="213"/>
      <c r="AM159" s="213"/>
      <c r="AN159" s="213"/>
    </row>
    <row r="160" spans="1:40" x14ac:dyDescent="0.25">
      <c r="A160" s="164" t="s">
        <v>693</v>
      </c>
      <c r="B160" s="128" t="s">
        <v>6972</v>
      </c>
      <c r="C160" s="243"/>
      <c r="D160" s="243"/>
      <c r="E160" s="243"/>
      <c r="F160" s="243"/>
      <c r="G160" s="133"/>
      <c r="H160" s="133"/>
      <c r="I160" s="133"/>
      <c r="J160" s="136"/>
      <c r="L160" s="227"/>
      <c r="M160" s="227"/>
      <c r="N160" s="227"/>
      <c r="O160" s="227"/>
      <c r="P160" s="227"/>
      <c r="Q160" s="227"/>
      <c r="R160" s="227"/>
      <c r="S160" s="227"/>
      <c r="T160" s="227"/>
      <c r="U160" s="227"/>
      <c r="V160" s="227"/>
      <c r="W160" s="227"/>
      <c r="X160" s="227"/>
      <c r="Y160" s="227"/>
      <c r="Z160" s="227"/>
      <c r="AA160"/>
      <c r="AB160"/>
      <c r="AC160"/>
      <c r="AD160"/>
      <c r="AE160"/>
      <c r="AF160"/>
      <c r="AG160"/>
      <c r="AH160"/>
      <c r="AI160"/>
      <c r="AJ160" s="213"/>
      <c r="AK160" s="213"/>
      <c r="AL160" s="213"/>
      <c r="AM160" s="213"/>
      <c r="AN160" s="213"/>
    </row>
    <row r="161" spans="1:40" ht="39" customHeight="1" x14ac:dyDescent="0.25">
      <c r="A161" s="164" t="s">
        <v>1499</v>
      </c>
      <c r="B161" s="128" t="s">
        <v>6973</v>
      </c>
      <c r="C161" s="243"/>
      <c r="D161" s="243"/>
      <c r="E161" s="243"/>
      <c r="F161" s="243"/>
      <c r="G161" s="133">
        <v>2</v>
      </c>
      <c r="H161" s="133"/>
      <c r="I161" s="133"/>
      <c r="J161" s="136" t="s">
        <v>6974</v>
      </c>
      <c r="L161" s="227"/>
      <c r="M161" s="227"/>
      <c r="N161" s="227"/>
      <c r="O161" s="227"/>
      <c r="P161" s="227"/>
      <c r="Q161" s="227"/>
      <c r="R161" s="227"/>
      <c r="S161" s="227"/>
      <c r="T161" s="227"/>
      <c r="U161" s="227"/>
      <c r="V161" s="227"/>
      <c r="W161" s="227"/>
      <c r="X161" s="227"/>
      <c r="Y161" s="227"/>
      <c r="Z161" s="227"/>
      <c r="AA161">
        <f>IF(AND('1 Org'!C161&gt;Tmin, NOT('1 Org'!$I161="")),'1 Org'!$I161,0)</f>
        <v>0</v>
      </c>
      <c r="AB161">
        <f>IF(AND('1 Org'!D161&gt;Tmin, NOT('1 Org'!$I161="")),'1 Org'!$I161,0)</f>
        <v>0</v>
      </c>
      <c r="AC161">
        <f>IF(AND('1 Org'!E161&gt;Tmin, NOT('1 Org'!$I161="")),'1 Org'!$I161,0)</f>
        <v>0</v>
      </c>
      <c r="AD161">
        <f>IF(AND('1 Org'!F161&gt;Tmin, NOT('1 Org'!$I161="")),'1 Org'!$I161,0)</f>
        <v>0</v>
      </c>
      <c r="AE161">
        <f>IF(AND('1 Org'!C161&lt;Tmax, NOT('1 Org'!$H161="")),'1 Org'!$H161,4)</f>
        <v>4</v>
      </c>
      <c r="AF161">
        <f>IF(AND('1 Org'!D161&lt;Tmax, NOT('1 Org'!$H161="")),'1 Org'!$H161,4)</f>
        <v>4</v>
      </c>
      <c r="AG161">
        <f>IF(AND('1 Org'!E161&lt;Tmax, NOT('1 Org'!$H161="")),'1 Org'!$H161,4)</f>
        <v>4</v>
      </c>
      <c r="AH161">
        <f>IF(AND('1 Org'!F161&lt;Tmax, NOT('1 Org'!$H161="")),'1 Org'!$H161,4)</f>
        <v>4</v>
      </c>
      <c r="AI161"/>
      <c r="AJ161" s="213"/>
      <c r="AK161" s="213"/>
      <c r="AL161" s="213"/>
      <c r="AM161" s="213"/>
      <c r="AN161" s="213"/>
    </row>
    <row r="162" spans="1:40" ht="20.399999999999999" x14ac:dyDescent="0.25">
      <c r="A162" s="164" t="s">
        <v>1500</v>
      </c>
      <c r="B162" s="128" t="s">
        <v>6975</v>
      </c>
      <c r="C162" s="243"/>
      <c r="D162" s="243"/>
      <c r="E162" s="243"/>
      <c r="F162" s="243"/>
      <c r="G162" s="133">
        <v>4</v>
      </c>
      <c r="H162" s="133"/>
      <c r="I162" s="133"/>
      <c r="J162" s="136" t="s">
        <v>6974</v>
      </c>
      <c r="L162" s="227"/>
      <c r="M162" s="227"/>
      <c r="N162" s="227"/>
      <c r="O162" s="227"/>
      <c r="P162" s="227"/>
      <c r="Q162" s="227"/>
      <c r="R162" s="227"/>
      <c r="S162" s="227"/>
      <c r="T162" s="227"/>
      <c r="U162" s="227"/>
      <c r="V162" s="227"/>
      <c r="W162" s="227"/>
      <c r="X162" s="227"/>
      <c r="Y162" s="227"/>
      <c r="Z162" s="227"/>
      <c r="AA162">
        <f>IF(AND('1 Org'!C162&gt;Tmin, NOT('1 Org'!$I162="")),'1 Org'!$I162,0)</f>
        <v>0</v>
      </c>
      <c r="AB162">
        <f>IF(AND('1 Org'!D162&gt;Tmin, NOT('1 Org'!$I162="")),'1 Org'!$I162,0)</f>
        <v>0</v>
      </c>
      <c r="AC162">
        <f>IF(AND('1 Org'!E162&gt;Tmin, NOT('1 Org'!$I162="")),'1 Org'!$I162,0)</f>
        <v>0</v>
      </c>
      <c r="AD162">
        <f>IF(AND('1 Org'!F162&gt;Tmin, NOT('1 Org'!$I162="")),'1 Org'!$I162,0)</f>
        <v>0</v>
      </c>
      <c r="AE162">
        <f>IF(AND('1 Org'!C162&lt;Tmax, NOT('1 Org'!$H162="")),'1 Org'!$H162,4)</f>
        <v>4</v>
      </c>
      <c r="AF162">
        <f>IF(AND('1 Org'!D162&lt;Tmax, NOT('1 Org'!$H162="")),'1 Org'!$H162,4)</f>
        <v>4</v>
      </c>
      <c r="AG162">
        <f>IF(AND('1 Org'!E162&lt;Tmax, NOT('1 Org'!$H162="")),'1 Org'!$H162,4)</f>
        <v>4</v>
      </c>
      <c r="AH162">
        <f>IF(AND('1 Org'!F162&lt;Tmax, NOT('1 Org'!$H162="")),'1 Org'!$H162,4)</f>
        <v>4</v>
      </c>
      <c r="AI162"/>
      <c r="AJ162" s="213"/>
      <c r="AK162" s="213"/>
      <c r="AL162" s="213"/>
      <c r="AM162" s="213"/>
      <c r="AN162" s="213"/>
    </row>
    <row r="163" spans="1:40" x14ac:dyDescent="0.25">
      <c r="AA163"/>
      <c r="AB163"/>
      <c r="AC163"/>
      <c r="AD163"/>
      <c r="AE163"/>
      <c r="AF163"/>
      <c r="AG163"/>
      <c r="AH163"/>
      <c r="AI163"/>
    </row>
    <row r="164" spans="1:40" x14ac:dyDescent="0.25">
      <c r="AA164"/>
      <c r="AB164"/>
      <c r="AC164"/>
      <c r="AD164"/>
      <c r="AE164"/>
      <c r="AF164"/>
      <c r="AG164"/>
      <c r="AH164"/>
      <c r="AI164"/>
    </row>
    <row r="165" spans="1:40" x14ac:dyDescent="0.25">
      <c r="AA165"/>
      <c r="AB165"/>
      <c r="AC165"/>
      <c r="AD165"/>
      <c r="AE165"/>
      <c r="AF165"/>
      <c r="AG165"/>
      <c r="AH165"/>
      <c r="AI165"/>
    </row>
    <row r="166" spans="1:40" x14ac:dyDescent="0.25">
      <c r="AA166"/>
      <c r="AB166"/>
      <c r="AC166"/>
      <c r="AD166"/>
      <c r="AE166"/>
      <c r="AF166"/>
      <c r="AG166"/>
      <c r="AH166"/>
      <c r="AI166"/>
    </row>
    <row r="167" spans="1:40" x14ac:dyDescent="0.25">
      <c r="AA167"/>
      <c r="AB167"/>
      <c r="AC167"/>
      <c r="AD167"/>
      <c r="AE167"/>
      <c r="AF167"/>
      <c r="AG167"/>
      <c r="AH167"/>
      <c r="AI167"/>
    </row>
    <row r="168" spans="1:40" x14ac:dyDescent="0.25">
      <c r="AA168"/>
      <c r="AB168"/>
      <c r="AC168"/>
      <c r="AD168"/>
      <c r="AE168"/>
      <c r="AF168"/>
      <c r="AG168"/>
      <c r="AH168"/>
      <c r="AI168"/>
    </row>
    <row r="169" spans="1:40" x14ac:dyDescent="0.25">
      <c r="AA169"/>
      <c r="AB169"/>
      <c r="AC169"/>
      <c r="AD169"/>
      <c r="AE169"/>
      <c r="AF169"/>
      <c r="AG169"/>
      <c r="AH169"/>
      <c r="AI169"/>
    </row>
    <row r="170" spans="1:40" x14ac:dyDescent="0.25">
      <c r="AA170"/>
      <c r="AB170"/>
      <c r="AC170"/>
      <c r="AD170"/>
      <c r="AE170"/>
      <c r="AF170"/>
      <c r="AG170"/>
      <c r="AH170"/>
      <c r="AI170"/>
    </row>
    <row r="171" spans="1:40" x14ac:dyDescent="0.25">
      <c r="AA171"/>
      <c r="AB171"/>
      <c r="AC171"/>
      <c r="AD171"/>
      <c r="AE171"/>
      <c r="AF171"/>
      <c r="AG171"/>
      <c r="AH171"/>
      <c r="AI171"/>
    </row>
    <row r="172" spans="1:40" x14ac:dyDescent="0.25">
      <c r="AA172"/>
      <c r="AB172"/>
      <c r="AC172"/>
      <c r="AD172"/>
      <c r="AE172"/>
      <c r="AF172"/>
      <c r="AG172"/>
      <c r="AH172"/>
      <c r="AI172"/>
    </row>
    <row r="173" spans="1:40" x14ac:dyDescent="0.25">
      <c r="AA173"/>
      <c r="AB173"/>
      <c r="AC173"/>
      <c r="AD173"/>
      <c r="AE173"/>
      <c r="AF173"/>
      <c r="AG173"/>
      <c r="AH173"/>
      <c r="AI173"/>
    </row>
    <row r="174" spans="1:40" x14ac:dyDescent="0.25">
      <c r="AA174"/>
      <c r="AB174"/>
      <c r="AC174"/>
      <c r="AD174"/>
      <c r="AE174"/>
      <c r="AF174"/>
      <c r="AG174"/>
      <c r="AH174"/>
      <c r="AI174"/>
    </row>
    <row r="175" spans="1:40" x14ac:dyDescent="0.25">
      <c r="AA175"/>
      <c r="AB175"/>
      <c r="AC175"/>
      <c r="AD175"/>
      <c r="AE175"/>
      <c r="AF175"/>
      <c r="AG175"/>
      <c r="AH175"/>
      <c r="AI175"/>
    </row>
    <row r="176" spans="1:40"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sheetData>
  <sheetProtection sheet="1" objects="1" scenarios="1" formatCells="0" formatColumns="0" formatRows="0"/>
  <mergeCells count="1">
    <mergeCell ref="A1:B1"/>
  </mergeCells>
  <phoneticPr fontId="6" type="noConversion"/>
  <conditionalFormatting sqref="D25:F39 A25:B39 A20:B22 A5:F5 D20:F22 C6:C68 B95 A95:A98 A99:B115 C69:F115 A41:B94 A116:F162 A6:B18 D41:F68 D6:F18 H20:J22 H5:J18 H25:J39 H41:J162">
    <cfRule type="expression" dxfId="313" priority="48">
      <formula>AND(NOT($J5=""),$J$1=1)</formula>
    </cfRule>
    <cfRule type="expression" dxfId="312" priority="50">
      <formula>LEN($A5)=2</formula>
    </cfRule>
  </conditionalFormatting>
  <conditionalFormatting sqref="A44:B45 B95 A95:A98 D25:F39 A48:B49 A46:A47 A51:B52 A50 B53 A53:A54 A70:B72 B75:B76 A78:B86 A89:B89 A91:B91 A90 A93:B94 A92 A100:B101 A104:B104 B102 A102:A103 A106:B106 A105 A108:B109 A107 A111:B111 A110 A112 A113:B115 A130:B152 A154:B155 A153 A157:B158 A159 A160:B161 A162 A25:B39 A156 B73 A73:A77 A87:A88 A5:F5 D44:F65 C6:C65 A55:B65 A66:F68 A118:B128 B116 C69:F162 A116:A131 A6:B18 D6:F18 H44:I162 H5:I18 H25:I39">
    <cfRule type="expression" dxfId="311" priority="49">
      <formula>LEN($A5)=4</formula>
    </cfRule>
  </conditionalFormatting>
  <conditionalFormatting sqref="A19:B19 D19:F19 D23:F24 A24:B24 A23 H23:I24 H19:I19">
    <cfRule type="expression" dxfId="310" priority="47">
      <formula>LEN($A19)=4</formula>
    </cfRule>
  </conditionalFormatting>
  <conditionalFormatting sqref="A40:B40 D40:F40 H40:I40">
    <cfRule type="expression" dxfId="309" priority="46">
      <formula>LEN($A40)=4</formula>
    </cfRule>
  </conditionalFormatting>
  <conditionalFormatting sqref="A69:B69">
    <cfRule type="expression" dxfId="308" priority="45">
      <formula>LEN($A69)=4</formula>
    </cfRule>
  </conditionalFormatting>
  <conditionalFormatting sqref="B96:B98">
    <cfRule type="expression" dxfId="307" priority="51">
      <formula>LEN($A95)=4</formula>
    </cfRule>
  </conditionalFormatting>
  <conditionalFormatting sqref="A41:B43 D41:F43 H41:I43">
    <cfRule type="expression" dxfId="306" priority="43">
      <formula>LEN($A41)=4</formula>
    </cfRule>
  </conditionalFormatting>
  <conditionalFormatting sqref="D20:F22 A20:B22 H20:I22">
    <cfRule type="expression" dxfId="305" priority="44">
      <formula>LEN($A20)=4</formula>
    </cfRule>
  </conditionalFormatting>
  <conditionalFormatting sqref="A99">
    <cfRule type="expression" dxfId="304" priority="42">
      <formula>LEN($A99)=4</formula>
    </cfRule>
  </conditionalFormatting>
  <conditionalFormatting sqref="B99">
    <cfRule type="expression" dxfId="303" priority="41">
      <formula>LEN($A99)=4</formula>
    </cfRule>
  </conditionalFormatting>
  <conditionalFormatting sqref="B43">
    <cfRule type="expression" dxfId="302" priority="40">
      <formula>LEN($A43)=4</formula>
    </cfRule>
  </conditionalFormatting>
  <conditionalFormatting sqref="B46">
    <cfRule type="expression" dxfId="301" priority="39">
      <formula>LEN($A46)=4</formula>
    </cfRule>
  </conditionalFormatting>
  <conditionalFormatting sqref="B46">
    <cfRule type="expression" dxfId="300" priority="38">
      <formula>LEN($A46)=4</formula>
    </cfRule>
  </conditionalFormatting>
  <conditionalFormatting sqref="B47">
    <cfRule type="expression" dxfId="299" priority="37">
      <formula>LEN($A47)=4</formula>
    </cfRule>
  </conditionalFormatting>
  <conditionalFormatting sqref="B50">
    <cfRule type="expression" dxfId="298" priority="36">
      <formula>LEN($A50)=4</formula>
    </cfRule>
  </conditionalFormatting>
  <conditionalFormatting sqref="B50">
    <cfRule type="expression" dxfId="297" priority="35">
      <formula>LEN($A50)=4</formula>
    </cfRule>
  </conditionalFormatting>
  <conditionalFormatting sqref="B54">
    <cfRule type="expression" dxfId="296" priority="34">
      <formula>LEN($A54)=4</formula>
    </cfRule>
  </conditionalFormatting>
  <conditionalFormatting sqref="B54">
    <cfRule type="expression" dxfId="295" priority="33">
      <formula>LEN($A54)=4</formula>
    </cfRule>
  </conditionalFormatting>
  <conditionalFormatting sqref="B74">
    <cfRule type="expression" dxfId="294" priority="28">
      <formula>LEN($A74)=4</formula>
    </cfRule>
  </conditionalFormatting>
  <conditionalFormatting sqref="B74">
    <cfRule type="expression" dxfId="293" priority="27">
      <formula>LEN($A74)=4</formula>
    </cfRule>
  </conditionalFormatting>
  <conditionalFormatting sqref="B77">
    <cfRule type="expression" dxfId="292" priority="26">
      <formula>LEN($A77)=4</formula>
    </cfRule>
  </conditionalFormatting>
  <conditionalFormatting sqref="B77">
    <cfRule type="expression" dxfId="291" priority="25">
      <formula>LEN($A77)=4</formula>
    </cfRule>
  </conditionalFormatting>
  <conditionalFormatting sqref="B87">
    <cfRule type="expression" dxfId="290" priority="24">
      <formula>LEN($A87)=4</formula>
    </cfRule>
  </conditionalFormatting>
  <conditionalFormatting sqref="B88">
    <cfRule type="expression" dxfId="289" priority="23">
      <formula>LEN($A88)=4</formula>
    </cfRule>
  </conditionalFormatting>
  <conditionalFormatting sqref="B90">
    <cfRule type="expression" dxfId="288" priority="22">
      <formula>LEN($A90)=4</formula>
    </cfRule>
  </conditionalFormatting>
  <conditionalFormatting sqref="B92">
    <cfRule type="expression" dxfId="287" priority="21">
      <formula>LEN($A92)=4</formula>
    </cfRule>
  </conditionalFormatting>
  <conditionalFormatting sqref="J106:J107">
    <cfRule type="expression" dxfId="286" priority="52">
      <formula>AND(NOT(#REF!=""),#REF!=1)</formula>
    </cfRule>
    <cfRule type="expression" dxfId="285" priority="53">
      <formula>LEN($A102)=2</formula>
    </cfRule>
  </conditionalFormatting>
  <conditionalFormatting sqref="B103">
    <cfRule type="expression" dxfId="284" priority="20">
      <formula>LEN($A103)=4</formula>
    </cfRule>
  </conditionalFormatting>
  <conditionalFormatting sqref="B105">
    <cfRule type="expression" dxfId="283" priority="19">
      <formula>LEN($A105)=4</formula>
    </cfRule>
  </conditionalFormatting>
  <conditionalFormatting sqref="B107">
    <cfRule type="expression" dxfId="282" priority="18">
      <formula>LEN($A107)=4</formula>
    </cfRule>
  </conditionalFormatting>
  <conditionalFormatting sqref="B110">
    <cfRule type="expression" dxfId="281" priority="17">
      <formula>LEN($A110)=4</formula>
    </cfRule>
  </conditionalFormatting>
  <conditionalFormatting sqref="B112">
    <cfRule type="expression" dxfId="280" priority="16">
      <formula>LEN($A112)=4</formula>
    </cfRule>
  </conditionalFormatting>
  <conditionalFormatting sqref="B129">
    <cfRule type="expression" dxfId="279" priority="15">
      <formula>LEN($A129)=4</formula>
    </cfRule>
  </conditionalFormatting>
  <conditionalFormatting sqref="B153">
    <cfRule type="expression" dxfId="278" priority="14">
      <formula>LEN($A153)=4</formula>
    </cfRule>
  </conditionalFormatting>
  <conditionalFormatting sqref="B156">
    <cfRule type="expression" dxfId="277" priority="13">
      <formula>LEN($A156)=4</formula>
    </cfRule>
  </conditionalFormatting>
  <conditionalFormatting sqref="B159">
    <cfRule type="expression" dxfId="276" priority="12">
      <formula>LEN($A159)=4</formula>
    </cfRule>
  </conditionalFormatting>
  <conditionalFormatting sqref="B162">
    <cfRule type="expression" dxfId="275" priority="11">
      <formula>LEN($A162)=4</formula>
    </cfRule>
  </conditionalFormatting>
  <conditionalFormatting sqref="B117">
    <cfRule type="expression" dxfId="274" priority="8">
      <formula>LEN($A117)=4</formula>
    </cfRule>
  </conditionalFormatting>
  <conditionalFormatting sqref="G25:G39 G20:G22 G5:G18 G41:G162">
    <cfRule type="expression" dxfId="273" priority="5">
      <formula>AND(NOT($J5=""),$J$1=1)</formula>
    </cfRule>
    <cfRule type="expression" dxfId="272" priority="7">
      <formula>LEN($A5)=2</formula>
    </cfRule>
  </conditionalFormatting>
  <conditionalFormatting sqref="G25:G39 G44:G162 G5:G18">
    <cfRule type="expression" dxfId="271" priority="6">
      <formula>LEN($A5)=4</formula>
    </cfRule>
  </conditionalFormatting>
  <conditionalFormatting sqref="G19 G23:G24">
    <cfRule type="expression" dxfId="270" priority="4">
      <formula>LEN($A19)=4</formula>
    </cfRule>
  </conditionalFormatting>
  <conditionalFormatting sqref="G40">
    <cfRule type="expression" dxfId="269" priority="3">
      <formula>LEN($A40)=4</formula>
    </cfRule>
  </conditionalFormatting>
  <conditionalFormatting sqref="G41:G43">
    <cfRule type="expression" dxfId="268" priority="1">
      <formula>LEN($A41)=4</formula>
    </cfRule>
  </conditionalFormatting>
  <conditionalFormatting sqref="G20:G22">
    <cfRule type="expression" dxfId="267" priority="2">
      <formula>LEN($A20)=4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2">
    <tabColor rgb="FFFF0000"/>
  </sheetPr>
  <dimension ref="A1:AI400"/>
  <sheetViews>
    <sheetView workbookViewId="0">
      <selection activeCell="B136" sqref="B136"/>
    </sheetView>
  </sheetViews>
  <sheetFormatPr baseColWidth="10" defaultColWidth="11.44140625" defaultRowHeight="10.199999999999999" x14ac:dyDescent="0.2"/>
  <cols>
    <col min="1" max="1" width="11.44140625" style="513"/>
    <col min="2" max="2" width="83.6640625" style="330" customWidth="1"/>
    <col min="3" max="6" width="5.33203125" style="330" customWidth="1"/>
    <col min="7" max="9" width="4.6640625" style="334" customWidth="1"/>
    <col min="10" max="10" width="14" style="330" customWidth="1"/>
    <col min="11" max="11" width="26.33203125" style="330" customWidth="1"/>
    <col min="12" max="26" width="11.44140625" style="330"/>
    <col min="27" max="32" width="0" style="330" hidden="1" customWidth="1"/>
    <col min="33" max="34" width="11.44140625" style="330" hidden="1" customWidth="1"/>
    <col min="35" max="16384" width="11.44140625" style="330"/>
  </cols>
  <sheetData>
    <row r="1" spans="1:35" s="531" customFormat="1" ht="15.6" x14ac:dyDescent="0.25">
      <c r="A1" s="527" t="s">
        <v>3111</v>
      </c>
      <c r="B1" s="528"/>
      <c r="C1" s="1098">
        <v>1</v>
      </c>
      <c r="D1" s="1099" t="str">
        <f>"variante"&amp;IF(C1&gt;1,"s","")</f>
        <v>variante</v>
      </c>
      <c r="E1" s="1121"/>
      <c r="F1" s="1121"/>
      <c r="G1" s="529"/>
      <c r="H1" s="529"/>
      <c r="I1" s="529"/>
      <c r="J1" s="1122">
        <f>'Score ISO'!E2</f>
        <v>1</v>
      </c>
      <c r="K1" s="530"/>
    </row>
    <row r="2" spans="1:35" s="326" customFormat="1" ht="13.2" x14ac:dyDescent="0.25">
      <c r="A2" s="519" t="s">
        <v>523</v>
      </c>
      <c r="B2" s="324" t="s">
        <v>399</v>
      </c>
      <c r="C2" s="1100" t="s">
        <v>400</v>
      </c>
      <c r="D2" s="1100" t="s">
        <v>401</v>
      </c>
      <c r="E2" s="1100" t="s">
        <v>402</v>
      </c>
      <c r="F2" s="1100" t="s">
        <v>403</v>
      </c>
      <c r="G2" s="325" t="s">
        <v>569</v>
      </c>
      <c r="H2" s="325" t="s">
        <v>404</v>
      </c>
      <c r="I2" s="325" t="s">
        <v>479</v>
      </c>
      <c r="J2" s="1101" t="s">
        <v>7157</v>
      </c>
      <c r="K2" s="524" t="s">
        <v>405</v>
      </c>
      <c r="AA2" s="523" t="s">
        <v>1409</v>
      </c>
      <c r="AB2" s="523" t="s">
        <v>1410</v>
      </c>
      <c r="AC2" s="523" t="s">
        <v>1411</v>
      </c>
      <c r="AD2" s="523" t="s">
        <v>1412</v>
      </c>
      <c r="AE2" s="523" t="s">
        <v>1413</v>
      </c>
      <c r="AF2" s="523" t="s">
        <v>1414</v>
      </c>
      <c r="AG2" s="523" t="s">
        <v>1415</v>
      </c>
      <c r="AH2" s="523" t="s">
        <v>1416</v>
      </c>
    </row>
    <row r="3" spans="1:35" ht="13.2" x14ac:dyDescent="0.25">
      <c r="A3" s="1123" t="s">
        <v>1621</v>
      </c>
      <c r="B3" s="1124" t="s">
        <v>1622</v>
      </c>
      <c r="C3" s="1125"/>
      <c r="D3" s="331"/>
      <c r="E3" s="331"/>
      <c r="F3" s="331"/>
      <c r="G3" s="133"/>
      <c r="H3" s="133"/>
      <c r="I3" s="133"/>
      <c r="J3" s="133"/>
      <c r="K3" s="135"/>
      <c r="AA3" s="135"/>
      <c r="AB3" s="303"/>
      <c r="AC3" s="213"/>
      <c r="AD3" s="213"/>
      <c r="AE3" s="213"/>
      <c r="AF3" s="213"/>
      <c r="AG3" s="213"/>
      <c r="AH3" s="213"/>
    </row>
    <row r="4" spans="1:35" ht="13.2" x14ac:dyDescent="0.2">
      <c r="A4" s="1126" t="s">
        <v>704</v>
      </c>
      <c r="B4" s="1127" t="s">
        <v>7158</v>
      </c>
      <c r="C4" s="1178"/>
      <c r="D4" s="1178"/>
      <c r="E4" s="1178"/>
      <c r="F4" s="1178"/>
      <c r="G4" s="132"/>
      <c r="H4" s="132"/>
      <c r="I4" s="132"/>
      <c r="J4" s="133"/>
      <c r="K4" s="135"/>
      <c r="AA4"/>
      <c r="AB4"/>
      <c r="AC4"/>
      <c r="AD4"/>
      <c r="AE4"/>
      <c r="AF4"/>
      <c r="AG4"/>
      <c r="AH4"/>
      <c r="AI4"/>
    </row>
    <row r="5" spans="1:35" ht="20.399999999999999" x14ac:dyDescent="0.2">
      <c r="A5" s="164" t="s">
        <v>1623</v>
      </c>
      <c r="B5" s="128" t="s">
        <v>7159</v>
      </c>
      <c r="C5" s="243"/>
      <c r="D5" s="243"/>
      <c r="E5" s="243"/>
      <c r="F5" s="243"/>
      <c r="G5" s="133">
        <v>4</v>
      </c>
      <c r="H5" s="133">
        <v>1</v>
      </c>
      <c r="I5" s="133"/>
      <c r="J5" s="133" t="s">
        <v>85</v>
      </c>
      <c r="K5" s="135"/>
      <c r="AA5">
        <f>IF(AND('2 Phy'!C5&gt;Tmin, NOT('2 Phy'!$I5="")),'2 Phy'!$I5,0)</f>
        <v>0</v>
      </c>
      <c r="AB5">
        <f>IF(AND('2 Phy'!D5&gt;Tmin, NOT('2 Phy'!$I5="")),'2 Phy'!$I5,0)</f>
        <v>0</v>
      </c>
      <c r="AC5">
        <f>IF(AND('2 Phy'!E5&gt;Tmin, NOT('2 Phy'!$I5="")),'2 Phy'!$I5,0)</f>
        <v>0</v>
      </c>
      <c r="AD5">
        <f>IF(AND('2 Phy'!F5&gt;Tmin, NOT('2 Phy'!$I5="")),'2 Phy'!$I5,0)</f>
        <v>0</v>
      </c>
      <c r="AE5">
        <f>IF(AND('2 Phy'!C5&lt;Tmax, NOT('2 Phy'!$H5="")),'2 Phy'!$H5,4)</f>
        <v>1</v>
      </c>
      <c r="AF5">
        <f>IF(AND('2 Phy'!D5&lt;Tmax, NOT('2 Phy'!$H5="")),'2 Phy'!$H5,4)</f>
        <v>1</v>
      </c>
      <c r="AG5">
        <f>IF(AND('2 Phy'!E5&lt;Tmax, NOT('2 Phy'!$H5="")),'2 Phy'!$H5,4)</f>
        <v>1</v>
      </c>
      <c r="AH5">
        <f>IF(AND('2 Phy'!F5&lt;Tmax, NOT('2 Phy'!$H5="")),'2 Phy'!$H5,4)</f>
        <v>1</v>
      </c>
      <c r="AI5"/>
    </row>
    <row r="6" spans="1:35" ht="20.399999999999999" x14ac:dyDescent="0.2">
      <c r="A6" s="164" t="s">
        <v>1624</v>
      </c>
      <c r="B6" s="128" t="s">
        <v>7160</v>
      </c>
      <c r="C6" s="243"/>
      <c r="D6" s="243"/>
      <c r="E6" s="243"/>
      <c r="F6" s="243"/>
      <c r="G6" s="133">
        <v>4</v>
      </c>
      <c r="H6" s="133">
        <v>1</v>
      </c>
      <c r="I6" s="133"/>
      <c r="J6" s="133" t="s">
        <v>85</v>
      </c>
      <c r="K6" s="135"/>
      <c r="AA6">
        <f>IF(AND('2 Phy'!C6&gt;Tmin, NOT('2 Phy'!$I6="")),'2 Phy'!$I6,0)</f>
        <v>0</v>
      </c>
      <c r="AB6">
        <f>IF(AND('2 Phy'!D6&gt;Tmin, NOT('2 Phy'!$I6="")),'2 Phy'!$I6,0)</f>
        <v>0</v>
      </c>
      <c r="AC6">
        <f>IF(AND('2 Phy'!E6&gt;Tmin, NOT('2 Phy'!$I6="")),'2 Phy'!$I6,0)</f>
        <v>0</v>
      </c>
      <c r="AD6">
        <f>IF(AND('2 Phy'!F6&gt;Tmin, NOT('2 Phy'!$I6="")),'2 Phy'!$I6,0)</f>
        <v>0</v>
      </c>
      <c r="AE6">
        <f>IF(AND('2 Phy'!C6&lt;Tmax, NOT('2 Phy'!$H6="")),'2 Phy'!$H6,4)</f>
        <v>1</v>
      </c>
      <c r="AF6">
        <f>IF(AND('2 Phy'!D6&lt;Tmax, NOT('2 Phy'!$H6="")),'2 Phy'!$H6,4)</f>
        <v>1</v>
      </c>
      <c r="AG6">
        <f>IF(AND('2 Phy'!E6&lt;Tmax, NOT('2 Phy'!$H6="")),'2 Phy'!$H6,4)</f>
        <v>1</v>
      </c>
      <c r="AH6">
        <f>IF(AND('2 Phy'!F6&lt;Tmax, NOT('2 Phy'!$H6="")),'2 Phy'!$H6,4)</f>
        <v>1</v>
      </c>
      <c r="AI6"/>
    </row>
    <row r="7" spans="1:35" ht="20.399999999999999" x14ac:dyDescent="0.2">
      <c r="A7" s="164" t="s">
        <v>1625</v>
      </c>
      <c r="B7" s="128" t="s">
        <v>7161</v>
      </c>
      <c r="C7" s="243"/>
      <c r="D7" s="243"/>
      <c r="E7" s="243"/>
      <c r="F7" s="243"/>
      <c r="G7" s="133">
        <v>2</v>
      </c>
      <c r="H7" s="133">
        <v>2</v>
      </c>
      <c r="I7" s="133"/>
      <c r="J7" s="133" t="s">
        <v>85</v>
      </c>
      <c r="K7" s="135"/>
      <c r="AA7">
        <f>IF(AND('2 Phy'!C7&gt;Tmin, NOT('2 Phy'!$I7="")),'2 Phy'!$I7,0)</f>
        <v>0</v>
      </c>
      <c r="AB7">
        <f>IF(AND('2 Phy'!D7&gt;Tmin, NOT('2 Phy'!$I7="")),'2 Phy'!$I7,0)</f>
        <v>0</v>
      </c>
      <c r="AC7">
        <f>IF(AND('2 Phy'!E7&gt;Tmin, NOT('2 Phy'!$I7="")),'2 Phy'!$I7,0)</f>
        <v>0</v>
      </c>
      <c r="AD7">
        <f>IF(AND('2 Phy'!F7&gt;Tmin, NOT('2 Phy'!$I7="")),'2 Phy'!$I7,0)</f>
        <v>0</v>
      </c>
      <c r="AE7">
        <f>IF(AND('2 Phy'!C7&lt;Tmax, NOT('2 Phy'!$H7="")),'2 Phy'!$H7,4)</f>
        <v>2</v>
      </c>
      <c r="AF7">
        <f>IF(AND('2 Phy'!D7&lt;Tmax, NOT('2 Phy'!$H7="")),'2 Phy'!$H7,4)</f>
        <v>2</v>
      </c>
      <c r="AG7">
        <f>IF(AND('2 Phy'!E7&lt;Tmax, NOT('2 Phy'!$H7="")),'2 Phy'!$H7,4)</f>
        <v>2</v>
      </c>
      <c r="AH7">
        <f>IF(AND('2 Phy'!F7&lt;Tmax, NOT('2 Phy'!$H7="")),'2 Phy'!$H7,4)</f>
        <v>2</v>
      </c>
      <c r="AI7"/>
    </row>
    <row r="8" spans="1:35" ht="13.2" x14ac:dyDescent="0.2">
      <c r="A8" s="164" t="s">
        <v>706</v>
      </c>
      <c r="B8" s="128" t="s">
        <v>7162</v>
      </c>
      <c r="C8" s="243"/>
      <c r="D8" s="243"/>
      <c r="E8" s="243"/>
      <c r="F8" s="243"/>
      <c r="G8" s="133"/>
      <c r="H8" s="133"/>
      <c r="I8" s="133"/>
      <c r="J8" s="133"/>
      <c r="K8" s="135"/>
      <c r="AA8"/>
      <c r="AB8"/>
      <c r="AC8"/>
      <c r="AD8"/>
      <c r="AE8"/>
      <c r="AF8"/>
      <c r="AG8"/>
      <c r="AH8"/>
      <c r="AI8"/>
    </row>
    <row r="9" spans="1:35" ht="30.6" x14ac:dyDescent="0.2">
      <c r="A9" s="164" t="s">
        <v>1626</v>
      </c>
      <c r="B9" s="128" t="s">
        <v>7163</v>
      </c>
      <c r="C9" s="243"/>
      <c r="D9" s="243"/>
      <c r="E9" s="243"/>
      <c r="F9" s="243"/>
      <c r="G9" s="133">
        <v>4</v>
      </c>
      <c r="H9" s="133"/>
      <c r="I9" s="133"/>
      <c r="J9" s="133" t="s">
        <v>7057</v>
      </c>
      <c r="K9" s="135"/>
      <c r="AA9">
        <f>IF(AND('2 Phy'!C9&gt;Tmin, NOT('2 Phy'!$I9="")),'2 Phy'!$I9,0)</f>
        <v>0</v>
      </c>
      <c r="AB9">
        <f>IF(AND('2 Phy'!D9&gt;Tmin, NOT('2 Phy'!$I9="")),'2 Phy'!$I9,0)</f>
        <v>0</v>
      </c>
      <c r="AC9">
        <f>IF(AND('2 Phy'!E9&gt;Tmin, NOT('2 Phy'!$I9="")),'2 Phy'!$I9,0)</f>
        <v>0</v>
      </c>
      <c r="AD9">
        <f>IF(AND('2 Phy'!F9&gt;Tmin, NOT('2 Phy'!$I9="")),'2 Phy'!$I9,0)</f>
        <v>0</v>
      </c>
      <c r="AE9">
        <f>IF(AND('2 Phy'!C9&lt;Tmax, NOT('2 Phy'!$H9="")),'2 Phy'!$H9,4)</f>
        <v>4</v>
      </c>
      <c r="AF9">
        <f>IF(AND('2 Phy'!D9&lt;Tmax, NOT('2 Phy'!$H9="")),'2 Phy'!$H9,4)</f>
        <v>4</v>
      </c>
      <c r="AG9">
        <f>IF(AND('2 Phy'!E9&lt;Tmax, NOT('2 Phy'!$H9="")),'2 Phy'!$H9,4)</f>
        <v>4</v>
      </c>
      <c r="AH9">
        <f>IF(AND('2 Phy'!F9&lt;Tmax, NOT('2 Phy'!$H9="")),'2 Phy'!$H9,4)</f>
        <v>4</v>
      </c>
      <c r="AI9"/>
    </row>
    <row r="10" spans="1:35" ht="20.399999999999999" x14ac:dyDescent="0.2">
      <c r="A10" s="164" t="s">
        <v>1627</v>
      </c>
      <c r="B10" s="128" t="s">
        <v>7164</v>
      </c>
      <c r="C10" s="243"/>
      <c r="D10" s="243"/>
      <c r="E10" s="243"/>
      <c r="F10" s="243"/>
      <c r="G10" s="133">
        <v>4</v>
      </c>
      <c r="H10" s="133"/>
      <c r="I10" s="133"/>
      <c r="J10" s="133" t="s">
        <v>7057</v>
      </c>
      <c r="K10" s="135"/>
      <c r="AA10">
        <f>IF(AND('2 Phy'!C10&gt;Tmin, NOT('2 Phy'!$I10="")),'2 Phy'!$I10,0)</f>
        <v>0</v>
      </c>
      <c r="AB10">
        <f>IF(AND('2 Phy'!D10&gt;Tmin, NOT('2 Phy'!$I10="")),'2 Phy'!$I10,0)</f>
        <v>0</v>
      </c>
      <c r="AC10">
        <f>IF(AND('2 Phy'!E10&gt;Tmin, NOT('2 Phy'!$I10="")),'2 Phy'!$I10,0)</f>
        <v>0</v>
      </c>
      <c r="AD10">
        <f>IF(AND('2 Phy'!F10&gt;Tmin, NOT('2 Phy'!$I10="")),'2 Phy'!$I10,0)</f>
        <v>0</v>
      </c>
      <c r="AE10">
        <f>IF(AND('2 Phy'!C10&lt;Tmax, NOT('2 Phy'!$H10="")),'2 Phy'!$H10,4)</f>
        <v>4</v>
      </c>
      <c r="AF10">
        <f>IF(AND('2 Phy'!D10&lt;Tmax, NOT('2 Phy'!$H10="")),'2 Phy'!$H10,4)</f>
        <v>4</v>
      </c>
      <c r="AG10">
        <f>IF(AND('2 Phy'!E10&lt;Tmax, NOT('2 Phy'!$H10="")),'2 Phy'!$H10,4)</f>
        <v>4</v>
      </c>
      <c r="AH10">
        <f>IF(AND('2 Phy'!F10&lt;Tmax, NOT('2 Phy'!$H10="")),'2 Phy'!$H10,4)</f>
        <v>4</v>
      </c>
      <c r="AI10"/>
    </row>
    <row r="11" spans="1:35" ht="13.2" x14ac:dyDescent="0.2">
      <c r="A11" s="164" t="s">
        <v>632</v>
      </c>
      <c r="B11" s="128" t="s">
        <v>7165</v>
      </c>
      <c r="C11" s="243"/>
      <c r="D11" s="243"/>
      <c r="E11" s="243"/>
      <c r="F11" s="243"/>
      <c r="G11" s="133"/>
      <c r="H11" s="133"/>
      <c r="I11" s="133"/>
      <c r="J11" s="133"/>
      <c r="K11" s="135"/>
      <c r="AA11"/>
      <c r="AB11"/>
      <c r="AC11"/>
      <c r="AD11"/>
      <c r="AE11"/>
      <c r="AF11"/>
      <c r="AG11"/>
      <c r="AH11"/>
      <c r="AI11"/>
    </row>
    <row r="12" spans="1:35" ht="20.399999999999999" x14ac:dyDescent="0.2">
      <c r="A12" s="164" t="s">
        <v>1631</v>
      </c>
      <c r="B12" s="128" t="s">
        <v>7213</v>
      </c>
      <c r="C12" s="243"/>
      <c r="D12" s="243"/>
      <c r="E12" s="243"/>
      <c r="F12" s="243"/>
      <c r="G12" s="133">
        <v>4</v>
      </c>
      <c r="H12" s="133"/>
      <c r="I12" s="133"/>
      <c r="J12" s="133" t="s">
        <v>7065</v>
      </c>
      <c r="K12" s="135"/>
      <c r="AA12">
        <f>IF(AND('2 Phy'!C12&gt;Tmin, NOT('2 Phy'!$I12="")),'2 Phy'!$I12,0)</f>
        <v>0</v>
      </c>
      <c r="AB12">
        <f>IF(AND('2 Phy'!D12&gt;Tmin, NOT('2 Phy'!$I12="")),'2 Phy'!$I12,0)</f>
        <v>0</v>
      </c>
      <c r="AC12">
        <f>IF(AND('2 Phy'!E12&gt;Tmin, NOT('2 Phy'!$I12="")),'2 Phy'!$I12,0)</f>
        <v>0</v>
      </c>
      <c r="AD12">
        <f>IF(AND('2 Phy'!F12&gt;Tmin, NOT('2 Phy'!$I12="")),'2 Phy'!$I12,0)</f>
        <v>0</v>
      </c>
      <c r="AE12">
        <f>IF(AND('2 Phy'!C12&lt;Tmax, NOT('2 Phy'!$H12="")),'2 Phy'!$H12,4)</f>
        <v>4</v>
      </c>
      <c r="AF12">
        <f>IF(AND('2 Phy'!D12&lt;Tmax, NOT('2 Phy'!$H12="")),'2 Phy'!$H12,4)</f>
        <v>4</v>
      </c>
      <c r="AG12">
        <f>IF(AND('2 Phy'!E12&lt;Tmax, NOT('2 Phy'!$H12="")),'2 Phy'!$H12,4)</f>
        <v>4</v>
      </c>
      <c r="AH12">
        <f>IF(AND('2 Phy'!F12&lt;Tmax, NOT('2 Phy'!$H12="")),'2 Phy'!$H12,4)</f>
        <v>4</v>
      </c>
      <c r="AI12"/>
    </row>
    <row r="13" spans="1:35" ht="20.399999999999999" x14ac:dyDescent="0.2">
      <c r="A13" s="164" t="s">
        <v>1632</v>
      </c>
      <c r="B13" s="128" t="s">
        <v>7166</v>
      </c>
      <c r="C13" s="243"/>
      <c r="D13" s="243"/>
      <c r="E13" s="243"/>
      <c r="F13" s="243"/>
      <c r="G13" s="133">
        <v>4</v>
      </c>
      <c r="H13" s="133"/>
      <c r="I13" s="133"/>
      <c r="J13" s="133" t="s">
        <v>7065</v>
      </c>
      <c r="K13" s="135"/>
      <c r="AA13">
        <f>IF(AND('2 Phy'!C13&gt;Tmin, NOT('2 Phy'!$I13="")),'2 Phy'!$I13,0)</f>
        <v>0</v>
      </c>
      <c r="AB13">
        <f>IF(AND('2 Phy'!D13&gt;Tmin, NOT('2 Phy'!$I13="")),'2 Phy'!$I13,0)</f>
        <v>0</v>
      </c>
      <c r="AC13">
        <f>IF(AND('2 Phy'!E13&gt;Tmin, NOT('2 Phy'!$I13="")),'2 Phy'!$I13,0)</f>
        <v>0</v>
      </c>
      <c r="AD13">
        <f>IF(AND('2 Phy'!F13&gt;Tmin, NOT('2 Phy'!$I13="")),'2 Phy'!$I13,0)</f>
        <v>0</v>
      </c>
      <c r="AE13">
        <f>IF(AND('2 Phy'!C13&lt;Tmax, NOT('2 Phy'!$H13="")),'2 Phy'!$H13,4)</f>
        <v>4</v>
      </c>
      <c r="AF13">
        <f>IF(AND('2 Phy'!D13&lt;Tmax, NOT('2 Phy'!$H13="")),'2 Phy'!$H13,4)</f>
        <v>4</v>
      </c>
      <c r="AG13">
        <f>IF(AND('2 Phy'!E13&lt;Tmax, NOT('2 Phy'!$H13="")),'2 Phy'!$H13,4)</f>
        <v>4</v>
      </c>
      <c r="AH13">
        <f>IF(AND('2 Phy'!F13&lt;Tmax, NOT('2 Phy'!$H13="")),'2 Phy'!$H13,4)</f>
        <v>4</v>
      </c>
      <c r="AI13"/>
    </row>
    <row r="14" spans="1:35" ht="13.2" x14ac:dyDescent="0.2">
      <c r="A14" s="164" t="s">
        <v>1633</v>
      </c>
      <c r="B14" s="164" t="s">
        <v>1634</v>
      </c>
      <c r="C14" s="136"/>
      <c r="D14" s="136"/>
      <c r="E14" s="136"/>
      <c r="F14" s="136"/>
      <c r="G14" s="133">
        <v>4</v>
      </c>
      <c r="H14" s="133">
        <v>2</v>
      </c>
      <c r="I14" s="164"/>
      <c r="J14" s="133"/>
      <c r="K14" s="135"/>
      <c r="AA14">
        <f>IF(AND('2 Phy'!C14&gt;Tmin, NOT('2 Phy'!$I14="")),'2 Phy'!$I14,0)</f>
        <v>0</v>
      </c>
      <c r="AB14">
        <f>IF(AND('2 Phy'!D14&gt;Tmin, NOT('2 Phy'!$I14="")),'2 Phy'!$I14,0)</f>
        <v>0</v>
      </c>
      <c r="AC14">
        <f>IF(AND('2 Phy'!E14&gt;Tmin, NOT('2 Phy'!$I14="")),'2 Phy'!$I14,0)</f>
        <v>0</v>
      </c>
      <c r="AD14">
        <f>IF(AND('2 Phy'!F14&gt;Tmin, NOT('2 Phy'!$I14="")),'2 Phy'!$I14,0)</f>
        <v>0</v>
      </c>
      <c r="AE14">
        <f>IF(AND('2 Phy'!C14&lt;Tmax, NOT('2 Phy'!$H14="")),'2 Phy'!$H14,4)</f>
        <v>2</v>
      </c>
      <c r="AF14">
        <f>IF(AND('2 Phy'!D14&lt;Tmax, NOT('2 Phy'!$H14="")),'2 Phy'!$H14,4)</f>
        <v>2</v>
      </c>
      <c r="AG14">
        <f>IF(AND('2 Phy'!E14&lt;Tmax, NOT('2 Phy'!$H14="")),'2 Phy'!$H14,4)</f>
        <v>2</v>
      </c>
      <c r="AH14">
        <f>IF(AND('2 Phy'!F14&lt;Tmax, NOT('2 Phy'!$H14="")),'2 Phy'!$H14,4)</f>
        <v>2</v>
      </c>
      <c r="AI14"/>
    </row>
    <row r="15" spans="1:35" ht="20.399999999999999" x14ac:dyDescent="0.2">
      <c r="A15" s="164" t="s">
        <v>1635</v>
      </c>
      <c r="B15" s="128" t="s">
        <v>7167</v>
      </c>
      <c r="C15" s="243"/>
      <c r="D15" s="243"/>
      <c r="E15" s="243"/>
      <c r="F15" s="243"/>
      <c r="G15" s="133">
        <v>2</v>
      </c>
      <c r="H15" s="133">
        <v>2</v>
      </c>
      <c r="I15" s="133"/>
      <c r="J15" s="133"/>
      <c r="K15" s="135"/>
      <c r="AA15">
        <f>IF(AND('2 Phy'!C15&gt;Tmin, NOT('2 Phy'!$I15="")),'2 Phy'!$I15,0)</f>
        <v>0</v>
      </c>
      <c r="AB15">
        <f>IF(AND('2 Phy'!D15&gt;Tmin, NOT('2 Phy'!$I15="")),'2 Phy'!$I15,0)</f>
        <v>0</v>
      </c>
      <c r="AC15">
        <f>IF(AND('2 Phy'!E15&gt;Tmin, NOT('2 Phy'!$I15="")),'2 Phy'!$I15,0)</f>
        <v>0</v>
      </c>
      <c r="AD15">
        <f>IF(AND('2 Phy'!F15&gt;Tmin, NOT('2 Phy'!$I15="")),'2 Phy'!$I15,0)</f>
        <v>0</v>
      </c>
      <c r="AE15">
        <f>IF(AND('2 Phy'!C15&lt;Tmax, NOT('2 Phy'!$H15="")),'2 Phy'!$H15,4)</f>
        <v>2</v>
      </c>
      <c r="AF15">
        <f>IF(AND('2 Phy'!D15&lt;Tmax, NOT('2 Phy'!$H15="")),'2 Phy'!$H15,4)</f>
        <v>2</v>
      </c>
      <c r="AG15">
        <f>IF(AND('2 Phy'!E15&lt;Tmax, NOT('2 Phy'!$H15="")),'2 Phy'!$H15,4)</f>
        <v>2</v>
      </c>
      <c r="AH15">
        <f>IF(AND('2 Phy'!F15&lt;Tmax, NOT('2 Phy'!$H15="")),'2 Phy'!$H15,4)</f>
        <v>2</v>
      </c>
      <c r="AI15"/>
    </row>
    <row r="16" spans="1:35" ht="20.399999999999999" x14ac:dyDescent="0.2">
      <c r="A16" s="164" t="s">
        <v>1636</v>
      </c>
      <c r="B16" s="128" t="s">
        <v>1637</v>
      </c>
      <c r="C16" s="243"/>
      <c r="D16" s="243"/>
      <c r="E16" s="243"/>
      <c r="F16" s="243"/>
      <c r="G16" s="133">
        <v>2</v>
      </c>
      <c r="H16" s="133"/>
      <c r="I16" s="133"/>
      <c r="J16" s="133"/>
      <c r="K16" s="135"/>
      <c r="AA16">
        <f>IF(AND('2 Phy'!C16&gt;Tmin, NOT('2 Phy'!$I16="")),'2 Phy'!$I16,0)</f>
        <v>0</v>
      </c>
      <c r="AB16">
        <f>IF(AND('2 Phy'!D16&gt;Tmin, NOT('2 Phy'!$I16="")),'2 Phy'!$I16,0)</f>
        <v>0</v>
      </c>
      <c r="AC16">
        <f>IF(AND('2 Phy'!E16&gt;Tmin, NOT('2 Phy'!$I16="")),'2 Phy'!$I16,0)</f>
        <v>0</v>
      </c>
      <c r="AD16">
        <f>IF(AND('2 Phy'!F16&gt;Tmin, NOT('2 Phy'!$I16="")),'2 Phy'!$I16,0)</f>
        <v>0</v>
      </c>
      <c r="AE16">
        <f>IF(AND('2 Phy'!C16&lt;Tmax, NOT('2 Phy'!$H16="")),'2 Phy'!$H16,4)</f>
        <v>4</v>
      </c>
      <c r="AF16">
        <f>IF(AND('2 Phy'!D16&lt;Tmax, NOT('2 Phy'!$H16="")),'2 Phy'!$H16,4)</f>
        <v>4</v>
      </c>
      <c r="AG16">
        <f>IF(AND('2 Phy'!E16&lt;Tmax, NOT('2 Phy'!$H16="")),'2 Phy'!$H16,4)</f>
        <v>4</v>
      </c>
      <c r="AH16">
        <f>IF(AND('2 Phy'!F16&lt;Tmax, NOT('2 Phy'!$H16="")),'2 Phy'!$H16,4)</f>
        <v>4</v>
      </c>
      <c r="AI16"/>
    </row>
    <row r="17" spans="1:35" ht="20.399999999999999" x14ac:dyDescent="0.2">
      <c r="A17" s="164" t="s">
        <v>1638</v>
      </c>
      <c r="B17" s="128" t="s">
        <v>1639</v>
      </c>
      <c r="C17" s="243"/>
      <c r="D17" s="243"/>
      <c r="E17" s="243"/>
      <c r="F17" s="243"/>
      <c r="G17" s="133">
        <v>4</v>
      </c>
      <c r="H17" s="133">
        <v>2</v>
      </c>
      <c r="I17" s="133"/>
      <c r="J17" s="133"/>
      <c r="K17" s="135"/>
      <c r="AA17">
        <f>IF(AND('2 Phy'!C17&gt;Tmin, NOT('2 Phy'!$I17="")),'2 Phy'!$I17,0)</f>
        <v>0</v>
      </c>
      <c r="AB17">
        <f>IF(AND('2 Phy'!D17&gt;Tmin, NOT('2 Phy'!$I17="")),'2 Phy'!$I17,0)</f>
        <v>0</v>
      </c>
      <c r="AC17">
        <f>IF(AND('2 Phy'!E17&gt;Tmin, NOT('2 Phy'!$I17="")),'2 Phy'!$I17,0)</f>
        <v>0</v>
      </c>
      <c r="AD17">
        <f>IF(AND('2 Phy'!F17&gt;Tmin, NOT('2 Phy'!$I17="")),'2 Phy'!$I17,0)</f>
        <v>0</v>
      </c>
      <c r="AE17">
        <f>IF(AND('2 Phy'!C17&lt;Tmax, NOT('2 Phy'!$H17="")),'2 Phy'!$H17,4)</f>
        <v>2</v>
      </c>
      <c r="AF17">
        <f>IF(AND('2 Phy'!D17&lt;Tmax, NOT('2 Phy'!$H17="")),'2 Phy'!$H17,4)</f>
        <v>2</v>
      </c>
      <c r="AG17">
        <f>IF(AND('2 Phy'!E17&lt;Tmax, NOT('2 Phy'!$H17="")),'2 Phy'!$H17,4)</f>
        <v>2</v>
      </c>
      <c r="AH17">
        <f>IF(AND('2 Phy'!F17&lt;Tmax, NOT('2 Phy'!$H17="")),'2 Phy'!$H17,4)</f>
        <v>2</v>
      </c>
      <c r="AI17"/>
    </row>
    <row r="18" spans="1:35" ht="20.399999999999999" x14ac:dyDescent="0.2">
      <c r="A18" s="164" t="s">
        <v>1640</v>
      </c>
      <c r="B18" s="128" t="s">
        <v>1641</v>
      </c>
      <c r="C18" s="243"/>
      <c r="D18" s="243"/>
      <c r="E18" s="243"/>
      <c r="F18" s="243"/>
      <c r="G18" s="133">
        <v>4</v>
      </c>
      <c r="H18" s="133">
        <v>2</v>
      </c>
      <c r="I18" s="133"/>
      <c r="J18" s="133"/>
      <c r="K18" s="135"/>
      <c r="AA18">
        <f>IF(AND('2 Phy'!C18&gt;Tmin, NOT('2 Phy'!$I18="")),'2 Phy'!$I18,0)</f>
        <v>0</v>
      </c>
      <c r="AB18">
        <f>IF(AND('2 Phy'!D18&gt;Tmin, NOT('2 Phy'!$I18="")),'2 Phy'!$I18,0)</f>
        <v>0</v>
      </c>
      <c r="AC18">
        <f>IF(AND('2 Phy'!E18&gt;Tmin, NOT('2 Phy'!$I18="")),'2 Phy'!$I18,0)</f>
        <v>0</v>
      </c>
      <c r="AD18">
        <f>IF(AND('2 Phy'!F18&gt;Tmin, NOT('2 Phy'!$I18="")),'2 Phy'!$I18,0)</f>
        <v>0</v>
      </c>
      <c r="AE18">
        <f>IF(AND('2 Phy'!C18&lt;Tmax, NOT('2 Phy'!$H18="")),'2 Phy'!$H18,4)</f>
        <v>2</v>
      </c>
      <c r="AF18">
        <f>IF(AND('2 Phy'!D18&lt;Tmax, NOT('2 Phy'!$H18="")),'2 Phy'!$H18,4)</f>
        <v>2</v>
      </c>
      <c r="AG18">
        <f>IF(AND('2 Phy'!E18&lt;Tmax, NOT('2 Phy'!$H18="")),'2 Phy'!$H18,4)</f>
        <v>2</v>
      </c>
      <c r="AH18">
        <f>IF(AND('2 Phy'!F18&lt;Tmax, NOT('2 Phy'!$H18="")),'2 Phy'!$H18,4)</f>
        <v>2</v>
      </c>
      <c r="AI18"/>
    </row>
    <row r="19" spans="1:35" ht="20.399999999999999" x14ac:dyDescent="0.2">
      <c r="A19" s="164" t="s">
        <v>1642</v>
      </c>
      <c r="B19" s="128" t="s">
        <v>1643</v>
      </c>
      <c r="C19" s="243"/>
      <c r="D19" s="243"/>
      <c r="E19" s="243"/>
      <c r="F19" s="243"/>
      <c r="G19" s="133">
        <v>2</v>
      </c>
      <c r="H19" s="133">
        <v>2</v>
      </c>
      <c r="I19" s="133"/>
      <c r="J19" s="133"/>
      <c r="K19" s="135"/>
      <c r="AA19">
        <f>IF(AND('2 Phy'!C19&gt;Tmin, NOT('2 Phy'!$I19="")),'2 Phy'!$I19,0)</f>
        <v>0</v>
      </c>
      <c r="AB19">
        <f>IF(AND('2 Phy'!D19&gt;Tmin, NOT('2 Phy'!$I19="")),'2 Phy'!$I19,0)</f>
        <v>0</v>
      </c>
      <c r="AC19">
        <f>IF(AND('2 Phy'!E19&gt;Tmin, NOT('2 Phy'!$I19="")),'2 Phy'!$I19,0)</f>
        <v>0</v>
      </c>
      <c r="AD19">
        <f>IF(AND('2 Phy'!F19&gt;Tmin, NOT('2 Phy'!$I19="")),'2 Phy'!$I19,0)</f>
        <v>0</v>
      </c>
      <c r="AE19">
        <f>IF(AND('2 Phy'!C19&lt;Tmax, NOT('2 Phy'!$H19="")),'2 Phy'!$H19,4)</f>
        <v>2</v>
      </c>
      <c r="AF19">
        <f>IF(AND('2 Phy'!D19&lt;Tmax, NOT('2 Phy'!$H19="")),'2 Phy'!$H19,4)</f>
        <v>2</v>
      </c>
      <c r="AG19">
        <f>IF(AND('2 Phy'!E19&lt;Tmax, NOT('2 Phy'!$H19="")),'2 Phy'!$H19,4)</f>
        <v>2</v>
      </c>
      <c r="AH19">
        <f>IF(AND('2 Phy'!F19&lt;Tmax, NOT('2 Phy'!$H19="")),'2 Phy'!$H19,4)</f>
        <v>2</v>
      </c>
      <c r="AI19"/>
    </row>
    <row r="20" spans="1:35" ht="13.2" x14ac:dyDescent="0.2">
      <c r="A20" s="1128" t="s">
        <v>1712</v>
      </c>
      <c r="B20" s="1129" t="s">
        <v>1714</v>
      </c>
      <c r="C20" s="243"/>
      <c r="D20" s="243"/>
      <c r="E20" s="243"/>
      <c r="F20" s="243"/>
      <c r="G20" s="133"/>
      <c r="H20" s="133"/>
      <c r="I20" s="133"/>
      <c r="J20" s="133"/>
      <c r="K20" s="135"/>
      <c r="AA20"/>
      <c r="AB20"/>
      <c r="AC20"/>
      <c r="AD20"/>
      <c r="AE20"/>
      <c r="AF20"/>
      <c r="AG20"/>
      <c r="AH20"/>
      <c r="AI20"/>
    </row>
    <row r="21" spans="1:35" ht="13.2" x14ac:dyDescent="0.2">
      <c r="A21" s="164" t="s">
        <v>724</v>
      </c>
      <c r="B21" s="128" t="s">
        <v>360</v>
      </c>
      <c r="C21" s="243"/>
      <c r="D21" s="243"/>
      <c r="E21" s="243"/>
      <c r="F21" s="243"/>
      <c r="G21" s="133"/>
      <c r="H21" s="133"/>
      <c r="I21" s="133"/>
      <c r="J21" s="133"/>
      <c r="K21" s="135"/>
      <c r="AA21"/>
      <c r="AB21"/>
      <c r="AC21"/>
      <c r="AD21"/>
      <c r="AE21"/>
      <c r="AF21"/>
      <c r="AG21"/>
      <c r="AH21"/>
      <c r="AI21"/>
    </row>
    <row r="22" spans="1:35" ht="30.6" x14ac:dyDescent="0.2">
      <c r="A22" s="164" t="s">
        <v>1644</v>
      </c>
      <c r="B22" s="128" t="s">
        <v>7214</v>
      </c>
      <c r="C22" s="243"/>
      <c r="D22" s="243"/>
      <c r="E22" s="243"/>
      <c r="F22" s="243"/>
      <c r="G22" s="133">
        <v>4</v>
      </c>
      <c r="H22" s="133"/>
      <c r="I22" s="133"/>
      <c r="J22" s="133"/>
      <c r="K22" s="135"/>
      <c r="AA22">
        <f>IF(AND('2 Phy'!C22&gt;Tmin, NOT('2 Phy'!$I22="")),'2 Phy'!$I22,0)</f>
        <v>0</v>
      </c>
      <c r="AB22">
        <f>IF(AND('2 Phy'!D22&gt;Tmin, NOT('2 Phy'!$I22="")),'2 Phy'!$I22,0)</f>
        <v>0</v>
      </c>
      <c r="AC22">
        <f>IF(AND('2 Phy'!E22&gt;Tmin, NOT('2 Phy'!$I22="")),'2 Phy'!$I22,0)</f>
        <v>0</v>
      </c>
      <c r="AD22">
        <f>IF(AND('2 Phy'!F22&gt;Tmin, NOT('2 Phy'!$I22="")),'2 Phy'!$I22,0)</f>
        <v>0</v>
      </c>
      <c r="AE22">
        <f>IF(AND('2 Phy'!C22&lt;Tmax, NOT('2 Phy'!$H22="")),'2 Phy'!$H22,4)</f>
        <v>4</v>
      </c>
      <c r="AF22">
        <f>IF(AND('2 Phy'!D22&lt;Tmax, NOT('2 Phy'!$H22="")),'2 Phy'!$H22,4)</f>
        <v>4</v>
      </c>
      <c r="AG22">
        <f>IF(AND('2 Phy'!E22&lt;Tmax, NOT('2 Phy'!$H22="")),'2 Phy'!$H22,4)</f>
        <v>4</v>
      </c>
      <c r="AH22">
        <f>IF(AND('2 Phy'!F22&lt;Tmax, NOT('2 Phy'!$H22="")),'2 Phy'!$H22,4)</f>
        <v>4</v>
      </c>
      <c r="AI22"/>
    </row>
    <row r="23" spans="1:35" ht="20.399999999999999" x14ac:dyDescent="0.2">
      <c r="A23" s="164" t="s">
        <v>1645</v>
      </c>
      <c r="B23" s="128" t="s">
        <v>1646</v>
      </c>
      <c r="C23" s="243"/>
      <c r="D23" s="243"/>
      <c r="E23" s="243"/>
      <c r="F23" s="243"/>
      <c r="G23" s="133">
        <v>4</v>
      </c>
      <c r="H23" s="133"/>
      <c r="I23" s="133"/>
      <c r="J23" s="133"/>
      <c r="K23" s="135"/>
      <c r="AA23">
        <f>IF(AND('2 Phy'!C23&gt;Tmin, NOT('2 Phy'!$I23="")),'2 Phy'!$I23,0)</f>
        <v>0</v>
      </c>
      <c r="AB23">
        <f>IF(AND('2 Phy'!D23&gt;Tmin, NOT('2 Phy'!$I23="")),'2 Phy'!$I23,0)</f>
        <v>0</v>
      </c>
      <c r="AC23">
        <f>IF(AND('2 Phy'!E23&gt;Tmin, NOT('2 Phy'!$I23="")),'2 Phy'!$I23,0)</f>
        <v>0</v>
      </c>
      <c r="AD23">
        <f>IF(AND('2 Phy'!F23&gt;Tmin, NOT('2 Phy'!$I23="")),'2 Phy'!$I23,0)</f>
        <v>0</v>
      </c>
      <c r="AE23">
        <f>IF(AND('2 Phy'!C23&lt;Tmax, NOT('2 Phy'!$H23="")),'2 Phy'!$H23,4)</f>
        <v>4</v>
      </c>
      <c r="AF23">
        <f>IF(AND('2 Phy'!D23&lt;Tmax, NOT('2 Phy'!$H23="")),'2 Phy'!$H23,4)</f>
        <v>4</v>
      </c>
      <c r="AG23">
        <f>IF(AND('2 Phy'!E23&lt;Tmax, NOT('2 Phy'!$H23="")),'2 Phy'!$H23,4)</f>
        <v>4</v>
      </c>
      <c r="AH23">
        <f>IF(AND('2 Phy'!F23&lt;Tmax, NOT('2 Phy'!$H23="")),'2 Phy'!$H23,4)</f>
        <v>4</v>
      </c>
      <c r="AI23"/>
    </row>
    <row r="24" spans="1:35" ht="61.2" x14ac:dyDescent="0.2">
      <c r="A24" s="164" t="s">
        <v>1647</v>
      </c>
      <c r="B24" s="128" t="s">
        <v>7168</v>
      </c>
      <c r="C24" s="243"/>
      <c r="D24" s="243"/>
      <c r="E24" s="243"/>
      <c r="F24" s="243"/>
      <c r="G24" s="133">
        <v>4</v>
      </c>
      <c r="H24" s="133">
        <v>2</v>
      </c>
      <c r="I24" s="133"/>
      <c r="J24" s="133"/>
      <c r="K24" s="135"/>
      <c r="AA24">
        <f>IF(AND('2 Phy'!C24&gt;Tmin, NOT('2 Phy'!$I24="")),'2 Phy'!$I24,0)</f>
        <v>0</v>
      </c>
      <c r="AB24">
        <f>IF(AND('2 Phy'!D24&gt;Tmin, NOT('2 Phy'!$I24="")),'2 Phy'!$I24,0)</f>
        <v>0</v>
      </c>
      <c r="AC24">
        <f>IF(AND('2 Phy'!E24&gt;Tmin, NOT('2 Phy'!$I24="")),'2 Phy'!$I24,0)</f>
        <v>0</v>
      </c>
      <c r="AD24">
        <f>IF(AND('2 Phy'!F24&gt;Tmin, NOT('2 Phy'!$I24="")),'2 Phy'!$I24,0)</f>
        <v>0</v>
      </c>
      <c r="AE24">
        <f>IF(AND('2 Phy'!C24&lt;Tmax, NOT('2 Phy'!$H24="")),'2 Phy'!$H24,4)</f>
        <v>2</v>
      </c>
      <c r="AF24">
        <f>IF(AND('2 Phy'!D24&lt;Tmax, NOT('2 Phy'!$H24="")),'2 Phy'!$H24,4)</f>
        <v>2</v>
      </c>
      <c r="AG24">
        <f>IF(AND('2 Phy'!E24&lt;Tmax, NOT('2 Phy'!$H24="")),'2 Phy'!$H24,4)</f>
        <v>2</v>
      </c>
      <c r="AH24">
        <f>IF(AND('2 Phy'!F24&lt;Tmax, NOT('2 Phy'!$H24="")),'2 Phy'!$H24,4)</f>
        <v>2</v>
      </c>
      <c r="AI24"/>
    </row>
    <row r="25" spans="1:35" ht="13.2" x14ac:dyDescent="0.2">
      <c r="A25" s="164" t="s">
        <v>1648</v>
      </c>
      <c r="B25" s="128" t="s">
        <v>1654</v>
      </c>
      <c r="C25" s="243"/>
      <c r="D25" s="243"/>
      <c r="E25" s="243"/>
      <c r="F25" s="243"/>
      <c r="G25" s="133">
        <v>4</v>
      </c>
      <c r="H25" s="133"/>
      <c r="I25" s="133"/>
      <c r="J25" s="133"/>
      <c r="K25" s="135"/>
      <c r="AA25">
        <f>IF(AND('2 Phy'!C25&gt;Tmin, NOT('2 Phy'!$I25="")),'2 Phy'!$I25,0)</f>
        <v>0</v>
      </c>
      <c r="AB25">
        <f>IF(AND('2 Phy'!D25&gt;Tmin, NOT('2 Phy'!$I25="")),'2 Phy'!$I25,0)</f>
        <v>0</v>
      </c>
      <c r="AC25">
        <f>IF(AND('2 Phy'!E25&gt;Tmin, NOT('2 Phy'!$I25="")),'2 Phy'!$I25,0)</f>
        <v>0</v>
      </c>
      <c r="AD25">
        <f>IF(AND('2 Phy'!F25&gt;Tmin, NOT('2 Phy'!$I25="")),'2 Phy'!$I25,0)</f>
        <v>0</v>
      </c>
      <c r="AE25">
        <f>IF(AND('2 Phy'!C25&lt;Tmax, NOT('2 Phy'!$H25="")),'2 Phy'!$H25,4)</f>
        <v>4</v>
      </c>
      <c r="AF25">
        <f>IF(AND('2 Phy'!D25&lt;Tmax, NOT('2 Phy'!$H25="")),'2 Phy'!$H25,4)</f>
        <v>4</v>
      </c>
      <c r="AG25">
        <f>IF(AND('2 Phy'!E25&lt;Tmax, NOT('2 Phy'!$H25="")),'2 Phy'!$H25,4)</f>
        <v>4</v>
      </c>
      <c r="AH25">
        <f>IF(AND('2 Phy'!F25&lt;Tmax, NOT('2 Phy'!$H25="")),'2 Phy'!$H25,4)</f>
        <v>4</v>
      </c>
      <c r="AI25"/>
    </row>
    <row r="26" spans="1:35" ht="20.399999999999999" x14ac:dyDescent="0.2">
      <c r="A26" s="164" t="s">
        <v>1649</v>
      </c>
      <c r="B26" s="128" t="s">
        <v>7169</v>
      </c>
      <c r="C26" s="243"/>
      <c r="D26" s="243"/>
      <c r="E26" s="243"/>
      <c r="F26" s="243"/>
      <c r="G26" s="133">
        <v>4</v>
      </c>
      <c r="H26" s="133"/>
      <c r="I26" s="133">
        <v>3</v>
      </c>
      <c r="J26" s="133"/>
      <c r="K26" s="135"/>
      <c r="AA26">
        <f>IF(AND('2 Phy'!C26&gt;Tmin, NOT('2 Phy'!$I26="")),'2 Phy'!$I26,0)</f>
        <v>0</v>
      </c>
      <c r="AB26">
        <f>IF(AND('2 Phy'!D26&gt;Tmin, NOT('2 Phy'!$I26="")),'2 Phy'!$I26,0)</f>
        <v>0</v>
      </c>
      <c r="AC26">
        <f>IF(AND('2 Phy'!E26&gt;Tmin, NOT('2 Phy'!$I26="")),'2 Phy'!$I26,0)</f>
        <v>0</v>
      </c>
      <c r="AD26">
        <f>IF(AND('2 Phy'!F26&gt;Tmin, NOT('2 Phy'!$I26="")),'2 Phy'!$I26,0)</f>
        <v>0</v>
      </c>
      <c r="AE26">
        <f>IF(AND('2 Phy'!C26&lt;Tmax, NOT('2 Phy'!$H26="")),'2 Phy'!$H26,4)</f>
        <v>4</v>
      </c>
      <c r="AF26">
        <f>IF(AND('2 Phy'!D26&lt;Tmax, NOT('2 Phy'!$H26="")),'2 Phy'!$H26,4)</f>
        <v>4</v>
      </c>
      <c r="AG26">
        <f>IF(AND('2 Phy'!E26&lt;Tmax, NOT('2 Phy'!$H26="")),'2 Phy'!$H26,4)</f>
        <v>4</v>
      </c>
      <c r="AH26">
        <f>IF(AND('2 Phy'!F26&lt;Tmax, NOT('2 Phy'!$H26="")),'2 Phy'!$H26,4)</f>
        <v>4</v>
      </c>
      <c r="AI26"/>
    </row>
    <row r="27" spans="1:35" ht="30.6" x14ac:dyDescent="0.2">
      <c r="A27" s="164" t="s">
        <v>1650</v>
      </c>
      <c r="B27" s="128" t="s">
        <v>7170</v>
      </c>
      <c r="C27" s="243"/>
      <c r="D27" s="243"/>
      <c r="E27" s="243"/>
      <c r="F27" s="243"/>
      <c r="G27" s="133">
        <v>4</v>
      </c>
      <c r="H27" s="133"/>
      <c r="I27" s="133">
        <v>3</v>
      </c>
      <c r="J27" s="133"/>
      <c r="K27" s="135"/>
      <c r="AA27">
        <f>IF(AND('2 Phy'!C27&gt;Tmin, NOT('2 Phy'!$I27="")),'2 Phy'!$I27,0)</f>
        <v>0</v>
      </c>
      <c r="AB27">
        <f>IF(AND('2 Phy'!D27&gt;Tmin, NOT('2 Phy'!$I27="")),'2 Phy'!$I27,0)</f>
        <v>0</v>
      </c>
      <c r="AC27">
        <f>IF(AND('2 Phy'!E27&gt;Tmin, NOT('2 Phy'!$I27="")),'2 Phy'!$I27,0)</f>
        <v>0</v>
      </c>
      <c r="AD27">
        <f>IF(AND('2 Phy'!F27&gt;Tmin, NOT('2 Phy'!$I27="")),'2 Phy'!$I27,0)</f>
        <v>0</v>
      </c>
      <c r="AE27">
        <f>IF(AND('2 Phy'!C27&lt;Tmax, NOT('2 Phy'!$H27="")),'2 Phy'!$H27,4)</f>
        <v>4</v>
      </c>
      <c r="AF27">
        <f>IF(AND('2 Phy'!D27&lt;Tmax, NOT('2 Phy'!$H27="")),'2 Phy'!$H27,4)</f>
        <v>4</v>
      </c>
      <c r="AG27">
        <f>IF(AND('2 Phy'!E27&lt;Tmax, NOT('2 Phy'!$H27="")),'2 Phy'!$H27,4)</f>
        <v>4</v>
      </c>
      <c r="AH27">
        <f>IF(AND('2 Phy'!F27&lt;Tmax, NOT('2 Phy'!$H27="")),'2 Phy'!$H27,4)</f>
        <v>4</v>
      </c>
      <c r="AI27"/>
    </row>
    <row r="28" spans="1:35" s="213" customFormat="1" ht="30.6" x14ac:dyDescent="0.25">
      <c r="A28" s="164" t="s">
        <v>1651</v>
      </c>
      <c r="B28" s="128" t="s">
        <v>1658</v>
      </c>
      <c r="C28" s="243"/>
      <c r="D28" s="243"/>
      <c r="E28" s="243"/>
      <c r="F28" s="243"/>
      <c r="G28" s="133">
        <v>4</v>
      </c>
      <c r="H28" s="133">
        <v>3</v>
      </c>
      <c r="I28" s="133"/>
      <c r="J28" s="133"/>
      <c r="K28" s="135"/>
      <c r="L28" s="227"/>
      <c r="M28" s="227"/>
      <c r="N28" s="227"/>
      <c r="O28" s="227"/>
      <c r="P28" s="227"/>
      <c r="Q28" s="227"/>
      <c r="R28" s="227"/>
      <c r="S28" s="227"/>
      <c r="T28" s="227"/>
      <c r="U28" s="227"/>
      <c r="V28" s="227"/>
      <c r="W28" s="227"/>
      <c r="X28" s="227"/>
      <c r="AA28">
        <f>IF(AND('2 Phy'!C28&gt;Tmin, NOT('2 Phy'!$I28="")),'2 Phy'!$I28,0)</f>
        <v>0</v>
      </c>
      <c r="AB28">
        <f>IF(AND('2 Phy'!D28&gt;Tmin, NOT('2 Phy'!$I28="")),'2 Phy'!$I28,0)</f>
        <v>0</v>
      </c>
      <c r="AC28">
        <f>IF(AND('2 Phy'!E28&gt;Tmin, NOT('2 Phy'!$I28="")),'2 Phy'!$I28,0)</f>
        <v>0</v>
      </c>
      <c r="AD28">
        <f>IF(AND('2 Phy'!F28&gt;Tmin, NOT('2 Phy'!$I28="")),'2 Phy'!$I28,0)</f>
        <v>0</v>
      </c>
      <c r="AE28">
        <f>IF(AND('2 Phy'!C28&lt;Tmax, NOT('2 Phy'!$H28="")),'2 Phy'!$H28,4)</f>
        <v>3</v>
      </c>
      <c r="AF28">
        <f>IF(AND('2 Phy'!D28&lt;Tmax, NOT('2 Phy'!$H28="")),'2 Phy'!$H28,4)</f>
        <v>3</v>
      </c>
      <c r="AG28">
        <f>IF(AND('2 Phy'!E28&lt;Tmax, NOT('2 Phy'!$H28="")),'2 Phy'!$H28,4)</f>
        <v>3</v>
      </c>
      <c r="AH28">
        <f>IF(AND('2 Phy'!F28&lt;Tmax, NOT('2 Phy'!$H28="")),'2 Phy'!$H28,4)</f>
        <v>3</v>
      </c>
      <c r="AI28"/>
    </row>
    <row r="29" spans="1:35" s="213" customFormat="1" ht="20.399999999999999" x14ac:dyDescent="0.25">
      <c r="A29" s="164" t="s">
        <v>1653</v>
      </c>
      <c r="B29" s="128" t="s">
        <v>1659</v>
      </c>
      <c r="C29" s="243"/>
      <c r="D29" s="243"/>
      <c r="E29" s="243"/>
      <c r="F29" s="243"/>
      <c r="G29" s="133">
        <v>2</v>
      </c>
      <c r="H29" s="133">
        <v>2</v>
      </c>
      <c r="I29" s="133"/>
      <c r="J29" s="133"/>
      <c r="K29" s="135"/>
      <c r="L29" s="227"/>
      <c r="M29" s="227"/>
      <c r="N29" s="227"/>
      <c r="O29" s="227"/>
      <c r="P29" s="227"/>
      <c r="Q29" s="227"/>
      <c r="R29" s="227"/>
      <c r="S29" s="227"/>
      <c r="T29" s="227"/>
      <c r="U29" s="227"/>
      <c r="V29" s="227"/>
      <c r="W29" s="227"/>
      <c r="X29" s="227"/>
      <c r="AA29">
        <f>IF(AND('2 Phy'!C29&gt;Tmin, NOT('2 Phy'!$I29="")),'2 Phy'!$I29,0)</f>
        <v>0</v>
      </c>
      <c r="AB29">
        <f>IF(AND('2 Phy'!D29&gt;Tmin, NOT('2 Phy'!$I29="")),'2 Phy'!$I29,0)</f>
        <v>0</v>
      </c>
      <c r="AC29">
        <f>IF(AND('2 Phy'!E29&gt;Tmin, NOT('2 Phy'!$I29="")),'2 Phy'!$I29,0)</f>
        <v>0</v>
      </c>
      <c r="AD29">
        <f>IF(AND('2 Phy'!F29&gt;Tmin, NOT('2 Phy'!$I29="")),'2 Phy'!$I29,0)</f>
        <v>0</v>
      </c>
      <c r="AE29">
        <f>IF(AND('2 Phy'!C29&lt;Tmax, NOT('2 Phy'!$H29="")),'2 Phy'!$H29,4)</f>
        <v>2</v>
      </c>
      <c r="AF29">
        <f>IF(AND('2 Phy'!D29&lt;Tmax, NOT('2 Phy'!$H29="")),'2 Phy'!$H29,4)</f>
        <v>2</v>
      </c>
      <c r="AG29">
        <f>IF(AND('2 Phy'!E29&lt;Tmax, NOT('2 Phy'!$H29="")),'2 Phy'!$H29,4)</f>
        <v>2</v>
      </c>
      <c r="AH29">
        <f>IF(AND('2 Phy'!F29&lt;Tmax, NOT('2 Phy'!$H29="")),'2 Phy'!$H29,4)</f>
        <v>2</v>
      </c>
      <c r="AI29"/>
    </row>
    <row r="30" spans="1:35" s="213" customFormat="1" ht="20.399999999999999" x14ac:dyDescent="0.25">
      <c r="A30" s="164" t="s">
        <v>1655</v>
      </c>
      <c r="B30" s="128" t="s">
        <v>1660</v>
      </c>
      <c r="C30" s="243"/>
      <c r="D30" s="243"/>
      <c r="E30" s="243"/>
      <c r="F30" s="243"/>
      <c r="G30" s="133">
        <v>2</v>
      </c>
      <c r="H30" s="133">
        <v>2</v>
      </c>
      <c r="I30" s="133"/>
      <c r="J30" s="133"/>
      <c r="K30" s="135"/>
      <c r="L30" s="227"/>
      <c r="M30" s="227"/>
      <c r="N30" s="227"/>
      <c r="O30" s="227"/>
      <c r="P30" s="227"/>
      <c r="Q30" s="227"/>
      <c r="R30" s="227"/>
      <c r="S30" s="227"/>
      <c r="T30" s="227"/>
      <c r="U30" s="227"/>
      <c r="V30" s="227"/>
      <c r="W30" s="227"/>
      <c r="X30" s="227"/>
      <c r="AA30">
        <f>IF(AND('2 Phy'!C30&gt;Tmin, NOT('2 Phy'!$I30="")),'2 Phy'!$I30,0)</f>
        <v>0</v>
      </c>
      <c r="AB30">
        <f>IF(AND('2 Phy'!D30&gt;Tmin, NOT('2 Phy'!$I30="")),'2 Phy'!$I30,0)</f>
        <v>0</v>
      </c>
      <c r="AC30">
        <f>IF(AND('2 Phy'!E30&gt;Tmin, NOT('2 Phy'!$I30="")),'2 Phy'!$I30,0)</f>
        <v>0</v>
      </c>
      <c r="AD30">
        <f>IF(AND('2 Phy'!F30&gt;Tmin, NOT('2 Phy'!$I30="")),'2 Phy'!$I30,0)</f>
        <v>0</v>
      </c>
      <c r="AE30">
        <f>IF(AND('2 Phy'!C30&lt;Tmax, NOT('2 Phy'!$H30="")),'2 Phy'!$H30,4)</f>
        <v>2</v>
      </c>
      <c r="AF30">
        <f>IF(AND('2 Phy'!D30&lt;Tmax, NOT('2 Phy'!$H30="")),'2 Phy'!$H30,4)</f>
        <v>2</v>
      </c>
      <c r="AG30">
        <f>IF(AND('2 Phy'!E30&lt;Tmax, NOT('2 Phy'!$H30="")),'2 Phy'!$H30,4)</f>
        <v>2</v>
      </c>
      <c r="AH30">
        <f>IF(AND('2 Phy'!F30&lt;Tmax, NOT('2 Phy'!$H30="")),'2 Phy'!$H30,4)</f>
        <v>2</v>
      </c>
      <c r="AI30"/>
    </row>
    <row r="31" spans="1:35" s="213" customFormat="1" ht="40.799999999999997" x14ac:dyDescent="0.25">
      <c r="A31" s="164" t="s">
        <v>1656</v>
      </c>
      <c r="B31" s="128" t="s">
        <v>1652</v>
      </c>
      <c r="C31" s="243"/>
      <c r="D31" s="243"/>
      <c r="E31" s="243"/>
      <c r="F31" s="243"/>
      <c r="G31" s="133">
        <v>2</v>
      </c>
      <c r="H31" s="133">
        <v>2</v>
      </c>
      <c r="I31" s="133"/>
      <c r="J31" s="133"/>
      <c r="K31" s="135"/>
      <c r="L31" s="227"/>
      <c r="M31" s="227"/>
      <c r="N31" s="227"/>
      <c r="O31" s="227"/>
      <c r="P31" s="227"/>
      <c r="Q31" s="227"/>
      <c r="R31" s="227"/>
      <c r="S31" s="227"/>
      <c r="T31" s="227"/>
      <c r="U31" s="227"/>
      <c r="V31" s="227"/>
      <c r="W31" s="227"/>
      <c r="X31" s="227"/>
      <c r="AA31">
        <f>IF(AND('2 Phy'!C31&gt;Tmin, NOT('2 Phy'!$I31="")),'2 Phy'!$I31,0)</f>
        <v>0</v>
      </c>
      <c r="AB31">
        <f>IF(AND('2 Phy'!D31&gt;Tmin, NOT('2 Phy'!$I31="")),'2 Phy'!$I31,0)</f>
        <v>0</v>
      </c>
      <c r="AC31">
        <f>IF(AND('2 Phy'!E31&gt;Tmin, NOT('2 Phy'!$I31="")),'2 Phy'!$I31,0)</f>
        <v>0</v>
      </c>
      <c r="AD31">
        <f>IF(AND('2 Phy'!F31&gt;Tmin, NOT('2 Phy'!$I31="")),'2 Phy'!$I31,0)</f>
        <v>0</v>
      </c>
      <c r="AE31">
        <f>IF(AND('2 Phy'!C31&lt;Tmax, NOT('2 Phy'!$H31="")),'2 Phy'!$H31,4)</f>
        <v>2</v>
      </c>
      <c r="AF31">
        <f>IF(AND('2 Phy'!D31&lt;Tmax, NOT('2 Phy'!$H31="")),'2 Phy'!$H31,4)</f>
        <v>2</v>
      </c>
      <c r="AG31">
        <f>IF(AND('2 Phy'!E31&lt;Tmax, NOT('2 Phy'!$H31="")),'2 Phy'!$H31,4)</f>
        <v>2</v>
      </c>
      <c r="AH31">
        <f>IF(AND('2 Phy'!F31&lt;Tmax, NOT('2 Phy'!$H31="")),'2 Phy'!$H31,4)</f>
        <v>2</v>
      </c>
      <c r="AI31"/>
    </row>
    <row r="32" spans="1:35" s="213" customFormat="1" ht="30.6" x14ac:dyDescent="0.25">
      <c r="A32" s="164" t="s">
        <v>1657</v>
      </c>
      <c r="B32" s="128" t="s">
        <v>1661</v>
      </c>
      <c r="C32" s="243"/>
      <c r="D32" s="243"/>
      <c r="E32" s="243"/>
      <c r="F32" s="243"/>
      <c r="G32" s="133">
        <v>2</v>
      </c>
      <c r="H32" s="133">
        <v>3</v>
      </c>
      <c r="I32" s="133"/>
      <c r="J32" s="133"/>
      <c r="K32" s="135"/>
      <c r="L32" s="227"/>
      <c r="M32" s="227"/>
      <c r="N32" s="227"/>
      <c r="O32" s="227"/>
      <c r="P32" s="227"/>
      <c r="Q32" s="227"/>
      <c r="R32" s="227"/>
      <c r="S32" s="227"/>
      <c r="T32" s="227"/>
      <c r="U32" s="227"/>
      <c r="V32" s="227"/>
      <c r="W32" s="227"/>
      <c r="X32" s="227"/>
      <c r="AA32">
        <f>IF(AND('2 Phy'!C32&gt;Tmin, NOT('2 Phy'!$I32="")),'2 Phy'!$I32,0)</f>
        <v>0</v>
      </c>
      <c r="AB32">
        <f>IF(AND('2 Phy'!D32&gt;Tmin, NOT('2 Phy'!$I32="")),'2 Phy'!$I32,0)</f>
        <v>0</v>
      </c>
      <c r="AC32">
        <f>IF(AND('2 Phy'!E32&gt;Tmin, NOT('2 Phy'!$I32="")),'2 Phy'!$I32,0)</f>
        <v>0</v>
      </c>
      <c r="AD32">
        <f>IF(AND('2 Phy'!F32&gt;Tmin, NOT('2 Phy'!$I32="")),'2 Phy'!$I32,0)</f>
        <v>0</v>
      </c>
      <c r="AE32">
        <f>IF(AND('2 Phy'!C32&lt;Tmax, NOT('2 Phy'!$H32="")),'2 Phy'!$H32,4)</f>
        <v>3</v>
      </c>
      <c r="AF32">
        <f>IF(AND('2 Phy'!D32&lt;Tmax, NOT('2 Phy'!$H32="")),'2 Phy'!$H32,4)</f>
        <v>3</v>
      </c>
      <c r="AG32">
        <f>IF(AND('2 Phy'!E32&lt;Tmax, NOT('2 Phy'!$H32="")),'2 Phy'!$H32,4)</f>
        <v>3</v>
      </c>
      <c r="AH32">
        <f>IF(AND('2 Phy'!F32&lt;Tmax, NOT('2 Phy'!$H32="")),'2 Phy'!$H32,4)</f>
        <v>3</v>
      </c>
      <c r="AI32"/>
    </row>
    <row r="33" spans="1:35" ht="13.2" x14ac:dyDescent="0.2">
      <c r="A33" s="164" t="s">
        <v>617</v>
      </c>
      <c r="B33" s="128" t="s">
        <v>495</v>
      </c>
      <c r="C33" s="243"/>
      <c r="D33" s="243"/>
      <c r="E33" s="243"/>
      <c r="F33" s="243"/>
      <c r="G33" s="133"/>
      <c r="H33" s="133"/>
      <c r="I33" s="133"/>
      <c r="J33" s="133"/>
      <c r="K33" s="135"/>
      <c r="AA33"/>
      <c r="AB33"/>
      <c r="AC33"/>
      <c r="AD33"/>
      <c r="AE33"/>
      <c r="AF33"/>
      <c r="AG33"/>
      <c r="AH33"/>
      <c r="AI33"/>
    </row>
    <row r="34" spans="1:35" ht="20.399999999999999" x14ac:dyDescent="0.2">
      <c r="A34" s="164" t="s">
        <v>1719</v>
      </c>
      <c r="B34" s="128" t="s">
        <v>1715</v>
      </c>
      <c r="C34" s="243"/>
      <c r="D34" s="243"/>
      <c r="E34" s="243"/>
      <c r="F34" s="243"/>
      <c r="G34" s="133">
        <v>4</v>
      </c>
      <c r="H34" s="133">
        <v>2</v>
      </c>
      <c r="I34" s="133"/>
      <c r="J34" s="133"/>
      <c r="K34" s="135"/>
      <c r="AA34">
        <f>IF(AND('2 Phy'!C34&gt;Tmin, NOT('2 Phy'!$I34="")),'2 Phy'!$I34,0)</f>
        <v>0</v>
      </c>
      <c r="AB34">
        <f>IF(AND('2 Phy'!D34&gt;Tmin, NOT('2 Phy'!$I34="")),'2 Phy'!$I34,0)</f>
        <v>0</v>
      </c>
      <c r="AC34">
        <f>IF(AND('2 Phy'!E34&gt;Tmin, NOT('2 Phy'!$I34="")),'2 Phy'!$I34,0)</f>
        <v>0</v>
      </c>
      <c r="AD34">
        <f>IF(AND('2 Phy'!F34&gt;Tmin, NOT('2 Phy'!$I34="")),'2 Phy'!$I34,0)</f>
        <v>0</v>
      </c>
      <c r="AE34">
        <f>IF(AND('2 Phy'!C34&lt;Tmax, NOT('2 Phy'!$H34="")),'2 Phy'!$H34,4)</f>
        <v>2</v>
      </c>
      <c r="AF34">
        <f>IF(AND('2 Phy'!D34&lt;Tmax, NOT('2 Phy'!$H34="")),'2 Phy'!$H34,4)</f>
        <v>2</v>
      </c>
      <c r="AG34">
        <f>IF(AND('2 Phy'!E34&lt;Tmax, NOT('2 Phy'!$H34="")),'2 Phy'!$H34,4)</f>
        <v>2</v>
      </c>
      <c r="AH34">
        <f>IF(AND('2 Phy'!F34&lt;Tmax, NOT('2 Phy'!$H34="")),'2 Phy'!$H34,4)</f>
        <v>2</v>
      </c>
      <c r="AI34"/>
    </row>
    <row r="35" spans="1:35" ht="20.399999999999999" x14ac:dyDescent="0.2">
      <c r="A35" s="164" t="s">
        <v>1720</v>
      </c>
      <c r="B35" s="128" t="s">
        <v>1716</v>
      </c>
      <c r="C35" s="243"/>
      <c r="D35" s="243"/>
      <c r="E35" s="243"/>
      <c r="F35" s="243"/>
      <c r="G35" s="133">
        <v>4</v>
      </c>
      <c r="H35" s="133">
        <v>2</v>
      </c>
      <c r="I35" s="133"/>
      <c r="J35" s="133"/>
      <c r="K35" s="135"/>
      <c r="AA35">
        <f>IF(AND('2 Phy'!C35&gt;Tmin, NOT('2 Phy'!$I35="")),'2 Phy'!$I35,0)</f>
        <v>0</v>
      </c>
      <c r="AB35">
        <f>IF(AND('2 Phy'!D35&gt;Tmin, NOT('2 Phy'!$I35="")),'2 Phy'!$I35,0)</f>
        <v>0</v>
      </c>
      <c r="AC35">
        <f>IF(AND('2 Phy'!E35&gt;Tmin, NOT('2 Phy'!$I35="")),'2 Phy'!$I35,0)</f>
        <v>0</v>
      </c>
      <c r="AD35">
        <f>IF(AND('2 Phy'!F35&gt;Tmin, NOT('2 Phy'!$I35="")),'2 Phy'!$I35,0)</f>
        <v>0</v>
      </c>
      <c r="AE35">
        <f>IF(AND('2 Phy'!C35&lt;Tmax, NOT('2 Phy'!$H35="")),'2 Phy'!$H35,4)</f>
        <v>2</v>
      </c>
      <c r="AF35">
        <f>IF(AND('2 Phy'!D35&lt;Tmax, NOT('2 Phy'!$H35="")),'2 Phy'!$H35,4)</f>
        <v>2</v>
      </c>
      <c r="AG35">
        <f>IF(AND('2 Phy'!E35&lt;Tmax, NOT('2 Phy'!$H35="")),'2 Phy'!$H35,4)</f>
        <v>2</v>
      </c>
      <c r="AH35">
        <f>IF(AND('2 Phy'!F35&lt;Tmax, NOT('2 Phy'!$H35="")),'2 Phy'!$H35,4)</f>
        <v>2</v>
      </c>
      <c r="AI35"/>
    </row>
    <row r="36" spans="1:35" ht="13.2" x14ac:dyDescent="0.2">
      <c r="A36" s="164" t="s">
        <v>1721</v>
      </c>
      <c r="B36" s="128" t="s">
        <v>1717</v>
      </c>
      <c r="C36" s="243"/>
      <c r="D36" s="243"/>
      <c r="E36" s="243"/>
      <c r="F36" s="243"/>
      <c r="G36" s="133">
        <v>4</v>
      </c>
      <c r="H36" s="133">
        <v>2</v>
      </c>
      <c r="I36" s="133"/>
      <c r="J36" s="133"/>
      <c r="K36" s="135"/>
      <c r="AA36">
        <f>IF(AND('2 Phy'!C36&gt;Tmin, NOT('2 Phy'!$I36="")),'2 Phy'!$I36,0)</f>
        <v>0</v>
      </c>
      <c r="AB36">
        <f>IF(AND('2 Phy'!D36&gt;Tmin, NOT('2 Phy'!$I36="")),'2 Phy'!$I36,0)</f>
        <v>0</v>
      </c>
      <c r="AC36">
        <f>IF(AND('2 Phy'!E36&gt;Tmin, NOT('2 Phy'!$I36="")),'2 Phy'!$I36,0)</f>
        <v>0</v>
      </c>
      <c r="AD36">
        <f>IF(AND('2 Phy'!F36&gt;Tmin, NOT('2 Phy'!$I36="")),'2 Phy'!$I36,0)</f>
        <v>0</v>
      </c>
      <c r="AE36">
        <f>IF(AND('2 Phy'!C36&lt;Tmax, NOT('2 Phy'!$H36="")),'2 Phy'!$H36,4)</f>
        <v>2</v>
      </c>
      <c r="AF36">
        <f>IF(AND('2 Phy'!D36&lt;Tmax, NOT('2 Phy'!$H36="")),'2 Phy'!$H36,4)</f>
        <v>2</v>
      </c>
      <c r="AG36">
        <f>IF(AND('2 Phy'!E36&lt;Tmax, NOT('2 Phy'!$H36="")),'2 Phy'!$H36,4)</f>
        <v>2</v>
      </c>
      <c r="AH36">
        <f>IF(AND('2 Phy'!F36&lt;Tmax, NOT('2 Phy'!$H36="")),'2 Phy'!$H36,4)</f>
        <v>2</v>
      </c>
      <c r="AI36"/>
    </row>
    <row r="37" spans="1:35" s="134" customFormat="1" ht="20.399999999999999" x14ac:dyDescent="0.25">
      <c r="A37" s="164" t="s">
        <v>1722</v>
      </c>
      <c r="B37" s="128" t="s">
        <v>1667</v>
      </c>
      <c r="C37" s="243"/>
      <c r="D37" s="243"/>
      <c r="E37" s="243"/>
      <c r="F37" s="243"/>
      <c r="G37" s="133">
        <v>4</v>
      </c>
      <c r="H37" s="133">
        <v>3</v>
      </c>
      <c r="I37" s="133"/>
      <c r="J37" s="133"/>
      <c r="K37" s="135"/>
      <c r="L37" s="213"/>
      <c r="M37" s="128"/>
      <c r="AA37">
        <f>IF(AND('2 Phy'!C37&gt;Tmin, NOT('2 Phy'!$I37="")),'2 Phy'!$I37,0)</f>
        <v>0</v>
      </c>
      <c r="AB37">
        <f>IF(AND('2 Phy'!D37&gt;Tmin, NOT('2 Phy'!$I37="")),'2 Phy'!$I37,0)</f>
        <v>0</v>
      </c>
      <c r="AC37">
        <f>IF(AND('2 Phy'!E37&gt;Tmin, NOT('2 Phy'!$I37="")),'2 Phy'!$I37,0)</f>
        <v>0</v>
      </c>
      <c r="AD37">
        <f>IF(AND('2 Phy'!F37&gt;Tmin, NOT('2 Phy'!$I37="")),'2 Phy'!$I37,0)</f>
        <v>0</v>
      </c>
      <c r="AE37">
        <f>IF(AND('2 Phy'!C37&lt;Tmax, NOT('2 Phy'!$H37="")),'2 Phy'!$H37,4)</f>
        <v>3</v>
      </c>
      <c r="AF37">
        <f>IF(AND('2 Phy'!D37&lt;Tmax, NOT('2 Phy'!$H37="")),'2 Phy'!$H37,4)</f>
        <v>3</v>
      </c>
      <c r="AG37">
        <f>IF(AND('2 Phy'!E37&lt;Tmax, NOT('2 Phy'!$H37="")),'2 Phy'!$H37,4)</f>
        <v>3</v>
      </c>
      <c r="AH37">
        <f>IF(AND('2 Phy'!F37&lt;Tmax, NOT('2 Phy'!$H37="")),'2 Phy'!$H37,4)</f>
        <v>3</v>
      </c>
      <c r="AI37"/>
    </row>
    <row r="38" spans="1:35" ht="20.399999999999999" x14ac:dyDescent="0.2">
      <c r="A38" s="164" t="s">
        <v>1723</v>
      </c>
      <c r="B38" s="128" t="s">
        <v>1718</v>
      </c>
      <c r="C38" s="243"/>
      <c r="D38" s="243"/>
      <c r="E38" s="243"/>
      <c r="F38" s="243"/>
      <c r="G38" s="133">
        <v>4</v>
      </c>
      <c r="H38" s="133">
        <v>3</v>
      </c>
      <c r="I38" s="133"/>
      <c r="J38" s="133"/>
      <c r="K38" s="135"/>
      <c r="AA38">
        <f>IF(AND('2 Phy'!C38&gt;Tmin, NOT('2 Phy'!$I38="")),'2 Phy'!$I38,0)</f>
        <v>0</v>
      </c>
      <c r="AB38">
        <f>IF(AND('2 Phy'!D38&gt;Tmin, NOT('2 Phy'!$I38="")),'2 Phy'!$I38,0)</f>
        <v>0</v>
      </c>
      <c r="AC38">
        <f>IF(AND('2 Phy'!E38&gt;Tmin, NOT('2 Phy'!$I38="")),'2 Phy'!$I38,0)</f>
        <v>0</v>
      </c>
      <c r="AD38">
        <f>IF(AND('2 Phy'!F38&gt;Tmin, NOT('2 Phy'!$I38="")),'2 Phy'!$I38,0)</f>
        <v>0</v>
      </c>
      <c r="AE38">
        <f>IF(AND('2 Phy'!C38&lt;Tmax, NOT('2 Phy'!$H38="")),'2 Phy'!$H38,4)</f>
        <v>3</v>
      </c>
      <c r="AF38">
        <f>IF(AND('2 Phy'!D38&lt;Tmax, NOT('2 Phy'!$H38="")),'2 Phy'!$H38,4)</f>
        <v>3</v>
      </c>
      <c r="AG38">
        <f>IF(AND('2 Phy'!E38&lt;Tmax, NOT('2 Phy'!$H38="")),'2 Phy'!$H38,4)</f>
        <v>3</v>
      </c>
      <c r="AH38">
        <f>IF(AND('2 Phy'!F38&lt;Tmax, NOT('2 Phy'!$H38="")),'2 Phy'!$H38,4)</f>
        <v>3</v>
      </c>
      <c r="AI38"/>
    </row>
    <row r="39" spans="1:35" s="213" customFormat="1" ht="20.399999999999999" x14ac:dyDescent="0.25">
      <c r="A39" s="164" t="s">
        <v>1724</v>
      </c>
      <c r="B39" s="128" t="s">
        <v>1628</v>
      </c>
      <c r="C39" s="243"/>
      <c r="D39" s="243"/>
      <c r="E39" s="243"/>
      <c r="F39" s="243"/>
      <c r="G39" s="133">
        <v>4</v>
      </c>
      <c r="H39" s="133">
        <v>2</v>
      </c>
      <c r="I39" s="133"/>
      <c r="J39" s="133"/>
      <c r="K39" s="135"/>
      <c r="L39" s="227"/>
      <c r="M39" s="227"/>
      <c r="N39" s="227"/>
      <c r="O39" s="227"/>
      <c r="P39" s="227"/>
      <c r="Q39" s="227"/>
      <c r="R39" s="227"/>
      <c r="S39" s="227"/>
      <c r="T39" s="227"/>
      <c r="U39" s="227"/>
      <c r="V39" s="227"/>
      <c r="W39" s="227"/>
      <c r="X39" s="227"/>
      <c r="Y39" s="227"/>
      <c r="AA39">
        <f>IF(AND('2 Phy'!C39&gt;Tmin, NOT('2 Phy'!$I39="")),'2 Phy'!$I39,0)</f>
        <v>0</v>
      </c>
      <c r="AB39">
        <f>IF(AND('2 Phy'!D39&gt;Tmin, NOT('2 Phy'!$I39="")),'2 Phy'!$I39,0)</f>
        <v>0</v>
      </c>
      <c r="AC39">
        <f>IF(AND('2 Phy'!E39&gt;Tmin, NOT('2 Phy'!$I39="")),'2 Phy'!$I39,0)</f>
        <v>0</v>
      </c>
      <c r="AD39">
        <f>IF(AND('2 Phy'!F39&gt;Tmin, NOT('2 Phy'!$I39="")),'2 Phy'!$I39,0)</f>
        <v>0</v>
      </c>
      <c r="AE39">
        <f>IF(AND('2 Phy'!C39&lt;Tmax, NOT('2 Phy'!$H39="")),'2 Phy'!$H39,4)</f>
        <v>2</v>
      </c>
      <c r="AF39">
        <f>IF(AND('2 Phy'!D39&lt;Tmax, NOT('2 Phy'!$H39="")),'2 Phy'!$H39,4)</f>
        <v>2</v>
      </c>
      <c r="AG39">
        <f>IF(AND('2 Phy'!E39&lt;Tmax, NOT('2 Phy'!$H39="")),'2 Phy'!$H39,4)</f>
        <v>2</v>
      </c>
      <c r="AH39">
        <f>IF(AND('2 Phy'!F39&lt;Tmax, NOT('2 Phy'!$H39="")),'2 Phy'!$H39,4)</f>
        <v>2</v>
      </c>
      <c r="AI39"/>
    </row>
    <row r="40" spans="1:35" s="213" customFormat="1" ht="20.399999999999999" x14ac:dyDescent="0.25">
      <c r="A40" s="164" t="s">
        <v>1725</v>
      </c>
      <c r="B40" s="128" t="s">
        <v>1629</v>
      </c>
      <c r="C40" s="243"/>
      <c r="D40" s="243"/>
      <c r="E40" s="243"/>
      <c r="F40" s="243"/>
      <c r="G40" s="133">
        <v>4</v>
      </c>
      <c r="H40" s="133">
        <v>3</v>
      </c>
      <c r="I40" s="133"/>
      <c r="J40" s="133"/>
      <c r="K40" s="135"/>
      <c r="L40" s="227"/>
      <c r="M40" s="227"/>
      <c r="N40" s="227"/>
      <c r="O40" s="227"/>
      <c r="P40" s="227"/>
      <c r="Q40" s="227"/>
      <c r="R40" s="227"/>
      <c r="S40" s="227"/>
      <c r="T40" s="227"/>
      <c r="U40" s="227"/>
      <c r="V40" s="227"/>
      <c r="W40" s="227"/>
      <c r="X40" s="227"/>
      <c r="Y40" s="227"/>
      <c r="AA40">
        <f>IF(AND('2 Phy'!C40&gt;Tmin, NOT('2 Phy'!$I40="")),'2 Phy'!$I40,0)</f>
        <v>0</v>
      </c>
      <c r="AB40">
        <f>IF(AND('2 Phy'!D40&gt;Tmin, NOT('2 Phy'!$I40="")),'2 Phy'!$I40,0)</f>
        <v>0</v>
      </c>
      <c r="AC40">
        <f>IF(AND('2 Phy'!E40&gt;Tmin, NOT('2 Phy'!$I40="")),'2 Phy'!$I40,0)</f>
        <v>0</v>
      </c>
      <c r="AD40">
        <f>IF(AND('2 Phy'!F40&gt;Tmin, NOT('2 Phy'!$I40="")),'2 Phy'!$I40,0)</f>
        <v>0</v>
      </c>
      <c r="AE40">
        <f>IF(AND('2 Phy'!C40&lt;Tmax, NOT('2 Phy'!$H40="")),'2 Phy'!$H40,4)</f>
        <v>3</v>
      </c>
      <c r="AF40">
        <f>IF(AND('2 Phy'!D40&lt;Tmax, NOT('2 Phy'!$H40="")),'2 Phy'!$H40,4)</f>
        <v>3</v>
      </c>
      <c r="AG40">
        <f>IF(AND('2 Phy'!E40&lt;Tmax, NOT('2 Phy'!$H40="")),'2 Phy'!$H40,4)</f>
        <v>3</v>
      </c>
      <c r="AH40">
        <f>IF(AND('2 Phy'!F40&lt;Tmax, NOT('2 Phy'!$H40="")),'2 Phy'!$H40,4)</f>
        <v>3</v>
      </c>
      <c r="AI40"/>
    </row>
    <row r="41" spans="1:35" s="213" customFormat="1" ht="20.399999999999999" x14ac:dyDescent="0.25">
      <c r="A41" s="164" t="s">
        <v>1726</v>
      </c>
      <c r="B41" s="128" t="s">
        <v>6756</v>
      </c>
      <c r="C41" s="243"/>
      <c r="D41" s="243"/>
      <c r="E41" s="243"/>
      <c r="F41" s="243"/>
      <c r="G41" s="133">
        <v>2</v>
      </c>
      <c r="H41" s="133">
        <v>3</v>
      </c>
      <c r="I41" s="133"/>
      <c r="J41" s="133"/>
      <c r="K41" s="135"/>
      <c r="L41" s="227"/>
      <c r="M41" s="227"/>
      <c r="N41" s="227"/>
      <c r="O41" s="227"/>
      <c r="P41" s="227"/>
      <c r="Q41" s="227"/>
      <c r="R41" s="227"/>
      <c r="S41" s="227"/>
      <c r="T41" s="227"/>
      <c r="U41" s="227"/>
      <c r="V41" s="227"/>
      <c r="W41" s="227"/>
      <c r="X41" s="227"/>
      <c r="Y41" s="227"/>
      <c r="AA41">
        <f>IF(AND('2 Phy'!C41&gt;Tmin, NOT('2 Phy'!$I41="")),'2 Phy'!$I41,0)</f>
        <v>0</v>
      </c>
      <c r="AB41">
        <f>IF(AND('2 Phy'!D41&gt;Tmin, NOT('2 Phy'!$I41="")),'2 Phy'!$I41,0)</f>
        <v>0</v>
      </c>
      <c r="AC41">
        <f>IF(AND('2 Phy'!E41&gt;Tmin, NOT('2 Phy'!$I41="")),'2 Phy'!$I41,0)</f>
        <v>0</v>
      </c>
      <c r="AD41">
        <f>IF(AND('2 Phy'!F41&gt;Tmin, NOT('2 Phy'!$I41="")),'2 Phy'!$I41,0)</f>
        <v>0</v>
      </c>
      <c r="AE41">
        <f>IF(AND('2 Phy'!C41&lt;Tmax, NOT('2 Phy'!$H41="")),'2 Phy'!$H41,4)</f>
        <v>3</v>
      </c>
      <c r="AF41">
        <f>IF(AND('2 Phy'!D41&lt;Tmax, NOT('2 Phy'!$H41="")),'2 Phy'!$H41,4)</f>
        <v>3</v>
      </c>
      <c r="AG41">
        <f>IF(AND('2 Phy'!E41&lt;Tmax, NOT('2 Phy'!$H41="")),'2 Phy'!$H41,4)</f>
        <v>3</v>
      </c>
      <c r="AH41">
        <f>IF(AND('2 Phy'!F41&lt;Tmax, NOT('2 Phy'!$H41="")),'2 Phy'!$H41,4)</f>
        <v>3</v>
      </c>
      <c r="AI41"/>
    </row>
    <row r="42" spans="1:35" s="213" customFormat="1" ht="20.399999999999999" x14ac:dyDescent="0.25">
      <c r="A42" s="164" t="s">
        <v>1727</v>
      </c>
      <c r="B42" s="128" t="s">
        <v>1630</v>
      </c>
      <c r="C42" s="243"/>
      <c r="D42" s="243"/>
      <c r="E42" s="243"/>
      <c r="F42" s="243"/>
      <c r="G42" s="133">
        <v>2</v>
      </c>
      <c r="H42" s="133">
        <v>3</v>
      </c>
      <c r="I42" s="133"/>
      <c r="J42" s="133"/>
      <c r="K42" s="135"/>
      <c r="L42" s="227"/>
      <c r="M42" s="227"/>
      <c r="N42" s="227"/>
      <c r="O42" s="227"/>
      <c r="P42" s="227"/>
      <c r="Q42" s="227"/>
      <c r="R42" s="227"/>
      <c r="S42" s="227"/>
      <c r="T42" s="227"/>
      <c r="U42" s="227"/>
      <c r="V42" s="227"/>
      <c r="W42" s="227"/>
      <c r="X42" s="227"/>
      <c r="Y42" s="227"/>
      <c r="AA42">
        <f>IF(AND('2 Phy'!C42&gt;Tmin, NOT('2 Phy'!$I42="")),'2 Phy'!$I42,0)</f>
        <v>0</v>
      </c>
      <c r="AB42">
        <f>IF(AND('2 Phy'!D42&gt;Tmin, NOT('2 Phy'!$I42="")),'2 Phy'!$I42,0)</f>
        <v>0</v>
      </c>
      <c r="AC42">
        <f>IF(AND('2 Phy'!E42&gt;Tmin, NOT('2 Phy'!$I42="")),'2 Phy'!$I42,0)</f>
        <v>0</v>
      </c>
      <c r="AD42">
        <f>IF(AND('2 Phy'!F42&gt;Tmin, NOT('2 Phy'!$I42="")),'2 Phy'!$I42,0)</f>
        <v>0</v>
      </c>
      <c r="AE42">
        <f>IF(AND('2 Phy'!C42&lt;Tmax, NOT('2 Phy'!$H42="")),'2 Phy'!$H42,4)</f>
        <v>3</v>
      </c>
      <c r="AF42">
        <f>IF(AND('2 Phy'!D42&lt;Tmax, NOT('2 Phy'!$H42="")),'2 Phy'!$H42,4)</f>
        <v>3</v>
      </c>
      <c r="AG42">
        <f>IF(AND('2 Phy'!E42&lt;Tmax, NOT('2 Phy'!$H42="")),'2 Phy'!$H42,4)</f>
        <v>3</v>
      </c>
      <c r="AH42">
        <f>IF(AND('2 Phy'!F42&lt;Tmax, NOT('2 Phy'!$H42="")),'2 Phy'!$H42,4)</f>
        <v>3</v>
      </c>
      <c r="AI42"/>
    </row>
    <row r="43" spans="1:35" s="213" customFormat="1" ht="13.2" x14ac:dyDescent="0.25">
      <c r="A43" s="164" t="s">
        <v>618</v>
      </c>
      <c r="B43" s="128" t="s">
        <v>547</v>
      </c>
      <c r="C43" s="243"/>
      <c r="D43" s="243"/>
      <c r="E43" s="243"/>
      <c r="F43" s="243"/>
      <c r="G43" s="133"/>
      <c r="H43" s="133"/>
      <c r="I43" s="133"/>
      <c r="J43" s="133"/>
      <c r="K43" s="135"/>
      <c r="L43" s="227"/>
      <c r="M43" s="227"/>
      <c r="N43" s="227"/>
      <c r="O43" s="227"/>
      <c r="P43" s="227"/>
      <c r="Q43" s="227"/>
      <c r="R43" s="227"/>
      <c r="S43" s="227"/>
      <c r="T43" s="227"/>
      <c r="U43" s="227"/>
      <c r="V43" s="227"/>
      <c r="W43" s="227"/>
      <c r="X43" s="227"/>
      <c r="Y43" s="227"/>
      <c r="AA43"/>
      <c r="AB43"/>
      <c r="AC43"/>
      <c r="AD43"/>
      <c r="AE43"/>
      <c r="AF43"/>
      <c r="AG43"/>
      <c r="AH43"/>
      <c r="AI43"/>
    </row>
    <row r="44" spans="1:35" s="213" customFormat="1" ht="30.6" x14ac:dyDescent="0.25">
      <c r="A44" s="164" t="s">
        <v>1729</v>
      </c>
      <c r="B44" s="128" t="s">
        <v>1728</v>
      </c>
      <c r="C44" s="243"/>
      <c r="D44" s="243"/>
      <c r="E44" s="243"/>
      <c r="F44" s="243"/>
      <c r="G44" s="133">
        <v>4</v>
      </c>
      <c r="H44" s="133"/>
      <c r="I44" s="133">
        <v>3</v>
      </c>
      <c r="J44" s="133"/>
      <c r="K44" s="135"/>
      <c r="L44" s="227"/>
      <c r="M44" s="227"/>
      <c r="N44" s="227"/>
      <c r="O44" s="227"/>
      <c r="P44" s="227"/>
      <c r="Q44" s="227"/>
      <c r="R44" s="227"/>
      <c r="S44" s="227"/>
      <c r="T44" s="227"/>
      <c r="U44" s="227"/>
      <c r="V44" s="227"/>
      <c r="W44" s="227"/>
      <c r="X44" s="227"/>
      <c r="Y44" s="227"/>
      <c r="AA44">
        <f>IF(AND('2 Phy'!C44&gt;Tmin, NOT('2 Phy'!$I44="")),'2 Phy'!$I44,0)</f>
        <v>0</v>
      </c>
      <c r="AB44">
        <f>IF(AND('2 Phy'!D44&gt;Tmin, NOT('2 Phy'!$I44="")),'2 Phy'!$I44,0)</f>
        <v>0</v>
      </c>
      <c r="AC44">
        <f>IF(AND('2 Phy'!E44&gt;Tmin, NOT('2 Phy'!$I44="")),'2 Phy'!$I44,0)</f>
        <v>0</v>
      </c>
      <c r="AD44">
        <f>IF(AND('2 Phy'!F44&gt;Tmin, NOT('2 Phy'!$I44="")),'2 Phy'!$I44,0)</f>
        <v>0</v>
      </c>
      <c r="AE44">
        <f>IF(AND('2 Phy'!C44&lt;Tmax, NOT('2 Phy'!$H44="")),'2 Phy'!$H44,4)</f>
        <v>4</v>
      </c>
      <c r="AF44">
        <f>IF(AND('2 Phy'!D44&lt;Tmax, NOT('2 Phy'!$H44="")),'2 Phy'!$H44,4)</f>
        <v>4</v>
      </c>
      <c r="AG44">
        <f>IF(AND('2 Phy'!E44&lt;Tmax, NOT('2 Phy'!$H44="")),'2 Phy'!$H44,4)</f>
        <v>4</v>
      </c>
      <c r="AH44">
        <f>IF(AND('2 Phy'!F44&lt;Tmax, NOT('2 Phy'!$H44="")),'2 Phy'!$H44,4)</f>
        <v>4</v>
      </c>
      <c r="AI44"/>
    </row>
    <row r="45" spans="1:35" s="213" customFormat="1" ht="20.399999999999999" x14ac:dyDescent="0.25">
      <c r="A45" s="164" t="s">
        <v>1730</v>
      </c>
      <c r="B45" s="128" t="s">
        <v>1718</v>
      </c>
      <c r="C45" s="243"/>
      <c r="D45" s="243"/>
      <c r="E45" s="243"/>
      <c r="F45" s="243"/>
      <c r="G45" s="133">
        <v>4</v>
      </c>
      <c r="H45" s="133">
        <v>3</v>
      </c>
      <c r="I45" s="133"/>
      <c r="J45" s="133"/>
      <c r="K45" s="135"/>
      <c r="L45" s="227"/>
      <c r="M45" s="227"/>
      <c r="N45" s="227"/>
      <c r="O45" s="227"/>
      <c r="P45" s="227"/>
      <c r="Q45" s="227"/>
      <c r="R45" s="227"/>
      <c r="S45" s="227"/>
      <c r="T45" s="227"/>
      <c r="U45" s="227"/>
      <c r="V45" s="227"/>
      <c r="W45" s="227"/>
      <c r="X45" s="227"/>
      <c r="Y45" s="227"/>
      <c r="AA45">
        <f>IF(AND('2 Phy'!C45&gt;Tmin, NOT('2 Phy'!$I45="")),'2 Phy'!$I45,0)</f>
        <v>0</v>
      </c>
      <c r="AB45">
        <f>IF(AND('2 Phy'!D45&gt;Tmin, NOT('2 Phy'!$I45="")),'2 Phy'!$I45,0)</f>
        <v>0</v>
      </c>
      <c r="AC45">
        <f>IF(AND('2 Phy'!E45&gt;Tmin, NOT('2 Phy'!$I45="")),'2 Phy'!$I45,0)</f>
        <v>0</v>
      </c>
      <c r="AD45">
        <f>IF(AND('2 Phy'!F45&gt;Tmin, NOT('2 Phy'!$I45="")),'2 Phy'!$I45,0)</f>
        <v>0</v>
      </c>
      <c r="AE45">
        <f>IF(AND('2 Phy'!C45&lt;Tmax, NOT('2 Phy'!$H45="")),'2 Phy'!$H45,4)</f>
        <v>3</v>
      </c>
      <c r="AF45">
        <f>IF(AND('2 Phy'!D45&lt;Tmax, NOT('2 Phy'!$H45="")),'2 Phy'!$H45,4)</f>
        <v>3</v>
      </c>
      <c r="AG45">
        <f>IF(AND('2 Phy'!E45&lt;Tmax, NOT('2 Phy'!$H45="")),'2 Phy'!$H45,4)</f>
        <v>3</v>
      </c>
      <c r="AH45">
        <f>IF(AND('2 Phy'!F45&lt;Tmax, NOT('2 Phy'!$H45="")),'2 Phy'!$H45,4)</f>
        <v>3</v>
      </c>
      <c r="AI45"/>
    </row>
    <row r="46" spans="1:35" s="213" customFormat="1" ht="20.399999999999999" x14ac:dyDescent="0.25">
      <c r="A46" s="164" t="s">
        <v>1731</v>
      </c>
      <c r="B46" s="128" t="s">
        <v>1678</v>
      </c>
      <c r="C46" s="243"/>
      <c r="D46" s="243"/>
      <c r="E46" s="243"/>
      <c r="F46" s="243"/>
      <c r="G46" s="133">
        <v>2</v>
      </c>
      <c r="H46" s="133">
        <v>2</v>
      </c>
      <c r="I46" s="133"/>
      <c r="J46" s="133"/>
      <c r="K46" s="135"/>
      <c r="L46" s="227"/>
      <c r="M46" s="227"/>
      <c r="N46" s="227"/>
      <c r="O46" s="227"/>
      <c r="P46" s="227"/>
      <c r="Q46" s="227"/>
      <c r="R46" s="227"/>
      <c r="S46" s="227"/>
      <c r="T46" s="227"/>
      <c r="U46" s="227"/>
      <c r="V46" s="227"/>
      <c r="W46" s="227"/>
      <c r="X46" s="227"/>
      <c r="Y46" s="227"/>
      <c r="AA46">
        <f>IF(AND('2 Phy'!C46&gt;Tmin, NOT('2 Phy'!$I46="")),'2 Phy'!$I46,0)</f>
        <v>0</v>
      </c>
      <c r="AB46">
        <f>IF(AND('2 Phy'!D46&gt;Tmin, NOT('2 Phy'!$I46="")),'2 Phy'!$I46,0)</f>
        <v>0</v>
      </c>
      <c r="AC46">
        <f>IF(AND('2 Phy'!E46&gt;Tmin, NOT('2 Phy'!$I46="")),'2 Phy'!$I46,0)</f>
        <v>0</v>
      </c>
      <c r="AD46">
        <f>IF(AND('2 Phy'!F46&gt;Tmin, NOT('2 Phy'!$I46="")),'2 Phy'!$I46,0)</f>
        <v>0</v>
      </c>
      <c r="AE46">
        <f>IF(AND('2 Phy'!C46&lt;Tmax, NOT('2 Phy'!$H46="")),'2 Phy'!$H46,4)</f>
        <v>2</v>
      </c>
      <c r="AF46">
        <f>IF(AND('2 Phy'!D46&lt;Tmax, NOT('2 Phy'!$H46="")),'2 Phy'!$H46,4)</f>
        <v>2</v>
      </c>
      <c r="AG46">
        <f>IF(AND('2 Phy'!E46&lt;Tmax, NOT('2 Phy'!$H46="")),'2 Phy'!$H46,4)</f>
        <v>2</v>
      </c>
      <c r="AH46">
        <f>IF(AND('2 Phy'!F46&lt;Tmax, NOT('2 Phy'!$H46="")),'2 Phy'!$H46,4)</f>
        <v>2</v>
      </c>
      <c r="AI46"/>
    </row>
    <row r="47" spans="1:35" s="213" customFormat="1" ht="13.2" x14ac:dyDescent="0.25">
      <c r="A47" s="164" t="s">
        <v>1732</v>
      </c>
      <c r="B47" s="128" t="s">
        <v>1681</v>
      </c>
      <c r="C47" s="243"/>
      <c r="D47" s="243"/>
      <c r="E47" s="243"/>
      <c r="F47" s="243"/>
      <c r="G47" s="133">
        <v>4</v>
      </c>
      <c r="H47" s="133">
        <v>2</v>
      </c>
      <c r="I47" s="133"/>
      <c r="J47" s="133"/>
      <c r="K47" s="135"/>
      <c r="L47" s="227"/>
      <c r="M47" s="227"/>
      <c r="N47" s="227"/>
      <c r="O47" s="227"/>
      <c r="P47" s="227"/>
      <c r="Q47" s="227"/>
      <c r="R47" s="227"/>
      <c r="S47" s="227"/>
      <c r="T47" s="227"/>
      <c r="U47" s="227"/>
      <c r="V47" s="227"/>
      <c r="W47" s="227"/>
      <c r="X47" s="227"/>
      <c r="Y47" s="227"/>
      <c r="AA47">
        <f>IF(AND('2 Phy'!C47&gt;Tmin, NOT('2 Phy'!$I47="")),'2 Phy'!$I47,0)</f>
        <v>0</v>
      </c>
      <c r="AB47">
        <f>IF(AND('2 Phy'!D47&gt;Tmin, NOT('2 Phy'!$I47="")),'2 Phy'!$I47,0)</f>
        <v>0</v>
      </c>
      <c r="AC47">
        <f>IF(AND('2 Phy'!E47&gt;Tmin, NOT('2 Phy'!$I47="")),'2 Phy'!$I47,0)</f>
        <v>0</v>
      </c>
      <c r="AD47">
        <f>IF(AND('2 Phy'!F47&gt;Tmin, NOT('2 Phy'!$I47="")),'2 Phy'!$I47,0)</f>
        <v>0</v>
      </c>
      <c r="AE47">
        <f>IF(AND('2 Phy'!C47&lt;Tmax, NOT('2 Phy'!$H47="")),'2 Phy'!$H47,4)</f>
        <v>2</v>
      </c>
      <c r="AF47">
        <f>IF(AND('2 Phy'!D47&lt;Tmax, NOT('2 Phy'!$H47="")),'2 Phy'!$H47,4)</f>
        <v>2</v>
      </c>
      <c r="AG47">
        <f>IF(AND('2 Phy'!E47&lt;Tmax, NOT('2 Phy'!$H47="")),'2 Phy'!$H47,4)</f>
        <v>2</v>
      </c>
      <c r="AH47">
        <f>IF(AND('2 Phy'!F47&lt;Tmax, NOT('2 Phy'!$H47="")),'2 Phy'!$H47,4)</f>
        <v>2</v>
      </c>
      <c r="AI47"/>
    </row>
    <row r="48" spans="1:35" s="213" customFormat="1" ht="13.2" x14ac:dyDescent="0.25">
      <c r="A48" s="164" t="s">
        <v>1733</v>
      </c>
      <c r="B48" s="128" t="s">
        <v>1683</v>
      </c>
      <c r="C48" s="243"/>
      <c r="D48" s="243"/>
      <c r="E48" s="243"/>
      <c r="F48" s="243"/>
      <c r="G48" s="133">
        <v>1</v>
      </c>
      <c r="H48" s="133"/>
      <c r="I48" s="133"/>
      <c r="J48" s="133"/>
      <c r="K48" s="135"/>
      <c r="L48" s="227"/>
      <c r="M48" s="227"/>
      <c r="N48" s="227"/>
      <c r="O48" s="227"/>
      <c r="P48" s="227"/>
      <c r="Q48" s="227"/>
      <c r="R48" s="227"/>
      <c r="S48" s="227"/>
      <c r="T48" s="227"/>
      <c r="U48" s="227"/>
      <c r="V48" s="227"/>
      <c r="W48" s="227"/>
      <c r="X48" s="227"/>
      <c r="Y48" s="227"/>
      <c r="AA48">
        <f>IF(AND('2 Phy'!C48&gt;Tmin, NOT('2 Phy'!$I48="")),'2 Phy'!$I48,0)</f>
        <v>0</v>
      </c>
      <c r="AB48">
        <f>IF(AND('2 Phy'!D48&gt;Tmin, NOT('2 Phy'!$I48="")),'2 Phy'!$I48,0)</f>
        <v>0</v>
      </c>
      <c r="AC48">
        <f>IF(AND('2 Phy'!E48&gt;Tmin, NOT('2 Phy'!$I48="")),'2 Phy'!$I48,0)</f>
        <v>0</v>
      </c>
      <c r="AD48">
        <f>IF(AND('2 Phy'!F48&gt;Tmin, NOT('2 Phy'!$I48="")),'2 Phy'!$I48,0)</f>
        <v>0</v>
      </c>
      <c r="AE48">
        <f>IF(AND('2 Phy'!C48&lt;Tmax, NOT('2 Phy'!$H48="")),'2 Phy'!$H48,4)</f>
        <v>4</v>
      </c>
      <c r="AF48">
        <f>IF(AND('2 Phy'!D48&lt;Tmax, NOT('2 Phy'!$H48="")),'2 Phy'!$H48,4)</f>
        <v>4</v>
      </c>
      <c r="AG48">
        <f>IF(AND('2 Phy'!E48&lt;Tmax, NOT('2 Phy'!$H48="")),'2 Phy'!$H48,4)</f>
        <v>4</v>
      </c>
      <c r="AH48">
        <f>IF(AND('2 Phy'!F48&lt;Tmax, NOT('2 Phy'!$H48="")),'2 Phy'!$H48,4)</f>
        <v>4</v>
      </c>
      <c r="AI48"/>
    </row>
    <row r="49" spans="1:35" s="213" customFormat="1" ht="20.399999999999999" x14ac:dyDescent="0.25">
      <c r="A49" s="164" t="s">
        <v>1734</v>
      </c>
      <c r="B49" s="128" t="s">
        <v>6757</v>
      </c>
      <c r="C49" s="243"/>
      <c r="D49" s="243"/>
      <c r="E49" s="243"/>
      <c r="F49" s="243"/>
      <c r="G49" s="133">
        <v>2</v>
      </c>
      <c r="H49" s="133">
        <v>3</v>
      </c>
      <c r="I49" s="133"/>
      <c r="J49" s="133"/>
      <c r="K49" s="135"/>
      <c r="L49" s="227"/>
      <c r="M49" s="227"/>
      <c r="N49" s="227"/>
      <c r="O49" s="227"/>
      <c r="P49" s="227"/>
      <c r="Q49" s="227"/>
      <c r="R49" s="227"/>
      <c r="S49" s="227"/>
      <c r="T49" s="227"/>
      <c r="U49" s="227"/>
      <c r="V49" s="227"/>
      <c r="W49" s="227"/>
      <c r="X49" s="227"/>
      <c r="Y49" s="227"/>
      <c r="AA49">
        <f>IF(AND('2 Phy'!C49&gt;Tmin, NOT('2 Phy'!$I49="")),'2 Phy'!$I49,0)</f>
        <v>0</v>
      </c>
      <c r="AB49">
        <f>IF(AND('2 Phy'!D49&gt;Tmin, NOT('2 Phy'!$I49="")),'2 Phy'!$I49,0)</f>
        <v>0</v>
      </c>
      <c r="AC49">
        <f>IF(AND('2 Phy'!E49&gt;Tmin, NOT('2 Phy'!$I49="")),'2 Phy'!$I49,0)</f>
        <v>0</v>
      </c>
      <c r="AD49">
        <f>IF(AND('2 Phy'!F49&gt;Tmin, NOT('2 Phy'!$I49="")),'2 Phy'!$I49,0)</f>
        <v>0</v>
      </c>
      <c r="AE49">
        <f>IF(AND('2 Phy'!C49&lt;Tmax, NOT('2 Phy'!$H49="")),'2 Phy'!$H49,4)</f>
        <v>3</v>
      </c>
      <c r="AF49">
        <f>IF(AND('2 Phy'!D49&lt;Tmax, NOT('2 Phy'!$H49="")),'2 Phy'!$H49,4)</f>
        <v>3</v>
      </c>
      <c r="AG49">
        <f>IF(AND('2 Phy'!E49&lt;Tmax, NOT('2 Phy'!$H49="")),'2 Phy'!$H49,4)</f>
        <v>3</v>
      </c>
      <c r="AH49">
        <f>IF(AND('2 Phy'!F49&lt;Tmax, NOT('2 Phy'!$H49="")),'2 Phy'!$H49,4)</f>
        <v>3</v>
      </c>
      <c r="AI49"/>
    </row>
    <row r="50" spans="1:35" s="213" customFormat="1" ht="13.2" x14ac:dyDescent="0.25">
      <c r="A50" s="164" t="s">
        <v>1735</v>
      </c>
      <c r="B50" s="128" t="s">
        <v>1686</v>
      </c>
      <c r="C50" s="243"/>
      <c r="D50" s="243"/>
      <c r="E50" s="243"/>
      <c r="F50" s="243"/>
      <c r="G50" s="133">
        <v>2</v>
      </c>
      <c r="H50" s="133">
        <v>3</v>
      </c>
      <c r="I50" s="133"/>
      <c r="J50" s="133"/>
      <c r="K50" s="135"/>
      <c r="L50" s="227"/>
      <c r="M50" s="227"/>
      <c r="N50" s="227"/>
      <c r="O50" s="227"/>
      <c r="P50" s="227"/>
      <c r="Q50" s="227"/>
      <c r="R50" s="227"/>
      <c r="S50" s="227"/>
      <c r="T50" s="227"/>
      <c r="U50" s="227"/>
      <c r="V50" s="227"/>
      <c r="W50" s="227"/>
      <c r="X50" s="227"/>
      <c r="Y50" s="227"/>
      <c r="AA50">
        <f>IF(AND('2 Phy'!C50&gt;Tmin, NOT('2 Phy'!$I50="")),'2 Phy'!$I50,0)</f>
        <v>0</v>
      </c>
      <c r="AB50">
        <f>IF(AND('2 Phy'!D50&gt;Tmin, NOT('2 Phy'!$I50="")),'2 Phy'!$I50,0)</f>
        <v>0</v>
      </c>
      <c r="AC50">
        <f>IF(AND('2 Phy'!E50&gt;Tmin, NOT('2 Phy'!$I50="")),'2 Phy'!$I50,0)</f>
        <v>0</v>
      </c>
      <c r="AD50">
        <f>IF(AND('2 Phy'!F50&gt;Tmin, NOT('2 Phy'!$I50="")),'2 Phy'!$I50,0)</f>
        <v>0</v>
      </c>
      <c r="AE50">
        <f>IF(AND('2 Phy'!C50&lt;Tmax, NOT('2 Phy'!$H50="")),'2 Phy'!$H50,4)</f>
        <v>3</v>
      </c>
      <c r="AF50">
        <f>IF(AND('2 Phy'!D50&lt;Tmax, NOT('2 Phy'!$H50="")),'2 Phy'!$H50,4)</f>
        <v>3</v>
      </c>
      <c r="AG50">
        <f>IF(AND('2 Phy'!E50&lt;Tmax, NOT('2 Phy'!$H50="")),'2 Phy'!$H50,4)</f>
        <v>3</v>
      </c>
      <c r="AH50">
        <f>IF(AND('2 Phy'!F50&lt;Tmax, NOT('2 Phy'!$H50="")),'2 Phy'!$H50,4)</f>
        <v>3</v>
      </c>
      <c r="AI50"/>
    </row>
    <row r="51" spans="1:35" ht="13.2" x14ac:dyDescent="0.2">
      <c r="A51" s="164" t="s">
        <v>725</v>
      </c>
      <c r="B51" s="128" t="s">
        <v>7060</v>
      </c>
      <c r="C51" s="243"/>
      <c r="D51" s="243"/>
      <c r="E51" s="243"/>
      <c r="F51" s="243"/>
      <c r="G51" s="133"/>
      <c r="H51" s="133"/>
      <c r="I51" s="133"/>
      <c r="J51" s="133"/>
      <c r="K51" s="135"/>
      <c r="AA51"/>
      <c r="AB51"/>
      <c r="AC51"/>
      <c r="AD51"/>
      <c r="AE51"/>
      <c r="AF51"/>
      <c r="AG51"/>
      <c r="AH51"/>
      <c r="AI51"/>
    </row>
    <row r="52" spans="1:35" s="213" customFormat="1" ht="30.6" x14ac:dyDescent="0.25">
      <c r="A52" s="164" t="s">
        <v>1736</v>
      </c>
      <c r="B52" s="128" t="s">
        <v>7171</v>
      </c>
      <c r="C52" s="243"/>
      <c r="D52" s="243"/>
      <c r="E52" s="243"/>
      <c r="F52" s="243"/>
      <c r="G52" s="133">
        <v>4</v>
      </c>
      <c r="H52" s="133"/>
      <c r="I52" s="133"/>
      <c r="J52" s="133" t="s">
        <v>685</v>
      </c>
      <c r="K52" s="135"/>
      <c r="L52" s="128"/>
      <c r="M52" s="227"/>
      <c r="N52" s="227"/>
      <c r="O52" s="227"/>
      <c r="P52" s="227"/>
      <c r="Q52" s="227"/>
      <c r="R52" s="227"/>
      <c r="S52" s="227"/>
      <c r="T52" s="227"/>
      <c r="U52" s="227"/>
      <c r="V52" s="227"/>
      <c r="W52" s="227"/>
      <c r="X52" s="227"/>
      <c r="Y52" s="227"/>
      <c r="Z52" s="227"/>
      <c r="AA52">
        <f>IF(AND('2 Phy'!C52&gt;Tmin, NOT('2 Phy'!$I52="")),'2 Phy'!$I52,0)</f>
        <v>0</v>
      </c>
      <c r="AB52">
        <f>IF(AND('2 Phy'!D52&gt;Tmin, NOT('2 Phy'!$I52="")),'2 Phy'!$I52,0)</f>
        <v>0</v>
      </c>
      <c r="AC52">
        <f>IF(AND('2 Phy'!E52&gt;Tmin, NOT('2 Phy'!$I52="")),'2 Phy'!$I52,0)</f>
        <v>0</v>
      </c>
      <c r="AD52">
        <f>IF(AND('2 Phy'!F52&gt;Tmin, NOT('2 Phy'!$I52="")),'2 Phy'!$I52,0)</f>
        <v>0</v>
      </c>
      <c r="AE52">
        <f>IF(AND('2 Phy'!C52&lt;Tmax, NOT('2 Phy'!$H52="")),'2 Phy'!$H52,4)</f>
        <v>4</v>
      </c>
      <c r="AF52">
        <f>IF(AND('2 Phy'!D52&lt;Tmax, NOT('2 Phy'!$H52="")),'2 Phy'!$H52,4)</f>
        <v>4</v>
      </c>
      <c r="AG52">
        <f>IF(AND('2 Phy'!E52&lt;Tmax, NOT('2 Phy'!$H52="")),'2 Phy'!$H52,4)</f>
        <v>4</v>
      </c>
      <c r="AH52">
        <f>IF(AND('2 Phy'!F52&lt;Tmax, NOT('2 Phy'!$H52="")),'2 Phy'!$H52,4)</f>
        <v>4</v>
      </c>
      <c r="AI52"/>
    </row>
    <row r="53" spans="1:35" s="213" customFormat="1" ht="20.399999999999999" x14ac:dyDescent="0.25">
      <c r="A53" s="164" t="s">
        <v>1737</v>
      </c>
      <c r="B53" s="128" t="s">
        <v>7172</v>
      </c>
      <c r="C53" s="243"/>
      <c r="D53" s="243"/>
      <c r="E53" s="243"/>
      <c r="F53" s="243"/>
      <c r="G53" s="133">
        <v>4</v>
      </c>
      <c r="H53" s="133"/>
      <c r="I53" s="133"/>
      <c r="J53" s="133" t="s">
        <v>685</v>
      </c>
      <c r="K53" s="135"/>
      <c r="L53" s="128"/>
      <c r="M53" s="227"/>
      <c r="N53" s="227"/>
      <c r="O53" s="227"/>
      <c r="P53" s="227"/>
      <c r="Q53" s="227"/>
      <c r="R53" s="227"/>
      <c r="S53" s="227"/>
      <c r="T53" s="227"/>
      <c r="U53" s="227"/>
      <c r="V53" s="227"/>
      <c r="W53" s="227"/>
      <c r="X53" s="227"/>
      <c r="Y53" s="227"/>
      <c r="Z53" s="227"/>
      <c r="AA53">
        <f>IF(AND('2 Phy'!C53&gt;Tmin, NOT('2 Phy'!$I53="")),'2 Phy'!$I53,0)</f>
        <v>0</v>
      </c>
      <c r="AB53">
        <f>IF(AND('2 Phy'!D53&gt;Tmin, NOT('2 Phy'!$I53="")),'2 Phy'!$I53,0)</f>
        <v>0</v>
      </c>
      <c r="AC53">
        <f>IF(AND('2 Phy'!E53&gt;Tmin, NOT('2 Phy'!$I53="")),'2 Phy'!$I53,0)</f>
        <v>0</v>
      </c>
      <c r="AD53">
        <f>IF(AND('2 Phy'!F53&gt;Tmin, NOT('2 Phy'!$I53="")),'2 Phy'!$I53,0)</f>
        <v>0</v>
      </c>
      <c r="AE53">
        <f>IF(AND('2 Phy'!C53&lt;Tmax, NOT('2 Phy'!$H53="")),'2 Phy'!$H53,4)</f>
        <v>4</v>
      </c>
      <c r="AF53">
        <f>IF(AND('2 Phy'!D53&lt;Tmax, NOT('2 Phy'!$H53="")),'2 Phy'!$H53,4)</f>
        <v>4</v>
      </c>
      <c r="AG53">
        <f>IF(AND('2 Phy'!E53&lt;Tmax, NOT('2 Phy'!$H53="")),'2 Phy'!$H53,4)</f>
        <v>4</v>
      </c>
      <c r="AH53">
        <f>IF(AND('2 Phy'!F53&lt;Tmax, NOT('2 Phy'!$H53="")),'2 Phy'!$H53,4)</f>
        <v>4</v>
      </c>
      <c r="AI53"/>
    </row>
    <row r="54" spans="1:35" s="213" customFormat="1" ht="13.2" x14ac:dyDescent="0.25">
      <c r="A54" s="164" t="s">
        <v>1619</v>
      </c>
      <c r="B54" s="128" t="s">
        <v>7069</v>
      </c>
      <c r="C54" s="243"/>
      <c r="D54" s="243"/>
      <c r="E54" s="243"/>
      <c r="F54" s="243"/>
      <c r="G54" s="133"/>
      <c r="H54" s="133"/>
      <c r="I54" s="133"/>
      <c r="J54" s="133"/>
      <c r="K54" s="135"/>
      <c r="L54" s="128"/>
      <c r="M54" s="227"/>
      <c r="N54" s="227"/>
      <c r="O54" s="227"/>
      <c r="P54" s="227"/>
      <c r="Q54" s="227"/>
      <c r="R54" s="227"/>
      <c r="S54" s="227"/>
      <c r="T54" s="227"/>
      <c r="U54" s="227"/>
      <c r="V54" s="227"/>
      <c r="W54" s="227"/>
      <c r="X54" s="227"/>
      <c r="Y54" s="227"/>
      <c r="Z54" s="227"/>
      <c r="AA54"/>
      <c r="AB54"/>
      <c r="AC54"/>
      <c r="AD54"/>
      <c r="AE54"/>
      <c r="AF54"/>
      <c r="AG54"/>
      <c r="AH54"/>
      <c r="AI54"/>
    </row>
    <row r="55" spans="1:35" s="213" customFormat="1" ht="20.399999999999999" x14ac:dyDescent="0.25">
      <c r="A55" s="164" t="s">
        <v>1738</v>
      </c>
      <c r="B55" s="128" t="s">
        <v>7173</v>
      </c>
      <c r="C55" s="243"/>
      <c r="D55" s="243"/>
      <c r="E55" s="243"/>
      <c r="F55" s="243"/>
      <c r="G55" s="133">
        <v>4</v>
      </c>
      <c r="H55" s="133"/>
      <c r="I55" s="133"/>
      <c r="J55" s="133" t="s">
        <v>7068</v>
      </c>
      <c r="K55" s="135"/>
      <c r="L55" s="128"/>
      <c r="M55" s="227"/>
      <c r="N55" s="227"/>
      <c r="O55" s="227"/>
      <c r="P55" s="227"/>
      <c r="Q55" s="227"/>
      <c r="R55" s="227"/>
      <c r="S55" s="227"/>
      <c r="T55" s="227"/>
      <c r="U55" s="227"/>
      <c r="V55" s="227"/>
      <c r="W55" s="227"/>
      <c r="X55" s="227"/>
      <c r="Y55" s="227"/>
      <c r="Z55" s="227"/>
      <c r="AA55">
        <f>IF(AND('2 Phy'!C55&gt;Tmin, NOT('2 Phy'!$I55="")),'2 Phy'!$I55,0)</f>
        <v>0</v>
      </c>
      <c r="AB55">
        <f>IF(AND('2 Phy'!D55&gt;Tmin, NOT('2 Phy'!$I55="")),'2 Phy'!$I55,0)</f>
        <v>0</v>
      </c>
      <c r="AC55">
        <f>IF(AND('2 Phy'!E55&gt;Tmin, NOT('2 Phy'!$I55="")),'2 Phy'!$I55,0)</f>
        <v>0</v>
      </c>
      <c r="AD55">
        <f>IF(AND('2 Phy'!F55&gt;Tmin, NOT('2 Phy'!$I55="")),'2 Phy'!$I55,0)</f>
        <v>0</v>
      </c>
      <c r="AE55">
        <f>IF(AND('2 Phy'!C55&lt;Tmax, NOT('2 Phy'!$H55="")),'2 Phy'!$H55,4)</f>
        <v>4</v>
      </c>
      <c r="AF55">
        <f>IF(AND('2 Phy'!D55&lt;Tmax, NOT('2 Phy'!$H55="")),'2 Phy'!$H55,4)</f>
        <v>4</v>
      </c>
      <c r="AG55">
        <f>IF(AND('2 Phy'!E55&lt;Tmax, NOT('2 Phy'!$H55="")),'2 Phy'!$H55,4)</f>
        <v>4</v>
      </c>
      <c r="AH55">
        <f>IF(AND('2 Phy'!F55&lt;Tmax, NOT('2 Phy'!$H55="")),'2 Phy'!$H55,4)</f>
        <v>4</v>
      </c>
      <c r="AI55"/>
    </row>
    <row r="56" spans="1:35" s="213" customFormat="1" ht="20.399999999999999" x14ac:dyDescent="0.25">
      <c r="A56" s="164" t="s">
        <v>1739</v>
      </c>
      <c r="B56" s="128" t="s">
        <v>7174</v>
      </c>
      <c r="C56" s="243"/>
      <c r="D56" s="243"/>
      <c r="E56" s="243"/>
      <c r="F56" s="243"/>
      <c r="G56" s="133">
        <v>4</v>
      </c>
      <c r="H56" s="133"/>
      <c r="I56" s="133"/>
      <c r="J56" s="133" t="s">
        <v>7068</v>
      </c>
      <c r="K56" s="135"/>
      <c r="L56" s="128"/>
      <c r="M56" s="227"/>
      <c r="N56" s="227"/>
      <c r="O56" s="227"/>
      <c r="P56" s="227"/>
      <c r="Q56" s="227"/>
      <c r="R56" s="227"/>
      <c r="S56" s="227"/>
      <c r="T56" s="227"/>
      <c r="U56" s="227"/>
      <c r="V56" s="227"/>
      <c r="W56" s="227"/>
      <c r="X56" s="227"/>
      <c r="Y56" s="227"/>
      <c r="Z56" s="227"/>
      <c r="AA56">
        <f>IF(AND('2 Phy'!C56&gt;Tmin, NOT('2 Phy'!$I56="")),'2 Phy'!$I56,0)</f>
        <v>0</v>
      </c>
      <c r="AB56">
        <f>IF(AND('2 Phy'!D56&gt;Tmin, NOT('2 Phy'!$I56="")),'2 Phy'!$I56,0)</f>
        <v>0</v>
      </c>
      <c r="AC56">
        <f>IF(AND('2 Phy'!E56&gt;Tmin, NOT('2 Phy'!$I56="")),'2 Phy'!$I56,0)</f>
        <v>0</v>
      </c>
      <c r="AD56">
        <f>IF(AND('2 Phy'!F56&gt;Tmin, NOT('2 Phy'!$I56="")),'2 Phy'!$I56,0)</f>
        <v>0</v>
      </c>
      <c r="AE56">
        <f>IF(AND('2 Phy'!C56&lt;Tmax, NOT('2 Phy'!$H56="")),'2 Phy'!$H56,4)</f>
        <v>4</v>
      </c>
      <c r="AF56">
        <f>IF(AND('2 Phy'!D56&lt;Tmax, NOT('2 Phy'!$H56="")),'2 Phy'!$H56,4)</f>
        <v>4</v>
      </c>
      <c r="AG56">
        <f>IF(AND('2 Phy'!E56&lt;Tmax, NOT('2 Phy'!$H56="")),'2 Phy'!$H56,4)</f>
        <v>4</v>
      </c>
      <c r="AH56">
        <f>IF(AND('2 Phy'!F56&lt;Tmax, NOT('2 Phy'!$H56="")),'2 Phy'!$H56,4)</f>
        <v>4</v>
      </c>
      <c r="AI56"/>
    </row>
    <row r="57" spans="1:35" s="213" customFormat="1" ht="13.2" x14ac:dyDescent="0.25">
      <c r="A57" s="164" t="s">
        <v>7175</v>
      </c>
      <c r="B57" s="128" t="s">
        <v>7063</v>
      </c>
      <c r="C57" s="1130"/>
      <c r="D57" s="1130"/>
      <c r="E57" s="1130"/>
      <c r="F57" s="1130"/>
      <c r="G57" s="1131"/>
      <c r="H57" s="1131"/>
      <c r="I57" s="1131"/>
      <c r="J57" s="1131"/>
      <c r="K57" s="135"/>
      <c r="L57" s="128"/>
      <c r="M57" s="227"/>
      <c r="N57" s="227"/>
      <c r="O57" s="227"/>
      <c r="P57" s="227"/>
      <c r="Q57" s="227"/>
      <c r="R57" s="227"/>
      <c r="S57" s="227"/>
      <c r="T57" s="227"/>
      <c r="U57" s="227"/>
      <c r="V57" s="227"/>
      <c r="W57" s="227"/>
      <c r="X57" s="227"/>
      <c r="Y57" s="227"/>
      <c r="Z57" s="227"/>
      <c r="AA57"/>
      <c r="AB57"/>
      <c r="AC57"/>
      <c r="AD57"/>
      <c r="AE57"/>
      <c r="AF57"/>
      <c r="AG57"/>
      <c r="AH57"/>
      <c r="AI57"/>
    </row>
    <row r="58" spans="1:35" s="213" customFormat="1" ht="20.399999999999999" x14ac:dyDescent="0.25">
      <c r="A58" s="164" t="s">
        <v>7176</v>
      </c>
      <c r="B58" s="128" t="s">
        <v>7177</v>
      </c>
      <c r="C58" s="1130"/>
      <c r="D58" s="1130"/>
      <c r="E58" s="1130"/>
      <c r="F58" s="1130"/>
      <c r="G58" s="133">
        <v>4</v>
      </c>
      <c r="H58" s="133"/>
      <c r="I58" s="133"/>
      <c r="J58" s="133" t="s">
        <v>7062</v>
      </c>
      <c r="K58" s="135"/>
      <c r="L58" s="128"/>
      <c r="M58" s="227"/>
      <c r="N58" s="227"/>
      <c r="O58" s="227"/>
      <c r="P58" s="227"/>
      <c r="Q58" s="227"/>
      <c r="R58" s="227"/>
      <c r="S58" s="227"/>
      <c r="T58" s="227"/>
      <c r="U58" s="227"/>
      <c r="V58" s="227"/>
      <c r="W58" s="227"/>
      <c r="X58" s="227"/>
      <c r="Y58" s="227"/>
      <c r="Z58" s="227"/>
      <c r="AA58">
        <f>IF(AND('2 Phy'!C58&gt;Tmin, NOT('2 Phy'!$I58="")),'2 Phy'!$I58,0)</f>
        <v>0</v>
      </c>
      <c r="AB58">
        <f>IF(AND('2 Phy'!D58&gt;Tmin, NOT('2 Phy'!$I58="")),'2 Phy'!$I58,0)</f>
        <v>0</v>
      </c>
      <c r="AC58">
        <f>IF(AND('2 Phy'!E58&gt;Tmin, NOT('2 Phy'!$I58="")),'2 Phy'!$I58,0)</f>
        <v>0</v>
      </c>
      <c r="AD58">
        <f>IF(AND('2 Phy'!F58&gt;Tmin, NOT('2 Phy'!$I58="")),'2 Phy'!$I58,0)</f>
        <v>0</v>
      </c>
      <c r="AE58">
        <f>IF(AND('2 Phy'!C58&lt;Tmax, NOT('2 Phy'!$H58="")),'2 Phy'!$H58,4)</f>
        <v>4</v>
      </c>
      <c r="AF58">
        <f>IF(AND('2 Phy'!D58&lt;Tmax, NOT('2 Phy'!$H58="")),'2 Phy'!$H58,4)</f>
        <v>4</v>
      </c>
      <c r="AG58">
        <f>IF(AND('2 Phy'!E58&lt;Tmax, NOT('2 Phy'!$H58="")),'2 Phy'!$H58,4)</f>
        <v>4</v>
      </c>
      <c r="AH58">
        <f>IF(AND('2 Phy'!F58&lt;Tmax, NOT('2 Phy'!$H58="")),'2 Phy'!$H58,4)</f>
        <v>4</v>
      </c>
      <c r="AI58"/>
    </row>
    <row r="59" spans="1:35" s="213" customFormat="1" ht="20.399999999999999" x14ac:dyDescent="0.25">
      <c r="A59" s="164" t="s">
        <v>7178</v>
      </c>
      <c r="B59" s="128" t="s">
        <v>7179</v>
      </c>
      <c r="C59" s="1130"/>
      <c r="D59" s="1130"/>
      <c r="E59" s="1130"/>
      <c r="F59" s="1130"/>
      <c r="G59" s="133">
        <v>4</v>
      </c>
      <c r="H59" s="133"/>
      <c r="I59" s="133"/>
      <c r="J59" s="133" t="s">
        <v>7062</v>
      </c>
      <c r="K59" s="135"/>
      <c r="L59" s="128"/>
      <c r="M59" s="227"/>
      <c r="N59" s="227"/>
      <c r="O59" s="227"/>
      <c r="P59" s="227"/>
      <c r="Q59" s="227"/>
      <c r="R59" s="227"/>
      <c r="S59" s="227"/>
      <c r="T59" s="227"/>
      <c r="U59" s="227"/>
      <c r="V59" s="227"/>
      <c r="W59" s="227"/>
      <c r="X59" s="227"/>
      <c r="Y59" s="227"/>
      <c r="Z59" s="227"/>
      <c r="AA59">
        <f>IF(AND('2 Phy'!C59&gt;Tmin, NOT('2 Phy'!$I59="")),'2 Phy'!$I59,0)</f>
        <v>0</v>
      </c>
      <c r="AB59">
        <f>IF(AND('2 Phy'!D59&gt;Tmin, NOT('2 Phy'!$I59="")),'2 Phy'!$I59,0)</f>
        <v>0</v>
      </c>
      <c r="AC59">
        <f>IF(AND('2 Phy'!E59&gt;Tmin, NOT('2 Phy'!$I59="")),'2 Phy'!$I59,0)</f>
        <v>0</v>
      </c>
      <c r="AD59">
        <f>IF(AND('2 Phy'!F59&gt;Tmin, NOT('2 Phy'!$I59="")),'2 Phy'!$I59,0)</f>
        <v>0</v>
      </c>
      <c r="AE59">
        <f>IF(AND('2 Phy'!C59&lt;Tmax, NOT('2 Phy'!$H59="")),'2 Phy'!$H59,4)</f>
        <v>4</v>
      </c>
      <c r="AF59">
        <f>IF(AND('2 Phy'!D59&lt;Tmax, NOT('2 Phy'!$H59="")),'2 Phy'!$H59,4)</f>
        <v>4</v>
      </c>
      <c r="AG59">
        <f>IF(AND('2 Phy'!E59&lt;Tmax, NOT('2 Phy'!$H59="")),'2 Phy'!$H59,4)</f>
        <v>4</v>
      </c>
      <c r="AH59">
        <f>IF(AND('2 Phy'!F59&lt;Tmax, NOT('2 Phy'!$H59="")),'2 Phy'!$H59,4)</f>
        <v>4</v>
      </c>
      <c r="AI59"/>
    </row>
    <row r="60" spans="1:35" s="213" customFormat="1" ht="13.2" x14ac:dyDescent="0.25">
      <c r="A60" s="1128" t="s">
        <v>2323</v>
      </c>
      <c r="B60" s="1129" t="s">
        <v>2324</v>
      </c>
      <c r="C60" s="243"/>
      <c r="D60" s="243"/>
      <c r="E60" s="243"/>
      <c r="F60" s="243"/>
      <c r="G60" s="133"/>
      <c r="H60" s="133"/>
      <c r="I60" s="133"/>
      <c r="J60" s="133"/>
      <c r="K60" s="135"/>
      <c r="L60" s="128"/>
      <c r="M60" s="227"/>
      <c r="N60" s="227"/>
      <c r="O60" s="227"/>
      <c r="P60" s="227"/>
      <c r="Q60" s="227"/>
      <c r="R60" s="227"/>
      <c r="S60" s="227"/>
      <c r="T60" s="227"/>
      <c r="U60" s="227"/>
      <c r="V60" s="227"/>
      <c r="W60" s="227"/>
      <c r="X60" s="227"/>
      <c r="Y60" s="227"/>
      <c r="Z60" s="227"/>
      <c r="AA60"/>
      <c r="AB60"/>
      <c r="AC60"/>
      <c r="AD60"/>
      <c r="AE60"/>
      <c r="AF60"/>
      <c r="AG60"/>
      <c r="AH60"/>
      <c r="AI60"/>
    </row>
    <row r="61" spans="1:35" ht="13.2" x14ac:dyDescent="0.2">
      <c r="A61" s="164" t="s">
        <v>714</v>
      </c>
      <c r="B61" s="128" t="s">
        <v>7075</v>
      </c>
      <c r="C61" s="243"/>
      <c r="D61" s="243"/>
      <c r="E61" s="243"/>
      <c r="F61" s="243"/>
      <c r="G61" s="133"/>
      <c r="H61" s="133"/>
      <c r="I61" s="133"/>
      <c r="J61" s="133"/>
      <c r="K61" s="135"/>
      <c r="AA61"/>
      <c r="AB61"/>
      <c r="AC61"/>
      <c r="AD61"/>
      <c r="AE61"/>
      <c r="AF61"/>
      <c r="AG61"/>
      <c r="AH61"/>
      <c r="AI61"/>
    </row>
    <row r="62" spans="1:35" s="213" customFormat="1" ht="20.399999999999999" x14ac:dyDescent="0.25">
      <c r="A62" s="164" t="s">
        <v>1740</v>
      </c>
      <c r="B62" s="128" t="s">
        <v>7180</v>
      </c>
      <c r="C62" s="243"/>
      <c r="D62" s="243"/>
      <c r="E62" s="243"/>
      <c r="F62" s="243"/>
      <c r="G62" s="133">
        <v>4</v>
      </c>
      <c r="H62" s="133"/>
      <c r="I62" s="133"/>
      <c r="J62" s="133" t="s">
        <v>7074</v>
      </c>
      <c r="K62" s="135"/>
      <c r="L62" s="128"/>
      <c r="M62" s="227"/>
      <c r="N62" s="227"/>
      <c r="O62" s="227"/>
      <c r="P62" s="227"/>
      <c r="Q62" s="227"/>
      <c r="R62" s="227"/>
      <c r="S62" s="227"/>
      <c r="T62" s="227"/>
      <c r="U62" s="227"/>
      <c r="V62" s="227"/>
      <c r="W62" s="227"/>
      <c r="X62" s="227"/>
      <c r="Y62" s="227"/>
      <c r="Z62" s="227"/>
      <c r="AA62">
        <f>IF(AND('2 Phy'!C62&gt;Tmin, NOT('2 Phy'!$I62="")),'2 Phy'!$I62,0)</f>
        <v>0</v>
      </c>
      <c r="AB62">
        <f>IF(AND('2 Phy'!D62&gt;Tmin, NOT('2 Phy'!$I62="")),'2 Phy'!$I62,0)</f>
        <v>0</v>
      </c>
      <c r="AC62">
        <f>IF(AND('2 Phy'!E62&gt;Tmin, NOT('2 Phy'!$I62="")),'2 Phy'!$I62,0)</f>
        <v>0</v>
      </c>
      <c r="AD62">
        <f>IF(AND('2 Phy'!F62&gt;Tmin, NOT('2 Phy'!$I62="")),'2 Phy'!$I62,0)</f>
        <v>0</v>
      </c>
      <c r="AE62">
        <f>IF(AND('2 Phy'!C62&lt;Tmax, NOT('2 Phy'!$H62="")),'2 Phy'!$H62,4)</f>
        <v>4</v>
      </c>
      <c r="AF62">
        <f>IF(AND('2 Phy'!D62&lt;Tmax, NOT('2 Phy'!$H62="")),'2 Phy'!$H62,4)</f>
        <v>4</v>
      </c>
      <c r="AG62">
        <f>IF(AND('2 Phy'!E62&lt;Tmax, NOT('2 Phy'!$H62="")),'2 Phy'!$H62,4)</f>
        <v>4</v>
      </c>
      <c r="AH62">
        <f>IF(AND('2 Phy'!F62&lt;Tmax, NOT('2 Phy'!$H62="")),'2 Phy'!$H62,4)</f>
        <v>4</v>
      </c>
      <c r="AI62"/>
    </row>
    <row r="63" spans="1:35" s="213" customFormat="1" ht="20.399999999999999" x14ac:dyDescent="0.25">
      <c r="A63" s="164" t="s">
        <v>1741</v>
      </c>
      <c r="B63" s="128" t="s">
        <v>7181</v>
      </c>
      <c r="C63" s="243"/>
      <c r="D63" s="243"/>
      <c r="E63" s="243"/>
      <c r="F63" s="243"/>
      <c r="G63" s="133">
        <v>4</v>
      </c>
      <c r="H63" s="133"/>
      <c r="I63" s="133"/>
      <c r="J63" s="133" t="s">
        <v>7074</v>
      </c>
      <c r="K63" s="135"/>
      <c r="L63" s="128"/>
      <c r="M63" s="227"/>
      <c r="N63" s="227"/>
      <c r="O63" s="227"/>
      <c r="P63" s="227"/>
      <c r="Q63" s="227"/>
      <c r="R63" s="227"/>
      <c r="S63" s="227"/>
      <c r="T63" s="227"/>
      <c r="U63" s="227"/>
      <c r="V63" s="227"/>
      <c r="W63" s="227"/>
      <c r="X63" s="227"/>
      <c r="Y63" s="227"/>
      <c r="Z63" s="227"/>
      <c r="AA63">
        <f>IF(AND('2 Phy'!C63&gt;Tmin, NOT('2 Phy'!$I63="")),'2 Phy'!$I63,0)</f>
        <v>0</v>
      </c>
      <c r="AB63">
        <f>IF(AND('2 Phy'!D63&gt;Tmin, NOT('2 Phy'!$I63="")),'2 Phy'!$I63,0)</f>
        <v>0</v>
      </c>
      <c r="AC63">
        <f>IF(AND('2 Phy'!E63&gt;Tmin, NOT('2 Phy'!$I63="")),'2 Phy'!$I63,0)</f>
        <v>0</v>
      </c>
      <c r="AD63">
        <f>IF(AND('2 Phy'!F63&gt;Tmin, NOT('2 Phy'!$I63="")),'2 Phy'!$I63,0)</f>
        <v>0</v>
      </c>
      <c r="AE63">
        <f>IF(AND('2 Phy'!C63&lt;Tmax, NOT('2 Phy'!$H63="")),'2 Phy'!$H63,4)</f>
        <v>4</v>
      </c>
      <c r="AF63">
        <f>IF(AND('2 Phy'!D63&lt;Tmax, NOT('2 Phy'!$H63="")),'2 Phy'!$H63,4)</f>
        <v>4</v>
      </c>
      <c r="AG63">
        <f>IF(AND('2 Phy'!E63&lt;Tmax, NOT('2 Phy'!$H63="")),'2 Phy'!$H63,4)</f>
        <v>4</v>
      </c>
      <c r="AH63">
        <f>IF(AND('2 Phy'!F63&lt;Tmax, NOT('2 Phy'!$H63="")),'2 Phy'!$H63,4)</f>
        <v>4</v>
      </c>
      <c r="AI63"/>
    </row>
    <row r="64" spans="1:35" s="213" customFormat="1" ht="13.2" x14ac:dyDescent="0.25">
      <c r="A64" s="164" t="s">
        <v>615</v>
      </c>
      <c r="B64" s="128" t="s">
        <v>576</v>
      </c>
      <c r="C64" s="243"/>
      <c r="D64" s="243"/>
      <c r="E64" s="243"/>
      <c r="F64" s="243"/>
      <c r="G64" s="133"/>
      <c r="H64" s="133"/>
      <c r="I64" s="133"/>
      <c r="J64" s="133"/>
      <c r="K64" s="135"/>
      <c r="L64" s="128"/>
      <c r="M64" s="227"/>
      <c r="N64" s="227"/>
      <c r="O64" s="227"/>
      <c r="P64" s="227"/>
      <c r="Q64" s="227"/>
      <c r="R64" s="227"/>
      <c r="S64" s="227"/>
      <c r="T64" s="227"/>
      <c r="U64" s="227"/>
      <c r="V64" s="227"/>
      <c r="W64" s="227"/>
      <c r="X64" s="227"/>
      <c r="Y64" s="227"/>
      <c r="Z64" s="227"/>
      <c r="AA64"/>
      <c r="AB64"/>
      <c r="AC64"/>
      <c r="AD64"/>
      <c r="AE64"/>
      <c r="AF64"/>
      <c r="AG64"/>
      <c r="AH64"/>
      <c r="AI64"/>
    </row>
    <row r="65" spans="1:35" s="213" customFormat="1" ht="30.6" x14ac:dyDescent="0.25">
      <c r="A65" s="164" t="s">
        <v>1747</v>
      </c>
      <c r="B65" s="128" t="s">
        <v>1745</v>
      </c>
      <c r="C65" s="243"/>
      <c r="D65" s="243"/>
      <c r="E65" s="243"/>
      <c r="F65" s="243"/>
      <c r="G65" s="133">
        <v>4</v>
      </c>
      <c r="H65" s="133"/>
      <c r="I65" s="133"/>
      <c r="J65" s="133"/>
      <c r="K65" s="135"/>
      <c r="L65" s="128"/>
      <c r="M65" s="227"/>
      <c r="N65" s="227"/>
      <c r="O65" s="227"/>
      <c r="P65" s="227"/>
      <c r="Q65" s="227"/>
      <c r="R65" s="227"/>
      <c r="S65" s="227"/>
      <c r="T65" s="227"/>
      <c r="U65" s="227"/>
      <c r="V65" s="227"/>
      <c r="W65" s="227"/>
      <c r="X65" s="227"/>
      <c r="Y65" s="227"/>
      <c r="Z65" s="227"/>
      <c r="AA65">
        <f>IF(AND('2 Phy'!C65&gt;Tmin, NOT('2 Phy'!$I65="")),'2 Phy'!$I65,0)</f>
        <v>0</v>
      </c>
      <c r="AB65">
        <f>IF(AND('2 Phy'!D65&gt;Tmin, NOT('2 Phy'!$I65="")),'2 Phy'!$I65,0)</f>
        <v>0</v>
      </c>
      <c r="AC65">
        <f>IF(AND('2 Phy'!E65&gt;Tmin, NOT('2 Phy'!$I65="")),'2 Phy'!$I65,0)</f>
        <v>0</v>
      </c>
      <c r="AD65">
        <f>IF(AND('2 Phy'!F65&gt;Tmin, NOT('2 Phy'!$I65="")),'2 Phy'!$I65,0)</f>
        <v>0</v>
      </c>
      <c r="AE65">
        <f>IF(AND('2 Phy'!C65&lt;Tmax, NOT('2 Phy'!$H65="")),'2 Phy'!$H65,4)</f>
        <v>4</v>
      </c>
      <c r="AF65">
        <f>IF(AND('2 Phy'!D65&lt;Tmax, NOT('2 Phy'!$H65="")),'2 Phy'!$H65,4)</f>
        <v>4</v>
      </c>
      <c r="AG65">
        <f>IF(AND('2 Phy'!E65&lt;Tmax, NOT('2 Phy'!$H65="")),'2 Phy'!$H65,4)</f>
        <v>4</v>
      </c>
      <c r="AH65">
        <f>IF(AND('2 Phy'!F65&lt;Tmax, NOT('2 Phy'!$H65="")),'2 Phy'!$H65,4)</f>
        <v>4</v>
      </c>
      <c r="AI65"/>
    </row>
    <row r="66" spans="1:35" s="213" customFormat="1" ht="20.399999999999999" x14ac:dyDescent="0.25">
      <c r="A66" s="164" t="s">
        <v>1748</v>
      </c>
      <c r="B66" s="128" t="s">
        <v>1746</v>
      </c>
      <c r="C66" s="243"/>
      <c r="D66" s="243"/>
      <c r="E66" s="243"/>
      <c r="F66" s="243"/>
      <c r="G66" s="133">
        <v>4</v>
      </c>
      <c r="H66" s="133"/>
      <c r="I66" s="133"/>
      <c r="J66" s="133"/>
      <c r="K66" s="135"/>
      <c r="L66" s="128"/>
      <c r="M66" s="227"/>
      <c r="N66" s="227"/>
      <c r="O66" s="227"/>
      <c r="P66" s="227"/>
      <c r="Q66" s="227"/>
      <c r="R66" s="227"/>
      <c r="S66" s="227"/>
      <c r="T66" s="227"/>
      <c r="U66" s="227"/>
      <c r="V66" s="227"/>
      <c r="W66" s="227"/>
      <c r="X66" s="227"/>
      <c r="Y66" s="227"/>
      <c r="Z66" s="227"/>
      <c r="AA66">
        <f>IF(AND('2 Phy'!C66&gt;Tmin, NOT('2 Phy'!$I66="")),'2 Phy'!$I66,0)</f>
        <v>0</v>
      </c>
      <c r="AB66">
        <f>IF(AND('2 Phy'!D66&gt;Tmin, NOT('2 Phy'!$I66="")),'2 Phy'!$I66,0)</f>
        <v>0</v>
      </c>
      <c r="AC66">
        <f>IF(AND('2 Phy'!E66&gt;Tmin, NOT('2 Phy'!$I66="")),'2 Phy'!$I66,0)</f>
        <v>0</v>
      </c>
      <c r="AD66">
        <f>IF(AND('2 Phy'!F66&gt;Tmin, NOT('2 Phy'!$I66="")),'2 Phy'!$I66,0)</f>
        <v>0</v>
      </c>
      <c r="AE66">
        <f>IF(AND('2 Phy'!C66&lt;Tmax, NOT('2 Phy'!$H66="")),'2 Phy'!$H66,4)</f>
        <v>4</v>
      </c>
      <c r="AF66">
        <f>IF(AND('2 Phy'!D66&lt;Tmax, NOT('2 Phy'!$H66="")),'2 Phy'!$H66,4)</f>
        <v>4</v>
      </c>
      <c r="AG66">
        <f>IF(AND('2 Phy'!E66&lt;Tmax, NOT('2 Phy'!$H66="")),'2 Phy'!$H66,4)</f>
        <v>4</v>
      </c>
      <c r="AH66">
        <f>IF(AND('2 Phy'!F66&lt;Tmax, NOT('2 Phy'!$H66="")),'2 Phy'!$H66,4)</f>
        <v>4</v>
      </c>
      <c r="AI66"/>
    </row>
    <row r="67" spans="1:35" s="213" customFormat="1" ht="20.399999999999999" x14ac:dyDescent="0.25">
      <c r="A67" s="164" t="s">
        <v>1749</v>
      </c>
      <c r="B67" s="128" t="s">
        <v>7215</v>
      </c>
      <c r="C67" s="243"/>
      <c r="D67" s="243"/>
      <c r="E67" s="243"/>
      <c r="F67" s="243"/>
      <c r="G67" s="133">
        <v>2</v>
      </c>
      <c r="H67" s="133"/>
      <c r="I67" s="133"/>
      <c r="J67" s="133"/>
      <c r="K67" s="135"/>
      <c r="L67" s="128"/>
      <c r="M67" s="227"/>
      <c r="N67" s="227"/>
      <c r="O67" s="227"/>
      <c r="P67" s="227"/>
      <c r="Q67" s="227"/>
      <c r="R67" s="227"/>
      <c r="S67" s="227"/>
      <c r="T67" s="227"/>
      <c r="U67" s="227"/>
      <c r="V67" s="227"/>
      <c r="W67" s="227"/>
      <c r="X67" s="227"/>
      <c r="Y67" s="227"/>
      <c r="Z67" s="227"/>
      <c r="AA67">
        <f>IF(AND('2 Phy'!C67&gt;Tmin, NOT('2 Phy'!$I67="")),'2 Phy'!$I67,0)</f>
        <v>0</v>
      </c>
      <c r="AB67">
        <f>IF(AND('2 Phy'!D67&gt;Tmin, NOT('2 Phy'!$I67="")),'2 Phy'!$I67,0)</f>
        <v>0</v>
      </c>
      <c r="AC67">
        <f>IF(AND('2 Phy'!E67&gt;Tmin, NOT('2 Phy'!$I67="")),'2 Phy'!$I67,0)</f>
        <v>0</v>
      </c>
      <c r="AD67">
        <f>IF(AND('2 Phy'!F67&gt;Tmin, NOT('2 Phy'!$I67="")),'2 Phy'!$I67,0)</f>
        <v>0</v>
      </c>
      <c r="AE67">
        <f>IF(AND('2 Phy'!C67&lt;Tmax, NOT('2 Phy'!$H67="")),'2 Phy'!$H67,4)</f>
        <v>4</v>
      </c>
      <c r="AF67">
        <f>IF(AND('2 Phy'!D67&lt;Tmax, NOT('2 Phy'!$H67="")),'2 Phy'!$H67,4)</f>
        <v>4</v>
      </c>
      <c r="AG67">
        <f>IF(AND('2 Phy'!E67&lt;Tmax, NOT('2 Phy'!$H67="")),'2 Phy'!$H67,4)</f>
        <v>4</v>
      </c>
      <c r="AH67">
        <f>IF(AND('2 Phy'!F67&lt;Tmax, NOT('2 Phy'!$H67="")),'2 Phy'!$H67,4)</f>
        <v>4</v>
      </c>
      <c r="AI67"/>
    </row>
    <row r="68" spans="1:35" s="213" customFormat="1" ht="20.399999999999999" x14ac:dyDescent="0.25">
      <c r="A68" s="164" t="s">
        <v>1750</v>
      </c>
      <c r="B68" s="128" t="s">
        <v>2298</v>
      </c>
      <c r="C68" s="243"/>
      <c r="D68" s="243"/>
      <c r="E68" s="243"/>
      <c r="F68" s="243"/>
      <c r="G68" s="133">
        <v>1</v>
      </c>
      <c r="H68" s="133">
        <v>2</v>
      </c>
      <c r="I68" s="133"/>
      <c r="J68" s="133"/>
      <c r="K68" s="135"/>
      <c r="L68" s="128"/>
      <c r="M68" s="227"/>
      <c r="N68" s="227"/>
      <c r="O68" s="227"/>
      <c r="P68" s="227"/>
      <c r="Q68" s="227"/>
      <c r="R68" s="227"/>
      <c r="S68" s="227"/>
      <c r="T68" s="227"/>
      <c r="U68" s="227"/>
      <c r="V68" s="227"/>
      <c r="W68" s="227"/>
      <c r="X68" s="227"/>
      <c r="Y68" s="227"/>
      <c r="Z68" s="227"/>
      <c r="AA68">
        <f>IF(AND('2 Phy'!C68&gt;Tmin, NOT('2 Phy'!$I68="")),'2 Phy'!$I68,0)</f>
        <v>0</v>
      </c>
      <c r="AB68">
        <f>IF(AND('2 Phy'!D68&gt;Tmin, NOT('2 Phy'!$I68="")),'2 Phy'!$I68,0)</f>
        <v>0</v>
      </c>
      <c r="AC68">
        <f>IF(AND('2 Phy'!E68&gt;Tmin, NOT('2 Phy'!$I68="")),'2 Phy'!$I68,0)</f>
        <v>0</v>
      </c>
      <c r="AD68">
        <f>IF(AND('2 Phy'!F68&gt;Tmin, NOT('2 Phy'!$I68="")),'2 Phy'!$I68,0)</f>
        <v>0</v>
      </c>
      <c r="AE68">
        <f>IF(AND('2 Phy'!C68&lt;Tmax, NOT('2 Phy'!$H68="")),'2 Phy'!$H68,4)</f>
        <v>2</v>
      </c>
      <c r="AF68">
        <f>IF(AND('2 Phy'!D68&lt;Tmax, NOT('2 Phy'!$H68="")),'2 Phy'!$H68,4)</f>
        <v>2</v>
      </c>
      <c r="AG68">
        <f>IF(AND('2 Phy'!E68&lt;Tmax, NOT('2 Phy'!$H68="")),'2 Phy'!$H68,4)</f>
        <v>2</v>
      </c>
      <c r="AH68">
        <f>IF(AND('2 Phy'!F68&lt;Tmax, NOT('2 Phy'!$H68="")),'2 Phy'!$H68,4)</f>
        <v>2</v>
      </c>
      <c r="AI68"/>
    </row>
    <row r="69" spans="1:35" s="333" customFormat="1" ht="13.2" x14ac:dyDescent="0.25">
      <c r="A69" s="164" t="s">
        <v>1751</v>
      </c>
      <c r="B69" s="128" t="s">
        <v>1742</v>
      </c>
      <c r="C69" s="243"/>
      <c r="D69" s="243"/>
      <c r="E69" s="243"/>
      <c r="F69" s="243"/>
      <c r="G69" s="133">
        <v>4</v>
      </c>
      <c r="H69" s="133"/>
      <c r="I69" s="133"/>
      <c r="J69" s="133"/>
      <c r="K69" s="135"/>
      <c r="AA69">
        <f>IF(AND('2 Phy'!C69&gt;Tmin, NOT('2 Phy'!$I69="")),'2 Phy'!$I69,0)</f>
        <v>0</v>
      </c>
      <c r="AB69">
        <f>IF(AND('2 Phy'!D69&gt;Tmin, NOT('2 Phy'!$I69="")),'2 Phy'!$I69,0)</f>
        <v>0</v>
      </c>
      <c r="AC69">
        <f>IF(AND('2 Phy'!E69&gt;Tmin, NOT('2 Phy'!$I69="")),'2 Phy'!$I69,0)</f>
        <v>0</v>
      </c>
      <c r="AD69">
        <f>IF(AND('2 Phy'!F69&gt;Tmin, NOT('2 Phy'!$I69="")),'2 Phy'!$I69,0)</f>
        <v>0</v>
      </c>
      <c r="AE69">
        <f>IF(AND('2 Phy'!C69&lt;Tmax, NOT('2 Phy'!$H69="")),'2 Phy'!$H69,4)</f>
        <v>4</v>
      </c>
      <c r="AF69">
        <f>IF(AND('2 Phy'!D69&lt;Tmax, NOT('2 Phy'!$H69="")),'2 Phy'!$H69,4)</f>
        <v>4</v>
      </c>
      <c r="AG69">
        <f>IF(AND('2 Phy'!E69&lt;Tmax, NOT('2 Phy'!$H69="")),'2 Phy'!$H69,4)</f>
        <v>4</v>
      </c>
      <c r="AH69">
        <f>IF(AND('2 Phy'!F69&lt;Tmax, NOT('2 Phy'!$H69="")),'2 Phy'!$H69,4)</f>
        <v>4</v>
      </c>
      <c r="AI69"/>
    </row>
    <row r="70" spans="1:35" ht="13.2" x14ac:dyDescent="0.2">
      <c r="A70" s="164" t="s">
        <v>1752</v>
      </c>
      <c r="B70" s="128" t="s">
        <v>4499</v>
      </c>
      <c r="C70" s="243"/>
      <c r="D70" s="243"/>
      <c r="E70" s="243"/>
      <c r="F70" s="243"/>
      <c r="G70" s="133">
        <v>4</v>
      </c>
      <c r="H70" s="133"/>
      <c r="I70" s="133"/>
      <c r="J70" s="133"/>
      <c r="K70" s="135"/>
      <c r="AA70">
        <f>IF(AND('2 Phy'!C70&gt;Tmin, NOT('2 Phy'!$I70="")),'2 Phy'!$I70,0)</f>
        <v>0</v>
      </c>
      <c r="AB70">
        <f>IF(AND('2 Phy'!D70&gt;Tmin, NOT('2 Phy'!$I70="")),'2 Phy'!$I70,0)</f>
        <v>0</v>
      </c>
      <c r="AC70">
        <f>IF(AND('2 Phy'!E70&gt;Tmin, NOT('2 Phy'!$I70="")),'2 Phy'!$I70,0)</f>
        <v>0</v>
      </c>
      <c r="AD70">
        <f>IF(AND('2 Phy'!F70&gt;Tmin, NOT('2 Phy'!$I70="")),'2 Phy'!$I70,0)</f>
        <v>0</v>
      </c>
      <c r="AE70">
        <f>IF(AND('2 Phy'!C70&lt;Tmax, NOT('2 Phy'!$H70="")),'2 Phy'!$H70,4)</f>
        <v>4</v>
      </c>
      <c r="AF70">
        <f>IF(AND('2 Phy'!D70&lt;Tmax, NOT('2 Phy'!$H70="")),'2 Phy'!$H70,4)</f>
        <v>4</v>
      </c>
      <c r="AG70">
        <f>IF(AND('2 Phy'!E70&lt;Tmax, NOT('2 Phy'!$H70="")),'2 Phy'!$H70,4)</f>
        <v>4</v>
      </c>
      <c r="AH70">
        <f>IF(AND('2 Phy'!F70&lt;Tmax, NOT('2 Phy'!$H70="")),'2 Phy'!$H70,4)</f>
        <v>4</v>
      </c>
      <c r="AI70"/>
    </row>
    <row r="71" spans="1:35" ht="20.399999999999999" x14ac:dyDescent="0.2">
      <c r="A71" s="164" t="s">
        <v>1753</v>
      </c>
      <c r="B71" s="128" t="s">
        <v>4500</v>
      </c>
      <c r="C71" s="243"/>
      <c r="D71" s="243"/>
      <c r="E71" s="243"/>
      <c r="F71" s="243"/>
      <c r="G71" s="133">
        <v>4</v>
      </c>
      <c r="H71" s="133"/>
      <c r="I71" s="133"/>
      <c r="J71" s="133"/>
      <c r="K71" s="135"/>
      <c r="AA71">
        <f>IF(AND('2 Phy'!C71&gt;Tmin, NOT('2 Phy'!$I71="")),'2 Phy'!$I71,0)</f>
        <v>0</v>
      </c>
      <c r="AB71">
        <f>IF(AND('2 Phy'!D71&gt;Tmin, NOT('2 Phy'!$I71="")),'2 Phy'!$I71,0)</f>
        <v>0</v>
      </c>
      <c r="AC71">
        <f>IF(AND('2 Phy'!E71&gt;Tmin, NOT('2 Phy'!$I71="")),'2 Phy'!$I71,0)</f>
        <v>0</v>
      </c>
      <c r="AD71">
        <f>IF(AND('2 Phy'!F71&gt;Tmin, NOT('2 Phy'!$I71="")),'2 Phy'!$I71,0)</f>
        <v>0</v>
      </c>
      <c r="AE71">
        <f>IF(AND('2 Phy'!C71&lt;Tmax, NOT('2 Phy'!$H71="")),'2 Phy'!$H71,4)</f>
        <v>4</v>
      </c>
      <c r="AF71">
        <f>IF(AND('2 Phy'!D71&lt;Tmax, NOT('2 Phy'!$H71="")),'2 Phy'!$H71,4)</f>
        <v>4</v>
      </c>
      <c r="AG71">
        <f>IF(AND('2 Phy'!E71&lt;Tmax, NOT('2 Phy'!$H71="")),'2 Phy'!$H71,4)</f>
        <v>4</v>
      </c>
      <c r="AH71">
        <f>IF(AND('2 Phy'!F71&lt;Tmax, NOT('2 Phy'!$H71="")),'2 Phy'!$H71,4)</f>
        <v>4</v>
      </c>
      <c r="AI71"/>
    </row>
    <row r="72" spans="1:35" ht="27" customHeight="1" x14ac:dyDescent="0.2">
      <c r="A72" s="164" t="s">
        <v>1754</v>
      </c>
      <c r="B72" s="128" t="s">
        <v>6758</v>
      </c>
      <c r="C72" s="243"/>
      <c r="D72" s="243"/>
      <c r="E72" s="243"/>
      <c r="F72" s="243"/>
      <c r="G72" s="133">
        <v>4</v>
      </c>
      <c r="H72" s="133">
        <v>2</v>
      </c>
      <c r="I72" s="133"/>
      <c r="J72" s="133"/>
      <c r="K72" s="135"/>
      <c r="AA72">
        <f>IF(AND('2 Phy'!C72&gt;Tmin, NOT('2 Phy'!$I72="")),'2 Phy'!$I72,0)</f>
        <v>0</v>
      </c>
      <c r="AB72">
        <f>IF(AND('2 Phy'!D72&gt;Tmin, NOT('2 Phy'!$I72="")),'2 Phy'!$I72,0)</f>
        <v>0</v>
      </c>
      <c r="AC72">
        <f>IF(AND('2 Phy'!E72&gt;Tmin, NOT('2 Phy'!$I72="")),'2 Phy'!$I72,0)</f>
        <v>0</v>
      </c>
      <c r="AD72">
        <f>IF(AND('2 Phy'!F72&gt;Tmin, NOT('2 Phy'!$I72="")),'2 Phy'!$I72,0)</f>
        <v>0</v>
      </c>
      <c r="AE72">
        <f>IF(AND('2 Phy'!C72&lt;Tmax, NOT('2 Phy'!$H72="")),'2 Phy'!$H72,4)</f>
        <v>2</v>
      </c>
      <c r="AF72">
        <f>IF(AND('2 Phy'!D72&lt;Tmax, NOT('2 Phy'!$H72="")),'2 Phy'!$H72,4)</f>
        <v>2</v>
      </c>
      <c r="AG72">
        <f>IF(AND('2 Phy'!E72&lt;Tmax, NOT('2 Phy'!$H72="")),'2 Phy'!$H72,4)</f>
        <v>2</v>
      </c>
      <c r="AH72">
        <f>IF(AND('2 Phy'!F72&lt;Tmax, NOT('2 Phy'!$H72="")),'2 Phy'!$H72,4)</f>
        <v>2</v>
      </c>
      <c r="AI72"/>
    </row>
    <row r="73" spans="1:35" ht="30.6" x14ac:dyDescent="0.2">
      <c r="A73" s="164" t="s">
        <v>4502</v>
      </c>
      <c r="B73" s="128" t="s">
        <v>4501</v>
      </c>
      <c r="C73" s="243"/>
      <c r="D73" s="243"/>
      <c r="E73" s="243"/>
      <c r="F73" s="243"/>
      <c r="G73" s="133">
        <v>2</v>
      </c>
      <c r="H73" s="133">
        <v>3</v>
      </c>
      <c r="I73" s="133"/>
      <c r="J73" s="133"/>
      <c r="K73" s="135"/>
      <c r="AA73">
        <f>IF(AND('2 Phy'!C73&gt;Tmin, NOT('2 Phy'!$I73="")),'2 Phy'!$I73,0)</f>
        <v>0</v>
      </c>
      <c r="AB73">
        <f>IF(AND('2 Phy'!D73&gt;Tmin, NOT('2 Phy'!$I73="")),'2 Phy'!$I73,0)</f>
        <v>0</v>
      </c>
      <c r="AC73">
        <f>IF(AND('2 Phy'!E73&gt;Tmin, NOT('2 Phy'!$I73="")),'2 Phy'!$I73,0)</f>
        <v>0</v>
      </c>
      <c r="AD73">
        <f>IF(AND('2 Phy'!F73&gt;Tmin, NOT('2 Phy'!$I73="")),'2 Phy'!$I73,0)</f>
        <v>0</v>
      </c>
      <c r="AE73">
        <f>IF(AND('2 Phy'!C73&lt;Tmax, NOT('2 Phy'!$H73="")),'2 Phy'!$H73,4)</f>
        <v>3</v>
      </c>
      <c r="AF73">
        <f>IF(AND('2 Phy'!D73&lt;Tmax, NOT('2 Phy'!$H73="")),'2 Phy'!$H73,4)</f>
        <v>3</v>
      </c>
      <c r="AG73">
        <f>IF(AND('2 Phy'!E73&lt;Tmax, NOT('2 Phy'!$H73="")),'2 Phy'!$H73,4)</f>
        <v>3</v>
      </c>
      <c r="AH73">
        <f>IF(AND('2 Phy'!F73&lt;Tmax, NOT('2 Phy'!$H73="")),'2 Phy'!$H73,4)</f>
        <v>3</v>
      </c>
      <c r="AI73"/>
    </row>
    <row r="74" spans="1:35" ht="20.399999999999999" x14ac:dyDescent="0.2">
      <c r="A74" s="164" t="s">
        <v>4503</v>
      </c>
      <c r="B74" s="128" t="s">
        <v>1743</v>
      </c>
      <c r="C74" s="243"/>
      <c r="D74" s="243"/>
      <c r="E74" s="243"/>
      <c r="F74" s="243"/>
      <c r="G74" s="133">
        <v>2</v>
      </c>
      <c r="H74" s="133">
        <v>2</v>
      </c>
      <c r="I74" s="133"/>
      <c r="J74" s="133"/>
      <c r="K74" s="135"/>
      <c r="AA74">
        <f>IF(AND('2 Phy'!C74&gt;Tmin, NOT('2 Phy'!$I74="")),'2 Phy'!$I74,0)</f>
        <v>0</v>
      </c>
      <c r="AB74">
        <f>IF(AND('2 Phy'!D74&gt;Tmin, NOT('2 Phy'!$I74="")),'2 Phy'!$I74,0)</f>
        <v>0</v>
      </c>
      <c r="AC74">
        <f>IF(AND('2 Phy'!E74&gt;Tmin, NOT('2 Phy'!$I74="")),'2 Phy'!$I74,0)</f>
        <v>0</v>
      </c>
      <c r="AD74">
        <f>IF(AND('2 Phy'!F74&gt;Tmin, NOT('2 Phy'!$I74="")),'2 Phy'!$I74,0)</f>
        <v>0</v>
      </c>
      <c r="AE74">
        <f>IF(AND('2 Phy'!C74&lt;Tmax, NOT('2 Phy'!$H74="")),'2 Phy'!$H74,4)</f>
        <v>2</v>
      </c>
      <c r="AF74">
        <f>IF(AND('2 Phy'!D74&lt;Tmax, NOT('2 Phy'!$H74="")),'2 Phy'!$H74,4)</f>
        <v>2</v>
      </c>
      <c r="AG74">
        <f>IF(AND('2 Phy'!E74&lt;Tmax, NOT('2 Phy'!$H74="")),'2 Phy'!$H74,4)</f>
        <v>2</v>
      </c>
      <c r="AH74">
        <f>IF(AND('2 Phy'!F74&lt;Tmax, NOT('2 Phy'!$H74="")),'2 Phy'!$H74,4)</f>
        <v>2</v>
      </c>
      <c r="AI74"/>
    </row>
    <row r="75" spans="1:35" ht="20.399999999999999" x14ac:dyDescent="0.2">
      <c r="A75" s="164" t="s">
        <v>4504</v>
      </c>
      <c r="B75" s="128" t="s">
        <v>1744</v>
      </c>
      <c r="C75" s="243"/>
      <c r="D75" s="243"/>
      <c r="E75" s="243"/>
      <c r="F75" s="243"/>
      <c r="G75" s="133">
        <v>2</v>
      </c>
      <c r="H75" s="133">
        <v>3</v>
      </c>
      <c r="I75" s="133"/>
      <c r="J75" s="133"/>
      <c r="K75" s="135"/>
      <c r="AA75">
        <f>IF(AND('2 Phy'!C75&gt;Tmin, NOT('2 Phy'!$I75="")),'2 Phy'!$I75,0)</f>
        <v>0</v>
      </c>
      <c r="AB75">
        <f>IF(AND('2 Phy'!D75&gt;Tmin, NOT('2 Phy'!$I75="")),'2 Phy'!$I75,0)</f>
        <v>0</v>
      </c>
      <c r="AC75">
        <f>IF(AND('2 Phy'!E75&gt;Tmin, NOT('2 Phy'!$I75="")),'2 Phy'!$I75,0)</f>
        <v>0</v>
      </c>
      <c r="AD75">
        <f>IF(AND('2 Phy'!F75&gt;Tmin, NOT('2 Phy'!$I75="")),'2 Phy'!$I75,0)</f>
        <v>0</v>
      </c>
      <c r="AE75">
        <f>IF(AND('2 Phy'!C75&lt;Tmax, NOT('2 Phy'!$H75="")),'2 Phy'!$H75,4)</f>
        <v>3</v>
      </c>
      <c r="AF75">
        <f>IF(AND('2 Phy'!D75&lt;Tmax, NOT('2 Phy'!$H75="")),'2 Phy'!$H75,4)</f>
        <v>3</v>
      </c>
      <c r="AG75">
        <f>IF(AND('2 Phy'!E75&lt;Tmax, NOT('2 Phy'!$H75="")),'2 Phy'!$H75,4)</f>
        <v>3</v>
      </c>
      <c r="AH75">
        <f>IF(AND('2 Phy'!F75&lt;Tmax, NOT('2 Phy'!$H75="")),'2 Phy'!$H75,4)</f>
        <v>3</v>
      </c>
      <c r="AI75"/>
    </row>
    <row r="76" spans="1:35" ht="13.2" x14ac:dyDescent="0.2">
      <c r="A76" s="164" t="s">
        <v>721</v>
      </c>
      <c r="B76" s="128" t="s">
        <v>127</v>
      </c>
      <c r="C76" s="1179"/>
      <c r="D76" s="243"/>
      <c r="E76" s="243"/>
      <c r="F76" s="243"/>
      <c r="G76" s="133"/>
      <c r="H76" s="133"/>
      <c r="I76" s="133"/>
      <c r="J76" s="133"/>
      <c r="K76" s="135"/>
      <c r="AA76"/>
      <c r="AB76"/>
      <c r="AC76"/>
      <c r="AD76"/>
      <c r="AE76"/>
      <c r="AF76"/>
      <c r="AG76"/>
      <c r="AH76"/>
      <c r="AI76"/>
    </row>
    <row r="77" spans="1:35" ht="30.6" x14ac:dyDescent="0.2">
      <c r="A77" s="164" t="s">
        <v>1755</v>
      </c>
      <c r="B77" s="128" t="s">
        <v>7182</v>
      </c>
      <c r="C77" s="136"/>
      <c r="D77" s="243"/>
      <c r="E77" s="243"/>
      <c r="F77" s="243"/>
      <c r="G77" s="133">
        <v>4</v>
      </c>
      <c r="H77" s="133"/>
      <c r="I77" s="133"/>
      <c r="J77" s="133" t="s">
        <v>7084</v>
      </c>
      <c r="K77" s="135"/>
      <c r="AA77">
        <f>IF(AND('2 Phy'!C77&gt;Tmin, NOT('2 Phy'!$I77="")),'2 Phy'!$I77,0)</f>
        <v>0</v>
      </c>
      <c r="AB77">
        <f>IF(AND('2 Phy'!D77&gt;Tmin, NOT('2 Phy'!$I77="")),'2 Phy'!$I77,0)</f>
        <v>0</v>
      </c>
      <c r="AC77">
        <f>IF(AND('2 Phy'!E77&gt;Tmin, NOT('2 Phy'!$I77="")),'2 Phy'!$I77,0)</f>
        <v>0</v>
      </c>
      <c r="AD77">
        <f>IF(AND('2 Phy'!F77&gt;Tmin, NOT('2 Phy'!$I77="")),'2 Phy'!$I77,0)</f>
        <v>0</v>
      </c>
      <c r="AE77">
        <f>IF(AND('2 Phy'!C77&lt;Tmax, NOT('2 Phy'!$H77="")),'2 Phy'!$H77,4)</f>
        <v>4</v>
      </c>
      <c r="AF77">
        <f>IF(AND('2 Phy'!D77&lt;Tmax, NOT('2 Phy'!$H77="")),'2 Phy'!$H77,4)</f>
        <v>4</v>
      </c>
      <c r="AG77">
        <f>IF(AND('2 Phy'!E77&lt;Tmax, NOT('2 Phy'!$H77="")),'2 Phy'!$H77,4)</f>
        <v>4</v>
      </c>
      <c r="AH77">
        <f>IF(AND('2 Phy'!F77&lt;Tmax, NOT('2 Phy'!$H77="")),'2 Phy'!$H77,4)</f>
        <v>4</v>
      </c>
      <c r="AI77"/>
    </row>
    <row r="78" spans="1:35" s="134" customFormat="1" ht="13.2" x14ac:dyDescent="0.25">
      <c r="A78" s="164" t="s">
        <v>1756</v>
      </c>
      <c r="B78" s="128" t="s">
        <v>7183</v>
      </c>
      <c r="C78" s="136"/>
      <c r="D78" s="243"/>
      <c r="E78" s="243"/>
      <c r="F78" s="243"/>
      <c r="G78" s="133">
        <v>2</v>
      </c>
      <c r="H78" s="133"/>
      <c r="I78" s="133"/>
      <c r="J78" s="133" t="s">
        <v>7084</v>
      </c>
      <c r="K78" s="135"/>
      <c r="L78" s="213"/>
      <c r="M78" s="128"/>
      <c r="AA78">
        <f>IF(AND('2 Phy'!C78&gt;Tmin, NOT('2 Phy'!$I78="")),'2 Phy'!$I78,0)</f>
        <v>0</v>
      </c>
      <c r="AB78">
        <f>IF(AND('2 Phy'!D78&gt;Tmin, NOT('2 Phy'!$I78="")),'2 Phy'!$I78,0)</f>
        <v>0</v>
      </c>
      <c r="AC78">
        <f>IF(AND('2 Phy'!E78&gt;Tmin, NOT('2 Phy'!$I78="")),'2 Phy'!$I78,0)</f>
        <v>0</v>
      </c>
      <c r="AD78">
        <f>IF(AND('2 Phy'!F78&gt;Tmin, NOT('2 Phy'!$I78="")),'2 Phy'!$I78,0)</f>
        <v>0</v>
      </c>
      <c r="AE78">
        <f>IF(AND('2 Phy'!C78&lt;Tmax, NOT('2 Phy'!$H78="")),'2 Phy'!$H78,4)</f>
        <v>4</v>
      </c>
      <c r="AF78">
        <f>IF(AND('2 Phy'!D78&lt;Tmax, NOT('2 Phy'!$H78="")),'2 Phy'!$H78,4)</f>
        <v>4</v>
      </c>
      <c r="AG78">
        <f>IF(AND('2 Phy'!E78&lt;Tmax, NOT('2 Phy'!$H78="")),'2 Phy'!$H78,4)</f>
        <v>4</v>
      </c>
      <c r="AH78">
        <f>IF(AND('2 Phy'!F78&lt;Tmax, NOT('2 Phy'!$H78="")),'2 Phy'!$H78,4)</f>
        <v>4</v>
      </c>
      <c r="AI78"/>
    </row>
    <row r="79" spans="1:35" ht="13.2" x14ac:dyDescent="0.2">
      <c r="A79" s="164" t="s">
        <v>616</v>
      </c>
      <c r="B79" s="128" t="s">
        <v>489</v>
      </c>
      <c r="C79" s="243"/>
      <c r="D79" s="243"/>
      <c r="E79" s="243"/>
      <c r="F79" s="243"/>
      <c r="G79" s="133"/>
      <c r="H79" s="133"/>
      <c r="I79" s="133"/>
      <c r="J79" s="133"/>
      <c r="K79" s="135"/>
      <c r="AA79"/>
      <c r="AB79"/>
      <c r="AC79"/>
      <c r="AD79"/>
      <c r="AE79"/>
      <c r="AF79"/>
      <c r="AG79"/>
      <c r="AH79"/>
      <c r="AI79"/>
    </row>
    <row r="80" spans="1:35" ht="20.399999999999999" x14ac:dyDescent="0.2">
      <c r="A80" s="164" t="s">
        <v>1762</v>
      </c>
      <c r="B80" s="128" t="s">
        <v>1757</v>
      </c>
      <c r="C80" s="243"/>
      <c r="D80" s="243"/>
      <c r="E80" s="243"/>
      <c r="F80" s="243"/>
      <c r="G80" s="133">
        <v>1</v>
      </c>
      <c r="H80" s="133">
        <v>2</v>
      </c>
      <c r="I80" s="133"/>
      <c r="J80" s="133"/>
      <c r="K80" s="135"/>
      <c r="AA80">
        <f>IF(AND('2 Phy'!C80&gt;Tmin, NOT('2 Phy'!$I80="")),'2 Phy'!$I80,0)</f>
        <v>0</v>
      </c>
      <c r="AB80">
        <f>IF(AND('2 Phy'!D80&gt;Tmin, NOT('2 Phy'!$I80="")),'2 Phy'!$I80,0)</f>
        <v>0</v>
      </c>
      <c r="AC80">
        <f>IF(AND('2 Phy'!E80&gt;Tmin, NOT('2 Phy'!$I80="")),'2 Phy'!$I80,0)</f>
        <v>0</v>
      </c>
      <c r="AD80">
        <f>IF(AND('2 Phy'!F80&gt;Tmin, NOT('2 Phy'!$I80="")),'2 Phy'!$I80,0)</f>
        <v>0</v>
      </c>
      <c r="AE80">
        <f>IF(AND('2 Phy'!C80&lt;Tmax, NOT('2 Phy'!$H80="")),'2 Phy'!$H80,4)</f>
        <v>2</v>
      </c>
      <c r="AF80">
        <f>IF(AND('2 Phy'!D80&lt;Tmax, NOT('2 Phy'!$H80="")),'2 Phy'!$H80,4)</f>
        <v>2</v>
      </c>
      <c r="AG80">
        <f>IF(AND('2 Phy'!E80&lt;Tmax, NOT('2 Phy'!$H80="")),'2 Phy'!$H80,4)</f>
        <v>2</v>
      </c>
      <c r="AH80">
        <f>IF(AND('2 Phy'!F80&lt;Tmax, NOT('2 Phy'!$H80="")),'2 Phy'!$H80,4)</f>
        <v>2</v>
      </c>
      <c r="AI80"/>
    </row>
    <row r="81" spans="1:35" ht="30.6" x14ac:dyDescent="0.2">
      <c r="A81" s="164" t="s">
        <v>1763</v>
      </c>
      <c r="B81" s="128" t="s">
        <v>1758</v>
      </c>
      <c r="C81" s="243"/>
      <c r="D81" s="243"/>
      <c r="E81" s="243"/>
      <c r="F81" s="243"/>
      <c r="G81" s="133">
        <v>4</v>
      </c>
      <c r="H81" s="133"/>
      <c r="I81" s="133">
        <v>2</v>
      </c>
      <c r="J81" s="133"/>
      <c r="K81" s="135"/>
      <c r="AA81">
        <f>IF(AND('2 Phy'!C81&gt;Tmin, NOT('2 Phy'!$I81="")),'2 Phy'!$I81,0)</f>
        <v>0</v>
      </c>
      <c r="AB81">
        <f>IF(AND('2 Phy'!D81&gt;Tmin, NOT('2 Phy'!$I81="")),'2 Phy'!$I81,0)</f>
        <v>0</v>
      </c>
      <c r="AC81">
        <f>IF(AND('2 Phy'!E81&gt;Tmin, NOT('2 Phy'!$I81="")),'2 Phy'!$I81,0)</f>
        <v>0</v>
      </c>
      <c r="AD81">
        <f>IF(AND('2 Phy'!F81&gt;Tmin, NOT('2 Phy'!$I81="")),'2 Phy'!$I81,0)</f>
        <v>0</v>
      </c>
      <c r="AE81">
        <f>IF(AND('2 Phy'!C81&lt;Tmax, NOT('2 Phy'!$H81="")),'2 Phy'!$H81,4)</f>
        <v>4</v>
      </c>
      <c r="AF81">
        <f>IF(AND('2 Phy'!D81&lt;Tmax, NOT('2 Phy'!$H81="")),'2 Phy'!$H81,4)</f>
        <v>4</v>
      </c>
      <c r="AG81">
        <f>IF(AND('2 Phy'!E81&lt;Tmax, NOT('2 Phy'!$H81="")),'2 Phy'!$H81,4)</f>
        <v>4</v>
      </c>
      <c r="AH81">
        <f>IF(AND('2 Phy'!F81&lt;Tmax, NOT('2 Phy'!$H81="")),'2 Phy'!$H81,4)</f>
        <v>4</v>
      </c>
      <c r="AI81"/>
    </row>
    <row r="82" spans="1:35" ht="20.399999999999999" x14ac:dyDescent="0.2">
      <c r="A82" s="164" t="s">
        <v>1764</v>
      </c>
      <c r="B82" s="128" t="s">
        <v>1759</v>
      </c>
      <c r="C82" s="243"/>
      <c r="D82" s="243"/>
      <c r="E82" s="243"/>
      <c r="F82" s="243"/>
      <c r="G82" s="133">
        <v>4</v>
      </c>
      <c r="H82" s="133"/>
      <c r="I82" s="133"/>
      <c r="J82" s="133"/>
      <c r="K82" s="135"/>
      <c r="AA82">
        <f>IF(AND('2 Phy'!C82&gt;Tmin, NOT('2 Phy'!$I82="")),'2 Phy'!$I82,0)</f>
        <v>0</v>
      </c>
      <c r="AB82">
        <f>IF(AND('2 Phy'!D82&gt;Tmin, NOT('2 Phy'!$I82="")),'2 Phy'!$I82,0)</f>
        <v>0</v>
      </c>
      <c r="AC82">
        <f>IF(AND('2 Phy'!E82&gt;Tmin, NOT('2 Phy'!$I82="")),'2 Phy'!$I82,0)</f>
        <v>0</v>
      </c>
      <c r="AD82">
        <f>IF(AND('2 Phy'!F82&gt;Tmin, NOT('2 Phy'!$I82="")),'2 Phy'!$I82,0)</f>
        <v>0</v>
      </c>
      <c r="AE82">
        <f>IF(AND('2 Phy'!C82&lt;Tmax, NOT('2 Phy'!$H82="")),'2 Phy'!$H82,4)</f>
        <v>4</v>
      </c>
      <c r="AF82">
        <f>IF(AND('2 Phy'!D82&lt;Tmax, NOT('2 Phy'!$H82="")),'2 Phy'!$H82,4)</f>
        <v>4</v>
      </c>
      <c r="AG82">
        <f>IF(AND('2 Phy'!E82&lt;Tmax, NOT('2 Phy'!$H82="")),'2 Phy'!$H82,4)</f>
        <v>4</v>
      </c>
      <c r="AH82">
        <f>IF(AND('2 Phy'!F82&lt;Tmax, NOT('2 Phy'!$H82="")),'2 Phy'!$H82,4)</f>
        <v>4</v>
      </c>
      <c r="AI82"/>
    </row>
    <row r="83" spans="1:35" ht="25.5" customHeight="1" x14ac:dyDescent="0.2">
      <c r="A83" s="164" t="s">
        <v>1765</v>
      </c>
      <c r="B83" s="128" t="s">
        <v>1760</v>
      </c>
      <c r="C83" s="243"/>
      <c r="D83" s="243"/>
      <c r="E83" s="243"/>
      <c r="F83" s="243"/>
      <c r="G83" s="133">
        <v>4</v>
      </c>
      <c r="H83" s="133">
        <v>2</v>
      </c>
      <c r="I83" s="133"/>
      <c r="J83" s="133"/>
      <c r="K83" s="135"/>
      <c r="AA83">
        <f>IF(AND('2 Phy'!C83&gt;Tmin, NOT('2 Phy'!$I83="")),'2 Phy'!$I83,0)</f>
        <v>0</v>
      </c>
      <c r="AB83">
        <f>IF(AND('2 Phy'!D83&gt;Tmin, NOT('2 Phy'!$I83="")),'2 Phy'!$I83,0)</f>
        <v>0</v>
      </c>
      <c r="AC83">
        <f>IF(AND('2 Phy'!E83&gt;Tmin, NOT('2 Phy'!$I83="")),'2 Phy'!$I83,0)</f>
        <v>0</v>
      </c>
      <c r="AD83">
        <f>IF(AND('2 Phy'!F83&gt;Tmin, NOT('2 Phy'!$I83="")),'2 Phy'!$I83,0)</f>
        <v>0</v>
      </c>
      <c r="AE83">
        <f>IF(AND('2 Phy'!C83&lt;Tmax, NOT('2 Phy'!$H83="")),'2 Phy'!$H83,4)</f>
        <v>2</v>
      </c>
      <c r="AF83">
        <f>IF(AND('2 Phy'!D83&lt;Tmax, NOT('2 Phy'!$H83="")),'2 Phy'!$H83,4)</f>
        <v>2</v>
      </c>
      <c r="AG83">
        <f>IF(AND('2 Phy'!E83&lt;Tmax, NOT('2 Phy'!$H83="")),'2 Phy'!$H83,4)</f>
        <v>2</v>
      </c>
      <c r="AH83">
        <f>IF(AND('2 Phy'!F83&lt;Tmax, NOT('2 Phy'!$H83="")),'2 Phy'!$H83,4)</f>
        <v>2</v>
      </c>
      <c r="AI83"/>
    </row>
    <row r="84" spans="1:35" s="213" customFormat="1" ht="30.6" x14ac:dyDescent="0.25">
      <c r="A84" s="164" t="s">
        <v>1766</v>
      </c>
      <c r="B84" s="128" t="s">
        <v>1761</v>
      </c>
      <c r="C84" s="243"/>
      <c r="D84" s="243"/>
      <c r="E84" s="243"/>
      <c r="F84" s="243"/>
      <c r="G84" s="133">
        <v>2</v>
      </c>
      <c r="H84" s="133">
        <v>3</v>
      </c>
      <c r="I84" s="133"/>
      <c r="J84" s="133"/>
      <c r="K84" s="135"/>
      <c r="L84" s="128"/>
      <c r="M84" s="227"/>
      <c r="N84" s="227"/>
      <c r="O84" s="227"/>
      <c r="P84" s="227"/>
      <c r="Q84" s="227"/>
      <c r="R84" s="227"/>
      <c r="S84" s="227"/>
      <c r="T84" s="227"/>
      <c r="U84" s="227"/>
      <c r="V84" s="227"/>
      <c r="W84" s="227"/>
      <c r="X84" s="227"/>
      <c r="Y84" s="227"/>
      <c r="Z84" s="227"/>
      <c r="AA84">
        <f>IF(AND('2 Phy'!C84&gt;Tmin, NOT('2 Phy'!$I84="")),'2 Phy'!$I84,0)</f>
        <v>0</v>
      </c>
      <c r="AB84">
        <f>IF(AND('2 Phy'!D84&gt;Tmin, NOT('2 Phy'!$I84="")),'2 Phy'!$I84,0)</f>
        <v>0</v>
      </c>
      <c r="AC84">
        <f>IF(AND('2 Phy'!E84&gt;Tmin, NOT('2 Phy'!$I84="")),'2 Phy'!$I84,0)</f>
        <v>0</v>
      </c>
      <c r="AD84">
        <f>IF(AND('2 Phy'!F84&gt;Tmin, NOT('2 Phy'!$I84="")),'2 Phy'!$I84,0)</f>
        <v>0</v>
      </c>
      <c r="AE84">
        <f>IF(AND('2 Phy'!C84&lt;Tmax, NOT('2 Phy'!$H84="")),'2 Phy'!$H84,4)</f>
        <v>3</v>
      </c>
      <c r="AF84">
        <f>IF(AND('2 Phy'!D84&lt;Tmax, NOT('2 Phy'!$H84="")),'2 Phy'!$H84,4)</f>
        <v>3</v>
      </c>
      <c r="AG84">
        <f>IF(AND('2 Phy'!E84&lt;Tmax, NOT('2 Phy'!$H84="")),'2 Phy'!$H84,4)</f>
        <v>3</v>
      </c>
      <c r="AH84">
        <f>IF(AND('2 Phy'!F84&lt;Tmax, NOT('2 Phy'!$H84="")),'2 Phy'!$H84,4)</f>
        <v>3</v>
      </c>
      <c r="AI84"/>
    </row>
    <row r="85" spans="1:35" s="213" customFormat="1" ht="13.2" x14ac:dyDescent="0.25">
      <c r="A85" s="164" t="s">
        <v>722</v>
      </c>
      <c r="B85" s="128" t="s">
        <v>7078</v>
      </c>
      <c r="C85" s="243"/>
      <c r="D85" s="243"/>
      <c r="E85" s="243"/>
      <c r="F85" s="243"/>
      <c r="G85" s="133"/>
      <c r="H85" s="133"/>
      <c r="I85" s="133"/>
      <c r="J85" s="133"/>
      <c r="K85" s="135"/>
      <c r="L85" s="128"/>
      <c r="M85" s="227"/>
      <c r="N85" s="227"/>
      <c r="O85" s="227"/>
      <c r="P85" s="227"/>
      <c r="Q85" s="227"/>
      <c r="R85" s="227"/>
      <c r="S85" s="227"/>
      <c r="T85" s="227"/>
      <c r="U85" s="227"/>
      <c r="V85" s="227"/>
      <c r="W85" s="227"/>
      <c r="X85" s="227"/>
      <c r="Y85" s="227"/>
      <c r="Z85" s="227"/>
      <c r="AA85"/>
      <c r="AB85"/>
      <c r="AC85"/>
      <c r="AD85"/>
      <c r="AE85"/>
      <c r="AF85"/>
      <c r="AG85"/>
      <c r="AH85"/>
      <c r="AI85"/>
    </row>
    <row r="86" spans="1:35" s="213" customFormat="1" ht="20.399999999999999" x14ac:dyDescent="0.25">
      <c r="A86" s="164" t="s">
        <v>1767</v>
      </c>
      <c r="B86" s="128" t="s">
        <v>7186</v>
      </c>
      <c r="C86" s="243"/>
      <c r="D86" s="243"/>
      <c r="E86" s="243"/>
      <c r="F86" s="243"/>
      <c r="G86" s="133">
        <v>4</v>
      </c>
      <c r="H86" s="133"/>
      <c r="I86" s="133"/>
      <c r="J86" s="133" t="s">
        <v>7077</v>
      </c>
      <c r="K86" s="135"/>
      <c r="L86" s="128"/>
      <c r="M86" s="227"/>
      <c r="N86" s="227"/>
      <c r="O86" s="227"/>
      <c r="P86" s="227"/>
      <c r="Q86" s="227"/>
      <c r="R86" s="227"/>
      <c r="S86" s="227"/>
      <c r="T86" s="227"/>
      <c r="U86" s="227"/>
      <c r="V86" s="227"/>
      <c r="W86" s="227"/>
      <c r="X86" s="227"/>
      <c r="Y86" s="227"/>
      <c r="Z86" s="227"/>
      <c r="AA86">
        <f>IF(AND('2 Phy'!C86&gt;Tmin, NOT('2 Phy'!$I86="")),'2 Phy'!$I86,0)</f>
        <v>0</v>
      </c>
      <c r="AB86">
        <f>IF(AND('2 Phy'!D86&gt;Tmin, NOT('2 Phy'!$I86="")),'2 Phy'!$I86,0)</f>
        <v>0</v>
      </c>
      <c r="AC86">
        <f>IF(AND('2 Phy'!E86&gt;Tmin, NOT('2 Phy'!$I86="")),'2 Phy'!$I86,0)</f>
        <v>0</v>
      </c>
      <c r="AD86">
        <f>IF(AND('2 Phy'!F86&gt;Tmin, NOT('2 Phy'!$I86="")),'2 Phy'!$I86,0)</f>
        <v>0</v>
      </c>
      <c r="AE86">
        <f>IF(AND('2 Phy'!C86&lt;Tmax, NOT('2 Phy'!$H86="")),'2 Phy'!$H86,4)</f>
        <v>4</v>
      </c>
      <c r="AF86">
        <f>IF(AND('2 Phy'!D86&lt;Tmax, NOT('2 Phy'!$H86="")),'2 Phy'!$H86,4)</f>
        <v>4</v>
      </c>
      <c r="AG86">
        <f>IF(AND('2 Phy'!E86&lt;Tmax, NOT('2 Phy'!$H86="")),'2 Phy'!$H86,4)</f>
        <v>4</v>
      </c>
      <c r="AH86">
        <f>IF(AND('2 Phy'!F86&lt;Tmax, NOT('2 Phy'!$H86="")),'2 Phy'!$H86,4)</f>
        <v>4</v>
      </c>
      <c r="AI86"/>
    </row>
    <row r="87" spans="1:35" s="213" customFormat="1" ht="20.399999999999999" x14ac:dyDescent="0.25">
      <c r="A87" s="164" t="s">
        <v>1768</v>
      </c>
      <c r="B87" s="164" t="s">
        <v>7188</v>
      </c>
      <c r="C87" s="136"/>
      <c r="D87" s="136"/>
      <c r="E87" s="136"/>
      <c r="F87" s="136"/>
      <c r="G87" s="133">
        <v>4</v>
      </c>
      <c r="H87" s="164"/>
      <c r="I87" s="164"/>
      <c r="J87" s="133" t="s">
        <v>7077</v>
      </c>
      <c r="K87" s="135"/>
      <c r="L87" s="128"/>
      <c r="M87" s="227"/>
      <c r="N87" s="227"/>
      <c r="O87" s="227"/>
      <c r="P87" s="227"/>
      <c r="Q87" s="227"/>
      <c r="R87" s="227"/>
      <c r="S87" s="227"/>
      <c r="T87" s="227"/>
      <c r="U87" s="227"/>
      <c r="V87" s="227"/>
      <c r="W87" s="227"/>
      <c r="X87" s="227"/>
      <c r="Y87" s="227"/>
      <c r="Z87" s="227"/>
      <c r="AA87">
        <f>IF(AND('2 Phy'!C87&gt;Tmin, NOT('2 Phy'!$I87="")),'2 Phy'!$I87,0)</f>
        <v>0</v>
      </c>
      <c r="AB87">
        <f>IF(AND('2 Phy'!D87&gt;Tmin, NOT('2 Phy'!$I87="")),'2 Phy'!$I87,0)</f>
        <v>0</v>
      </c>
      <c r="AC87">
        <f>IF(AND('2 Phy'!E87&gt;Tmin, NOT('2 Phy'!$I87="")),'2 Phy'!$I87,0)</f>
        <v>0</v>
      </c>
      <c r="AD87">
        <f>IF(AND('2 Phy'!F87&gt;Tmin, NOT('2 Phy'!$I87="")),'2 Phy'!$I87,0)</f>
        <v>0</v>
      </c>
      <c r="AE87">
        <f>IF(AND('2 Phy'!C87&lt;Tmax, NOT('2 Phy'!$H87="")),'2 Phy'!$H87,4)</f>
        <v>4</v>
      </c>
      <c r="AF87">
        <f>IF(AND('2 Phy'!D87&lt;Tmax, NOT('2 Phy'!$H87="")),'2 Phy'!$H87,4)</f>
        <v>4</v>
      </c>
      <c r="AG87">
        <f>IF(AND('2 Phy'!E87&lt;Tmax, NOT('2 Phy'!$H87="")),'2 Phy'!$H87,4)</f>
        <v>4</v>
      </c>
      <c r="AH87">
        <f>IF(AND('2 Phy'!F87&lt;Tmax, NOT('2 Phy'!$H87="")),'2 Phy'!$H87,4)</f>
        <v>4</v>
      </c>
      <c r="AI87"/>
    </row>
    <row r="88" spans="1:35" s="213" customFormat="1" ht="13.2" x14ac:dyDescent="0.25">
      <c r="A88" s="164" t="s">
        <v>7184</v>
      </c>
      <c r="B88" s="164" t="s">
        <v>7080</v>
      </c>
      <c r="C88" s="136"/>
      <c r="D88" s="136"/>
      <c r="E88" s="136"/>
      <c r="F88" s="136"/>
      <c r="G88" s="133"/>
      <c r="H88" s="164"/>
      <c r="I88" s="164"/>
      <c r="J88" s="133"/>
      <c r="K88" s="135"/>
      <c r="L88" s="128"/>
      <c r="M88" s="227"/>
      <c r="N88" s="227"/>
      <c r="O88" s="227"/>
      <c r="P88" s="227"/>
      <c r="Q88" s="227"/>
      <c r="R88" s="227"/>
      <c r="S88" s="227"/>
      <c r="T88" s="227"/>
      <c r="U88" s="227"/>
      <c r="V88" s="227"/>
      <c r="W88" s="227"/>
      <c r="X88" s="227"/>
      <c r="Y88" s="227"/>
      <c r="Z88" s="227"/>
      <c r="AA88"/>
      <c r="AB88"/>
      <c r="AC88"/>
      <c r="AD88"/>
      <c r="AE88"/>
      <c r="AF88"/>
      <c r="AG88"/>
      <c r="AH88"/>
      <c r="AI88"/>
    </row>
    <row r="89" spans="1:35" s="213" customFormat="1" ht="40.799999999999997" x14ac:dyDescent="0.25">
      <c r="A89" s="164" t="s">
        <v>7185</v>
      </c>
      <c r="B89" s="164" t="s">
        <v>7191</v>
      </c>
      <c r="C89" s="136"/>
      <c r="D89" s="136"/>
      <c r="E89" s="136"/>
      <c r="F89" s="136"/>
      <c r="G89" s="133">
        <v>4</v>
      </c>
      <c r="H89" s="164"/>
      <c r="I89" s="164"/>
      <c r="J89" s="133" t="s">
        <v>7079</v>
      </c>
      <c r="K89" s="135"/>
      <c r="L89" s="128"/>
      <c r="M89" s="227"/>
      <c r="N89" s="227"/>
      <c r="O89" s="227"/>
      <c r="P89" s="227"/>
      <c r="Q89" s="227"/>
      <c r="R89" s="227"/>
      <c r="S89" s="227"/>
      <c r="T89" s="227"/>
      <c r="U89" s="227"/>
      <c r="V89" s="227"/>
      <c r="W89" s="227"/>
      <c r="X89" s="227"/>
      <c r="Y89" s="227"/>
      <c r="Z89" s="227"/>
      <c r="AA89">
        <f>IF(AND('2 Phy'!C89&gt;Tmin, NOT('2 Phy'!$I89="")),'2 Phy'!$I89,0)</f>
        <v>0</v>
      </c>
      <c r="AB89">
        <f>IF(AND('2 Phy'!D89&gt;Tmin, NOT('2 Phy'!$I89="")),'2 Phy'!$I89,0)</f>
        <v>0</v>
      </c>
      <c r="AC89">
        <f>IF(AND('2 Phy'!E89&gt;Tmin, NOT('2 Phy'!$I89="")),'2 Phy'!$I89,0)</f>
        <v>0</v>
      </c>
      <c r="AD89">
        <f>IF(AND('2 Phy'!F89&gt;Tmin, NOT('2 Phy'!$I89="")),'2 Phy'!$I89,0)</f>
        <v>0</v>
      </c>
      <c r="AE89">
        <f>IF(AND('2 Phy'!C89&lt;Tmax, NOT('2 Phy'!$H89="")),'2 Phy'!$H89,4)</f>
        <v>4</v>
      </c>
      <c r="AF89">
        <f>IF(AND('2 Phy'!D89&lt;Tmax, NOT('2 Phy'!$H89="")),'2 Phy'!$H89,4)</f>
        <v>4</v>
      </c>
      <c r="AG89">
        <f>IF(AND('2 Phy'!E89&lt;Tmax, NOT('2 Phy'!$H89="")),'2 Phy'!$H89,4)</f>
        <v>4</v>
      </c>
      <c r="AH89">
        <f>IF(AND('2 Phy'!F89&lt;Tmax, NOT('2 Phy'!$H89="")),'2 Phy'!$H89,4)</f>
        <v>4</v>
      </c>
      <c r="AI89"/>
    </row>
    <row r="90" spans="1:35" s="213" customFormat="1" ht="13.2" x14ac:dyDescent="0.25">
      <c r="A90" s="164" t="s">
        <v>7187</v>
      </c>
      <c r="B90" s="164" t="s">
        <v>7193</v>
      </c>
      <c r="C90" s="136"/>
      <c r="D90" s="136"/>
      <c r="E90" s="136"/>
      <c r="F90" s="136"/>
      <c r="G90" s="133">
        <v>4</v>
      </c>
      <c r="H90" s="164"/>
      <c r="I90" s="164"/>
      <c r="J90" s="133" t="s">
        <v>7079</v>
      </c>
      <c r="K90" s="135"/>
      <c r="L90" s="128"/>
      <c r="M90" s="227"/>
      <c r="N90" s="227"/>
      <c r="O90" s="227"/>
      <c r="P90" s="227"/>
      <c r="Q90" s="227"/>
      <c r="R90" s="227"/>
      <c r="S90" s="227"/>
      <c r="T90" s="227"/>
      <c r="U90" s="227"/>
      <c r="V90" s="227"/>
      <c r="W90" s="227"/>
      <c r="X90" s="227"/>
      <c r="Y90" s="227"/>
      <c r="Z90" s="227"/>
      <c r="AA90">
        <f>IF(AND('2 Phy'!C90&gt;Tmin, NOT('2 Phy'!$I90="")),'2 Phy'!$I90,0)</f>
        <v>0</v>
      </c>
      <c r="AB90">
        <f>IF(AND('2 Phy'!D90&gt;Tmin, NOT('2 Phy'!$I90="")),'2 Phy'!$I90,0)</f>
        <v>0</v>
      </c>
      <c r="AC90">
        <f>IF(AND('2 Phy'!E90&gt;Tmin, NOT('2 Phy'!$I90="")),'2 Phy'!$I90,0)</f>
        <v>0</v>
      </c>
      <c r="AD90">
        <f>IF(AND('2 Phy'!F90&gt;Tmin, NOT('2 Phy'!$I90="")),'2 Phy'!$I90,0)</f>
        <v>0</v>
      </c>
      <c r="AE90">
        <f>IF(AND('2 Phy'!C90&lt;Tmax, NOT('2 Phy'!$H90="")),'2 Phy'!$H90,4)</f>
        <v>4</v>
      </c>
      <c r="AF90">
        <f>IF(AND('2 Phy'!D90&lt;Tmax, NOT('2 Phy'!$H90="")),'2 Phy'!$H90,4)</f>
        <v>4</v>
      </c>
      <c r="AG90">
        <f>IF(AND('2 Phy'!E90&lt;Tmax, NOT('2 Phy'!$H90="")),'2 Phy'!$H90,4)</f>
        <v>4</v>
      </c>
      <c r="AH90">
        <f>IF(AND('2 Phy'!F90&lt;Tmax, NOT('2 Phy'!$H90="")),'2 Phy'!$H90,4)</f>
        <v>4</v>
      </c>
      <c r="AI90"/>
    </row>
    <row r="91" spans="1:35" s="213" customFormat="1" ht="13.2" x14ac:dyDescent="0.25">
      <c r="A91" s="164" t="s">
        <v>7189</v>
      </c>
      <c r="B91" s="164" t="s">
        <v>7083</v>
      </c>
      <c r="C91" s="136"/>
      <c r="D91" s="136"/>
      <c r="E91" s="136"/>
      <c r="F91" s="136"/>
      <c r="G91" s="133"/>
      <c r="H91" s="164"/>
      <c r="I91" s="164"/>
      <c r="J91" s="133"/>
      <c r="K91" s="135"/>
      <c r="L91" s="128"/>
      <c r="M91" s="227"/>
      <c r="N91" s="227"/>
      <c r="O91" s="227"/>
      <c r="P91" s="227"/>
      <c r="Q91" s="227"/>
      <c r="R91" s="227"/>
      <c r="S91" s="227"/>
      <c r="T91" s="227"/>
      <c r="U91" s="227"/>
      <c r="V91" s="227"/>
      <c r="W91" s="227"/>
      <c r="X91" s="227"/>
      <c r="Y91" s="227"/>
      <c r="Z91" s="227"/>
      <c r="AA91"/>
      <c r="AB91"/>
      <c r="AC91"/>
      <c r="AD91"/>
      <c r="AE91"/>
      <c r="AF91"/>
      <c r="AG91"/>
      <c r="AH91"/>
      <c r="AI91"/>
    </row>
    <row r="92" spans="1:35" s="213" customFormat="1" ht="30.6" x14ac:dyDescent="0.25">
      <c r="A92" s="164" t="s">
        <v>7190</v>
      </c>
      <c r="B92" s="164" t="s">
        <v>7196</v>
      </c>
      <c r="C92" s="136"/>
      <c r="D92" s="136"/>
      <c r="E92" s="136"/>
      <c r="F92" s="136"/>
      <c r="G92" s="133">
        <v>4</v>
      </c>
      <c r="H92" s="164"/>
      <c r="I92" s="164"/>
      <c r="J92" s="133" t="s">
        <v>7082</v>
      </c>
      <c r="K92" s="135"/>
      <c r="L92" s="128"/>
      <c r="M92" s="227"/>
      <c r="N92" s="227"/>
      <c r="O92" s="227"/>
      <c r="P92" s="227"/>
      <c r="Q92" s="227"/>
      <c r="R92" s="227"/>
      <c r="S92" s="227"/>
      <c r="T92" s="227"/>
      <c r="U92" s="227"/>
      <c r="V92" s="227"/>
      <c r="W92" s="227"/>
      <c r="X92" s="227"/>
      <c r="Y92" s="227"/>
      <c r="Z92" s="227"/>
      <c r="AA92">
        <f>IF(AND('2 Phy'!C92&gt;Tmin, NOT('2 Phy'!$I92="")),'2 Phy'!$I92,0)</f>
        <v>0</v>
      </c>
      <c r="AB92">
        <f>IF(AND('2 Phy'!D92&gt;Tmin, NOT('2 Phy'!$I92="")),'2 Phy'!$I92,0)</f>
        <v>0</v>
      </c>
      <c r="AC92">
        <f>IF(AND('2 Phy'!E92&gt;Tmin, NOT('2 Phy'!$I92="")),'2 Phy'!$I92,0)</f>
        <v>0</v>
      </c>
      <c r="AD92">
        <f>IF(AND('2 Phy'!F92&gt;Tmin, NOT('2 Phy'!$I92="")),'2 Phy'!$I92,0)</f>
        <v>0</v>
      </c>
      <c r="AE92">
        <f>IF(AND('2 Phy'!C92&lt;Tmax, NOT('2 Phy'!$H92="")),'2 Phy'!$H92,4)</f>
        <v>4</v>
      </c>
      <c r="AF92">
        <f>IF(AND('2 Phy'!D92&lt;Tmax, NOT('2 Phy'!$H92="")),'2 Phy'!$H92,4)</f>
        <v>4</v>
      </c>
      <c r="AG92">
        <f>IF(AND('2 Phy'!E92&lt;Tmax, NOT('2 Phy'!$H92="")),'2 Phy'!$H92,4)</f>
        <v>4</v>
      </c>
      <c r="AH92">
        <f>IF(AND('2 Phy'!F92&lt;Tmax, NOT('2 Phy'!$H92="")),'2 Phy'!$H92,4)</f>
        <v>4</v>
      </c>
      <c r="AI92"/>
    </row>
    <row r="93" spans="1:35" s="213" customFormat="1" ht="13.2" x14ac:dyDescent="0.25">
      <c r="A93" s="164" t="s">
        <v>7192</v>
      </c>
      <c r="B93" s="164" t="s">
        <v>7198</v>
      </c>
      <c r="C93" s="136"/>
      <c r="D93" s="136"/>
      <c r="E93" s="136"/>
      <c r="F93" s="136"/>
      <c r="G93" s="133">
        <v>4</v>
      </c>
      <c r="H93" s="164"/>
      <c r="I93" s="164"/>
      <c r="J93" s="133" t="s">
        <v>7082</v>
      </c>
      <c r="K93" s="135"/>
      <c r="L93" s="128"/>
      <c r="M93" s="227"/>
      <c r="N93" s="227"/>
      <c r="O93" s="227"/>
      <c r="P93" s="227"/>
      <c r="Q93" s="227"/>
      <c r="R93" s="227"/>
      <c r="S93" s="227"/>
      <c r="T93" s="227"/>
      <c r="U93" s="227"/>
      <c r="V93" s="227"/>
      <c r="W93" s="227"/>
      <c r="X93" s="227"/>
      <c r="Y93" s="227"/>
      <c r="Z93" s="227"/>
      <c r="AA93">
        <f>IF(AND('2 Phy'!C93&gt;Tmin, NOT('2 Phy'!$I93="")),'2 Phy'!$I93,0)</f>
        <v>0</v>
      </c>
      <c r="AB93">
        <f>IF(AND('2 Phy'!D93&gt;Tmin, NOT('2 Phy'!$I93="")),'2 Phy'!$I93,0)</f>
        <v>0</v>
      </c>
      <c r="AC93">
        <f>IF(AND('2 Phy'!E93&gt;Tmin, NOT('2 Phy'!$I93="")),'2 Phy'!$I93,0)</f>
        <v>0</v>
      </c>
      <c r="AD93">
        <f>IF(AND('2 Phy'!F93&gt;Tmin, NOT('2 Phy'!$I93="")),'2 Phy'!$I93,0)</f>
        <v>0</v>
      </c>
      <c r="AE93">
        <f>IF(AND('2 Phy'!C93&lt;Tmax, NOT('2 Phy'!$H93="")),'2 Phy'!$H93,4)</f>
        <v>4</v>
      </c>
      <c r="AF93">
        <f>IF(AND('2 Phy'!D93&lt;Tmax, NOT('2 Phy'!$H93="")),'2 Phy'!$H93,4)</f>
        <v>4</v>
      </c>
      <c r="AG93">
        <f>IF(AND('2 Phy'!E93&lt;Tmax, NOT('2 Phy'!$H93="")),'2 Phy'!$H93,4)</f>
        <v>4</v>
      </c>
      <c r="AH93">
        <f>IF(AND('2 Phy'!F93&lt;Tmax, NOT('2 Phy'!$H93="")),'2 Phy'!$H93,4)</f>
        <v>4</v>
      </c>
      <c r="AI93"/>
    </row>
    <row r="94" spans="1:35" s="213" customFormat="1" ht="13.2" x14ac:dyDescent="0.25">
      <c r="A94" s="164" t="s">
        <v>7194</v>
      </c>
      <c r="B94" s="164" t="s">
        <v>7087</v>
      </c>
      <c r="C94" s="136"/>
      <c r="D94" s="136"/>
      <c r="E94" s="136"/>
      <c r="F94" s="136"/>
      <c r="G94" s="133"/>
      <c r="H94" s="164"/>
      <c r="I94" s="164"/>
      <c r="J94" s="133"/>
      <c r="K94" s="135"/>
      <c r="L94" s="128"/>
      <c r="M94" s="227"/>
      <c r="N94" s="227"/>
      <c r="O94" s="227"/>
      <c r="P94" s="227"/>
      <c r="Q94" s="227"/>
      <c r="R94" s="227"/>
      <c r="S94" s="227"/>
      <c r="T94" s="227"/>
      <c r="U94" s="227"/>
      <c r="V94" s="227"/>
      <c r="W94" s="227"/>
      <c r="X94" s="227"/>
      <c r="Y94" s="227"/>
      <c r="Z94" s="227"/>
      <c r="AA94"/>
      <c r="AB94"/>
      <c r="AC94"/>
      <c r="AD94"/>
      <c r="AE94"/>
      <c r="AF94"/>
      <c r="AG94"/>
      <c r="AH94"/>
      <c r="AI94"/>
    </row>
    <row r="95" spans="1:35" ht="20.399999999999999" x14ac:dyDescent="0.2">
      <c r="A95" s="164" t="s">
        <v>7195</v>
      </c>
      <c r="B95" s="164" t="s">
        <v>7201</v>
      </c>
      <c r="C95" s="136"/>
      <c r="D95" s="136"/>
      <c r="E95" s="136"/>
      <c r="F95" s="136"/>
      <c r="G95" s="133">
        <v>4</v>
      </c>
      <c r="H95" s="164"/>
      <c r="I95" s="164"/>
      <c r="J95" s="133" t="s">
        <v>7086</v>
      </c>
      <c r="K95" s="135"/>
      <c r="AA95">
        <f>IF(AND('2 Phy'!C95&gt;Tmin, NOT('2 Phy'!$I95="")),'2 Phy'!$I95,0)</f>
        <v>0</v>
      </c>
      <c r="AB95">
        <f>IF(AND('2 Phy'!D95&gt;Tmin, NOT('2 Phy'!$I95="")),'2 Phy'!$I95,0)</f>
        <v>0</v>
      </c>
      <c r="AC95">
        <f>IF(AND('2 Phy'!E95&gt;Tmin, NOT('2 Phy'!$I95="")),'2 Phy'!$I95,0)</f>
        <v>0</v>
      </c>
      <c r="AD95">
        <f>IF(AND('2 Phy'!F95&gt;Tmin, NOT('2 Phy'!$I95="")),'2 Phy'!$I95,0)</f>
        <v>0</v>
      </c>
      <c r="AE95">
        <f>IF(AND('2 Phy'!C95&lt;Tmax, NOT('2 Phy'!$H95="")),'2 Phy'!$H95,4)</f>
        <v>4</v>
      </c>
      <c r="AF95">
        <f>IF(AND('2 Phy'!D95&lt;Tmax, NOT('2 Phy'!$H95="")),'2 Phy'!$H95,4)</f>
        <v>4</v>
      </c>
      <c r="AG95">
        <f>IF(AND('2 Phy'!E95&lt;Tmax, NOT('2 Phy'!$H95="")),'2 Phy'!$H95,4)</f>
        <v>4</v>
      </c>
      <c r="AH95">
        <f>IF(AND('2 Phy'!F95&lt;Tmax, NOT('2 Phy'!$H95="")),'2 Phy'!$H95,4)</f>
        <v>4</v>
      </c>
      <c r="AI95"/>
    </row>
    <row r="96" spans="1:35" s="213" customFormat="1" ht="20.399999999999999" x14ac:dyDescent="0.25">
      <c r="A96" s="164" t="s">
        <v>7197</v>
      </c>
      <c r="B96" s="164" t="s">
        <v>7203</v>
      </c>
      <c r="C96" s="136"/>
      <c r="D96" s="136"/>
      <c r="E96" s="136"/>
      <c r="F96" s="136"/>
      <c r="G96" s="133">
        <v>4</v>
      </c>
      <c r="H96" s="164"/>
      <c r="I96" s="164"/>
      <c r="J96" s="133" t="s">
        <v>7086</v>
      </c>
      <c r="K96" s="135"/>
      <c r="L96" s="128"/>
      <c r="M96" s="227"/>
      <c r="N96" s="227"/>
      <c r="O96" s="227"/>
      <c r="P96" s="227"/>
      <c r="Q96" s="227"/>
      <c r="R96" s="227"/>
      <c r="S96" s="227"/>
      <c r="T96" s="227"/>
      <c r="U96" s="227"/>
      <c r="V96" s="227"/>
      <c r="W96" s="227"/>
      <c r="X96" s="227"/>
      <c r="Y96" s="227"/>
      <c r="Z96" s="227"/>
      <c r="AA96">
        <f>IF(AND('2 Phy'!C96&gt;Tmin, NOT('2 Phy'!$I96="")),'2 Phy'!$I96,0)</f>
        <v>0</v>
      </c>
      <c r="AB96">
        <f>IF(AND('2 Phy'!D96&gt;Tmin, NOT('2 Phy'!$I96="")),'2 Phy'!$I96,0)</f>
        <v>0</v>
      </c>
      <c r="AC96">
        <f>IF(AND('2 Phy'!E96&gt;Tmin, NOT('2 Phy'!$I96="")),'2 Phy'!$I96,0)</f>
        <v>0</v>
      </c>
      <c r="AD96">
        <f>IF(AND('2 Phy'!F96&gt;Tmin, NOT('2 Phy'!$I96="")),'2 Phy'!$I96,0)</f>
        <v>0</v>
      </c>
      <c r="AE96">
        <f>IF(AND('2 Phy'!C96&lt;Tmax, NOT('2 Phy'!$H96="")),'2 Phy'!$H96,4)</f>
        <v>4</v>
      </c>
      <c r="AF96">
        <f>IF(AND('2 Phy'!D96&lt;Tmax, NOT('2 Phy'!$H96="")),'2 Phy'!$H96,4)</f>
        <v>4</v>
      </c>
      <c r="AG96">
        <f>IF(AND('2 Phy'!E96&lt;Tmax, NOT('2 Phy'!$H96="")),'2 Phy'!$H96,4)</f>
        <v>4</v>
      </c>
      <c r="AH96">
        <f>IF(AND('2 Phy'!F96&lt;Tmax, NOT('2 Phy'!$H96="")),'2 Phy'!$H96,4)</f>
        <v>4</v>
      </c>
      <c r="AI96"/>
    </row>
    <row r="97" spans="1:35" s="213" customFormat="1" ht="13.2" x14ac:dyDescent="0.25">
      <c r="A97" s="164" t="s">
        <v>7199</v>
      </c>
      <c r="B97" s="164" t="s">
        <v>7089</v>
      </c>
      <c r="C97" s="136"/>
      <c r="D97" s="136"/>
      <c r="E97" s="136"/>
      <c r="F97" s="136"/>
      <c r="G97" s="133"/>
      <c r="H97" s="164"/>
      <c r="I97" s="164"/>
      <c r="J97" s="133"/>
      <c r="K97" s="135"/>
      <c r="L97" s="128"/>
      <c r="M97" s="227"/>
      <c r="N97" s="227"/>
      <c r="O97" s="227"/>
      <c r="P97" s="227"/>
      <c r="Q97" s="227"/>
      <c r="R97" s="227"/>
      <c r="S97" s="227"/>
      <c r="T97" s="227"/>
      <c r="U97" s="227"/>
      <c r="V97" s="227"/>
      <c r="W97" s="227"/>
      <c r="X97" s="227"/>
      <c r="Y97" s="227"/>
      <c r="Z97" s="227"/>
      <c r="AA97"/>
      <c r="AB97"/>
      <c r="AC97"/>
      <c r="AD97"/>
      <c r="AE97"/>
      <c r="AF97"/>
      <c r="AG97"/>
      <c r="AH97"/>
      <c r="AI97"/>
    </row>
    <row r="98" spans="1:35" s="213" customFormat="1" ht="30.6" x14ac:dyDescent="0.25">
      <c r="A98" s="164" t="s">
        <v>7200</v>
      </c>
      <c r="B98" s="164" t="s">
        <v>7204</v>
      </c>
      <c r="C98" s="136"/>
      <c r="D98" s="136"/>
      <c r="E98" s="136"/>
      <c r="F98" s="136"/>
      <c r="G98" s="133">
        <v>4</v>
      </c>
      <c r="H98" s="164"/>
      <c r="I98" s="164"/>
      <c r="J98" s="133" t="s">
        <v>7088</v>
      </c>
      <c r="K98" s="135"/>
      <c r="L98" s="128"/>
      <c r="M98" s="227"/>
      <c r="N98" s="227"/>
      <c r="O98" s="227"/>
      <c r="P98" s="227"/>
      <c r="Q98" s="227"/>
      <c r="R98" s="227"/>
      <c r="S98" s="227"/>
      <c r="T98" s="227"/>
      <c r="U98" s="227"/>
      <c r="V98" s="227"/>
      <c r="W98" s="227"/>
      <c r="X98" s="227"/>
      <c r="Y98" s="227"/>
      <c r="Z98" s="227"/>
      <c r="AA98">
        <f>IF(AND('2 Phy'!C98&gt;Tmin, NOT('2 Phy'!$I98="")),'2 Phy'!$I98,0)</f>
        <v>0</v>
      </c>
      <c r="AB98">
        <f>IF(AND('2 Phy'!D98&gt;Tmin, NOT('2 Phy'!$I98="")),'2 Phy'!$I98,0)</f>
        <v>0</v>
      </c>
      <c r="AC98">
        <f>IF(AND('2 Phy'!E98&gt;Tmin, NOT('2 Phy'!$I98="")),'2 Phy'!$I98,0)</f>
        <v>0</v>
      </c>
      <c r="AD98">
        <f>IF(AND('2 Phy'!F98&gt;Tmin, NOT('2 Phy'!$I98="")),'2 Phy'!$I98,0)</f>
        <v>0</v>
      </c>
      <c r="AE98">
        <f>IF(AND('2 Phy'!C98&lt;Tmax, NOT('2 Phy'!$H98="")),'2 Phy'!$H98,4)</f>
        <v>4</v>
      </c>
      <c r="AF98">
        <f>IF(AND('2 Phy'!D98&lt;Tmax, NOT('2 Phy'!$H98="")),'2 Phy'!$H98,4)</f>
        <v>4</v>
      </c>
      <c r="AG98">
        <f>IF(AND('2 Phy'!E98&lt;Tmax, NOT('2 Phy'!$H98="")),'2 Phy'!$H98,4)</f>
        <v>4</v>
      </c>
      <c r="AH98">
        <f>IF(AND('2 Phy'!F98&lt;Tmax, NOT('2 Phy'!$H98="")),'2 Phy'!$H98,4)</f>
        <v>4</v>
      </c>
      <c r="AI98"/>
    </row>
    <row r="99" spans="1:35" s="213" customFormat="1" ht="20.399999999999999" x14ac:dyDescent="0.25">
      <c r="A99" s="164" t="s">
        <v>7202</v>
      </c>
      <c r="B99" s="164" t="s">
        <v>7205</v>
      </c>
      <c r="C99" s="136"/>
      <c r="D99" s="136"/>
      <c r="E99" s="136"/>
      <c r="F99" s="136"/>
      <c r="G99" s="133">
        <v>4</v>
      </c>
      <c r="H99" s="164"/>
      <c r="I99" s="164"/>
      <c r="J99" s="133" t="s">
        <v>7088</v>
      </c>
      <c r="K99" s="135"/>
      <c r="L99" s="128"/>
      <c r="M99" s="227"/>
      <c r="N99" s="227"/>
      <c r="O99" s="227"/>
      <c r="P99" s="227"/>
      <c r="Q99" s="227"/>
      <c r="R99" s="227"/>
      <c r="S99" s="227"/>
      <c r="T99" s="227"/>
      <c r="U99" s="227"/>
      <c r="V99" s="227"/>
      <c r="W99" s="227"/>
      <c r="X99" s="227"/>
      <c r="Y99" s="227"/>
      <c r="Z99" s="227"/>
      <c r="AA99">
        <f>IF(AND('2 Phy'!C99&gt;Tmin, NOT('2 Phy'!$I99="")),'2 Phy'!$I99,0)</f>
        <v>0</v>
      </c>
      <c r="AB99">
        <f>IF(AND('2 Phy'!D99&gt;Tmin, NOT('2 Phy'!$I99="")),'2 Phy'!$I99,0)</f>
        <v>0</v>
      </c>
      <c r="AC99">
        <f>IF(AND('2 Phy'!E99&gt;Tmin, NOT('2 Phy'!$I99="")),'2 Phy'!$I99,0)</f>
        <v>0</v>
      </c>
      <c r="AD99">
        <f>IF(AND('2 Phy'!F99&gt;Tmin, NOT('2 Phy'!$I99="")),'2 Phy'!$I99,0)</f>
        <v>0</v>
      </c>
      <c r="AE99">
        <f>IF(AND('2 Phy'!C99&lt;Tmax, NOT('2 Phy'!$H99="")),'2 Phy'!$H99,4)</f>
        <v>4</v>
      </c>
      <c r="AF99">
        <f>IF(AND('2 Phy'!D99&lt;Tmax, NOT('2 Phy'!$H99="")),'2 Phy'!$H99,4)</f>
        <v>4</v>
      </c>
      <c r="AG99">
        <f>IF(AND('2 Phy'!E99&lt;Tmax, NOT('2 Phy'!$H99="")),'2 Phy'!$H99,4)</f>
        <v>4</v>
      </c>
      <c r="AH99">
        <f>IF(AND('2 Phy'!F99&lt;Tmax, NOT('2 Phy'!$H99="")),'2 Phy'!$H99,4)</f>
        <v>4</v>
      </c>
      <c r="AI99"/>
    </row>
    <row r="100" spans="1:35" s="213" customFormat="1" ht="13.2" x14ac:dyDescent="0.25">
      <c r="A100" s="164" t="s">
        <v>1662</v>
      </c>
      <c r="B100" s="164" t="s">
        <v>6791</v>
      </c>
      <c r="C100" s="136"/>
      <c r="D100" s="136"/>
      <c r="E100" s="136"/>
      <c r="F100" s="136"/>
      <c r="G100" s="133"/>
      <c r="H100" s="164"/>
      <c r="I100" s="164"/>
      <c r="J100" s="133"/>
      <c r="K100" s="135"/>
      <c r="L100" s="128"/>
      <c r="M100" s="227"/>
      <c r="N100" s="227"/>
      <c r="O100" s="227"/>
      <c r="P100" s="227"/>
      <c r="Q100" s="227"/>
      <c r="R100" s="227"/>
      <c r="S100" s="227"/>
      <c r="T100" s="227"/>
      <c r="U100" s="227"/>
      <c r="V100" s="227"/>
      <c r="W100" s="227"/>
      <c r="X100" s="227"/>
      <c r="Y100" s="227"/>
      <c r="Z100" s="227"/>
      <c r="AA100"/>
      <c r="AB100"/>
      <c r="AC100"/>
      <c r="AD100"/>
      <c r="AE100"/>
      <c r="AF100"/>
      <c r="AG100"/>
      <c r="AH100"/>
      <c r="AI100"/>
    </row>
    <row r="101" spans="1:35" s="213" customFormat="1" ht="13.2" x14ac:dyDescent="0.25">
      <c r="A101" s="164" t="s">
        <v>709</v>
      </c>
      <c r="B101" s="164" t="s">
        <v>710</v>
      </c>
      <c r="C101" s="136"/>
      <c r="D101" s="136"/>
      <c r="E101" s="136"/>
      <c r="F101" s="136"/>
      <c r="G101" s="133"/>
      <c r="H101" s="164"/>
      <c r="I101" s="164"/>
      <c r="J101" s="133"/>
      <c r="K101" s="135"/>
      <c r="L101" s="128"/>
      <c r="M101" s="227"/>
      <c r="N101" s="227"/>
      <c r="O101" s="227"/>
      <c r="P101" s="227"/>
      <c r="Q101" s="227"/>
      <c r="R101" s="227"/>
      <c r="S101" s="227"/>
      <c r="T101" s="227"/>
      <c r="U101" s="227"/>
      <c r="V101" s="227"/>
      <c r="W101" s="227"/>
      <c r="X101" s="227"/>
      <c r="Y101" s="227"/>
      <c r="Z101" s="227"/>
      <c r="AA101"/>
      <c r="AB101"/>
      <c r="AC101"/>
      <c r="AD101"/>
      <c r="AE101"/>
      <c r="AF101"/>
      <c r="AG101"/>
      <c r="AH101"/>
      <c r="AI101"/>
    </row>
    <row r="102" spans="1:35" s="213" customFormat="1" ht="20.399999999999999" x14ac:dyDescent="0.25">
      <c r="A102" s="164" t="s">
        <v>1785</v>
      </c>
      <c r="B102" s="164" t="s">
        <v>1770</v>
      </c>
      <c r="C102" s="136"/>
      <c r="D102" s="136"/>
      <c r="E102" s="136"/>
      <c r="F102" s="136"/>
      <c r="G102" s="133">
        <v>2</v>
      </c>
      <c r="H102" s="164"/>
      <c r="I102" s="164"/>
      <c r="J102" s="133"/>
      <c r="K102" s="135"/>
      <c r="L102" s="128"/>
      <c r="M102" s="227"/>
      <c r="N102" s="227"/>
      <c r="O102" s="227"/>
      <c r="P102" s="227"/>
      <c r="Q102" s="227"/>
      <c r="R102" s="227"/>
      <c r="S102" s="227"/>
      <c r="T102" s="227"/>
      <c r="U102" s="227"/>
      <c r="V102" s="227"/>
      <c r="W102" s="227"/>
      <c r="X102" s="227"/>
      <c r="Y102" s="227"/>
      <c r="Z102" s="227"/>
      <c r="AA102">
        <f>IF(AND('2 Phy'!C102&gt;Tmin, NOT('2 Phy'!$I102="")),'2 Phy'!$I102,0)</f>
        <v>0</v>
      </c>
      <c r="AB102">
        <f>IF(AND('2 Phy'!D102&gt;Tmin, NOT('2 Phy'!$I102="")),'2 Phy'!$I102,0)</f>
        <v>0</v>
      </c>
      <c r="AC102">
        <f>IF(AND('2 Phy'!E102&gt;Tmin, NOT('2 Phy'!$I102="")),'2 Phy'!$I102,0)</f>
        <v>0</v>
      </c>
      <c r="AD102">
        <f>IF(AND('2 Phy'!F102&gt;Tmin, NOT('2 Phy'!$I102="")),'2 Phy'!$I102,0)</f>
        <v>0</v>
      </c>
      <c r="AE102">
        <f>IF(AND('2 Phy'!C102&lt;Tmax, NOT('2 Phy'!$H102="")),'2 Phy'!$H102,4)</f>
        <v>4</v>
      </c>
      <c r="AF102">
        <f>IF(AND('2 Phy'!D102&lt;Tmax, NOT('2 Phy'!$H102="")),'2 Phy'!$H102,4)</f>
        <v>4</v>
      </c>
      <c r="AG102">
        <f>IF(AND('2 Phy'!E102&lt;Tmax, NOT('2 Phy'!$H102="")),'2 Phy'!$H102,4)</f>
        <v>4</v>
      </c>
      <c r="AH102">
        <f>IF(AND('2 Phy'!F102&lt;Tmax, NOT('2 Phy'!$H102="")),'2 Phy'!$H102,4)</f>
        <v>4</v>
      </c>
      <c r="AI102"/>
    </row>
    <row r="103" spans="1:35" ht="20.399999999999999" x14ac:dyDescent="0.2">
      <c r="A103" s="164" t="s">
        <v>1786</v>
      </c>
      <c r="B103" s="164" t="s">
        <v>1771</v>
      </c>
      <c r="C103" s="136"/>
      <c r="D103" s="136"/>
      <c r="E103" s="136"/>
      <c r="F103" s="136"/>
      <c r="G103" s="133">
        <v>2</v>
      </c>
      <c r="H103" s="164">
        <v>3</v>
      </c>
      <c r="I103" s="164"/>
      <c r="J103" s="133"/>
      <c r="K103" s="135"/>
      <c r="AA103">
        <f>IF(AND('2 Phy'!C103&gt;Tmin, NOT('2 Phy'!$I103="")),'2 Phy'!$I103,0)</f>
        <v>0</v>
      </c>
      <c r="AB103">
        <f>IF(AND('2 Phy'!D103&gt;Tmin, NOT('2 Phy'!$I103="")),'2 Phy'!$I103,0)</f>
        <v>0</v>
      </c>
      <c r="AC103">
        <f>IF(AND('2 Phy'!E103&gt;Tmin, NOT('2 Phy'!$I103="")),'2 Phy'!$I103,0)</f>
        <v>0</v>
      </c>
      <c r="AD103">
        <f>IF(AND('2 Phy'!F103&gt;Tmin, NOT('2 Phy'!$I103="")),'2 Phy'!$I103,0)</f>
        <v>0</v>
      </c>
      <c r="AE103">
        <f>IF(AND('2 Phy'!C103&lt;Tmax, NOT('2 Phy'!$H103="")),'2 Phy'!$H103,4)</f>
        <v>3</v>
      </c>
      <c r="AF103">
        <f>IF(AND('2 Phy'!D103&lt;Tmax, NOT('2 Phy'!$H103="")),'2 Phy'!$H103,4)</f>
        <v>3</v>
      </c>
      <c r="AG103">
        <f>IF(AND('2 Phy'!E103&lt;Tmax, NOT('2 Phy'!$H103="")),'2 Phy'!$H103,4)</f>
        <v>3</v>
      </c>
      <c r="AH103">
        <f>IF(AND('2 Phy'!F103&lt;Tmax, NOT('2 Phy'!$H103="")),'2 Phy'!$H103,4)</f>
        <v>3</v>
      </c>
      <c r="AI103"/>
    </row>
    <row r="104" spans="1:35" s="213" customFormat="1" ht="20.399999999999999" x14ac:dyDescent="0.25">
      <c r="A104" s="164" t="s">
        <v>1787</v>
      </c>
      <c r="B104" s="164" t="s">
        <v>2299</v>
      </c>
      <c r="C104" s="136"/>
      <c r="D104" s="136"/>
      <c r="E104" s="136"/>
      <c r="F104" s="136"/>
      <c r="G104" s="133">
        <v>4</v>
      </c>
      <c r="H104" s="164">
        <v>2</v>
      </c>
      <c r="I104" s="164"/>
      <c r="J104" s="133"/>
      <c r="K104" s="135"/>
      <c r="L104" s="128"/>
      <c r="M104" s="227"/>
      <c r="N104" s="227"/>
      <c r="O104" s="227"/>
      <c r="P104" s="227"/>
      <c r="Q104" s="227"/>
      <c r="R104" s="227"/>
      <c r="S104" s="227"/>
      <c r="T104" s="227"/>
      <c r="U104" s="227"/>
      <c r="V104" s="227"/>
      <c r="W104" s="227"/>
      <c r="X104" s="227"/>
      <c r="Y104" s="227"/>
      <c r="Z104" s="227"/>
      <c r="AA104">
        <f>IF(AND('2 Phy'!C104&gt;Tmin, NOT('2 Phy'!$I104="")),'2 Phy'!$I104,0)</f>
        <v>0</v>
      </c>
      <c r="AB104">
        <f>IF(AND('2 Phy'!D104&gt;Tmin, NOT('2 Phy'!$I104="")),'2 Phy'!$I104,0)</f>
        <v>0</v>
      </c>
      <c r="AC104">
        <f>IF(AND('2 Phy'!E104&gt;Tmin, NOT('2 Phy'!$I104="")),'2 Phy'!$I104,0)</f>
        <v>0</v>
      </c>
      <c r="AD104">
        <f>IF(AND('2 Phy'!F104&gt;Tmin, NOT('2 Phy'!$I104="")),'2 Phy'!$I104,0)</f>
        <v>0</v>
      </c>
      <c r="AE104">
        <f>IF(AND('2 Phy'!C104&lt;Tmax, NOT('2 Phy'!$H104="")),'2 Phy'!$H104,4)</f>
        <v>2</v>
      </c>
      <c r="AF104">
        <f>IF(AND('2 Phy'!D104&lt;Tmax, NOT('2 Phy'!$H104="")),'2 Phy'!$H104,4)</f>
        <v>2</v>
      </c>
      <c r="AG104">
        <f>IF(AND('2 Phy'!E104&lt;Tmax, NOT('2 Phy'!$H104="")),'2 Phy'!$H104,4)</f>
        <v>2</v>
      </c>
      <c r="AH104">
        <f>IF(AND('2 Phy'!F104&lt;Tmax, NOT('2 Phy'!$H104="")),'2 Phy'!$H104,4)</f>
        <v>2</v>
      </c>
      <c r="AI104"/>
    </row>
    <row r="105" spans="1:35" s="213" customFormat="1" ht="20.399999999999999" x14ac:dyDescent="0.25">
      <c r="A105" s="164" t="s">
        <v>1788</v>
      </c>
      <c r="B105" s="164" t="s">
        <v>1781</v>
      </c>
      <c r="C105" s="136"/>
      <c r="D105" s="136"/>
      <c r="E105" s="136"/>
      <c r="F105" s="136"/>
      <c r="G105" s="133">
        <v>2</v>
      </c>
      <c r="H105" s="164"/>
      <c r="I105" s="164"/>
      <c r="J105" s="133"/>
      <c r="K105" s="135"/>
      <c r="L105" s="128"/>
      <c r="M105" s="227"/>
      <c r="N105" s="227"/>
      <c r="O105" s="227"/>
      <c r="P105" s="227"/>
      <c r="Q105" s="227"/>
      <c r="R105" s="227"/>
      <c r="S105" s="227"/>
      <c r="T105" s="227"/>
      <c r="U105" s="227"/>
      <c r="V105" s="227"/>
      <c r="W105" s="227"/>
      <c r="X105" s="227"/>
      <c r="Y105" s="227"/>
      <c r="Z105" s="227"/>
      <c r="AA105">
        <f>IF(AND('2 Phy'!C105&gt;Tmin, NOT('2 Phy'!$I105="")),'2 Phy'!$I105,0)</f>
        <v>0</v>
      </c>
      <c r="AB105">
        <f>IF(AND('2 Phy'!D105&gt;Tmin, NOT('2 Phy'!$I105="")),'2 Phy'!$I105,0)</f>
        <v>0</v>
      </c>
      <c r="AC105">
        <f>IF(AND('2 Phy'!E105&gt;Tmin, NOT('2 Phy'!$I105="")),'2 Phy'!$I105,0)</f>
        <v>0</v>
      </c>
      <c r="AD105">
        <f>IF(AND('2 Phy'!F105&gt;Tmin, NOT('2 Phy'!$I105="")),'2 Phy'!$I105,0)</f>
        <v>0</v>
      </c>
      <c r="AE105">
        <f>IF(AND('2 Phy'!C105&lt;Tmax, NOT('2 Phy'!$H105="")),'2 Phy'!$H105,4)</f>
        <v>4</v>
      </c>
      <c r="AF105">
        <f>IF(AND('2 Phy'!D105&lt;Tmax, NOT('2 Phy'!$H105="")),'2 Phy'!$H105,4)</f>
        <v>4</v>
      </c>
      <c r="AG105">
        <f>IF(AND('2 Phy'!E105&lt;Tmax, NOT('2 Phy'!$H105="")),'2 Phy'!$H105,4)</f>
        <v>4</v>
      </c>
      <c r="AH105">
        <f>IF(AND('2 Phy'!F105&lt;Tmax, NOT('2 Phy'!$H105="")),'2 Phy'!$H105,4)</f>
        <v>4</v>
      </c>
      <c r="AI105"/>
    </row>
    <row r="106" spans="1:35" s="213" customFormat="1" ht="13.2" x14ac:dyDescent="0.25">
      <c r="A106" s="164" t="s">
        <v>1789</v>
      </c>
      <c r="B106" s="164" t="s">
        <v>1782</v>
      </c>
      <c r="C106" s="136"/>
      <c r="D106" s="136"/>
      <c r="E106" s="136"/>
      <c r="F106" s="136"/>
      <c r="G106" s="133">
        <v>3</v>
      </c>
      <c r="H106" s="164"/>
      <c r="I106" s="164"/>
      <c r="J106" s="133"/>
      <c r="K106" s="135"/>
      <c r="L106" s="128"/>
      <c r="M106" s="227"/>
      <c r="N106" s="227"/>
      <c r="O106" s="227"/>
      <c r="P106" s="227"/>
      <c r="Q106" s="227"/>
      <c r="R106" s="227"/>
      <c r="S106" s="227"/>
      <c r="T106" s="227"/>
      <c r="U106" s="227"/>
      <c r="V106" s="227"/>
      <c r="W106" s="227"/>
      <c r="X106" s="227"/>
      <c r="Y106" s="227"/>
      <c r="Z106" s="227"/>
      <c r="AA106">
        <f>IF(AND('2 Phy'!C106&gt;Tmin, NOT('2 Phy'!$I106="")),'2 Phy'!$I106,0)</f>
        <v>0</v>
      </c>
      <c r="AB106">
        <f>IF(AND('2 Phy'!D106&gt;Tmin, NOT('2 Phy'!$I106="")),'2 Phy'!$I106,0)</f>
        <v>0</v>
      </c>
      <c r="AC106">
        <f>IF(AND('2 Phy'!E106&gt;Tmin, NOT('2 Phy'!$I106="")),'2 Phy'!$I106,0)</f>
        <v>0</v>
      </c>
      <c r="AD106">
        <f>IF(AND('2 Phy'!F106&gt;Tmin, NOT('2 Phy'!$I106="")),'2 Phy'!$I106,0)</f>
        <v>0</v>
      </c>
      <c r="AE106">
        <f>IF(AND('2 Phy'!C106&lt;Tmax, NOT('2 Phy'!$H106="")),'2 Phy'!$H106,4)</f>
        <v>4</v>
      </c>
      <c r="AF106">
        <f>IF(AND('2 Phy'!D106&lt;Tmax, NOT('2 Phy'!$H106="")),'2 Phy'!$H106,4)</f>
        <v>4</v>
      </c>
      <c r="AG106">
        <f>IF(AND('2 Phy'!E106&lt;Tmax, NOT('2 Phy'!$H106="")),'2 Phy'!$H106,4)</f>
        <v>4</v>
      </c>
      <c r="AH106">
        <f>IF(AND('2 Phy'!F106&lt;Tmax, NOT('2 Phy'!$H106="")),'2 Phy'!$H106,4)</f>
        <v>4</v>
      </c>
      <c r="AI106"/>
    </row>
    <row r="107" spans="1:35" s="213" customFormat="1" ht="20.399999999999999" x14ac:dyDescent="0.25">
      <c r="A107" s="164" t="s">
        <v>1790</v>
      </c>
      <c r="B107" s="164" t="s">
        <v>1783</v>
      </c>
      <c r="C107" s="136"/>
      <c r="D107" s="136"/>
      <c r="E107" s="136"/>
      <c r="F107" s="136"/>
      <c r="G107" s="133">
        <v>2</v>
      </c>
      <c r="H107" s="164"/>
      <c r="I107" s="164"/>
      <c r="J107" s="133"/>
      <c r="K107" s="135"/>
      <c r="L107" s="128"/>
      <c r="M107" s="227"/>
      <c r="N107" s="227"/>
      <c r="O107" s="227"/>
      <c r="P107" s="227"/>
      <c r="Q107" s="227"/>
      <c r="R107" s="227"/>
      <c r="S107" s="227"/>
      <c r="T107" s="227"/>
      <c r="U107" s="227"/>
      <c r="V107" s="227"/>
      <c r="W107" s="227"/>
      <c r="X107" s="227"/>
      <c r="Y107" s="227"/>
      <c r="Z107" s="227"/>
      <c r="AA107">
        <f>IF(AND('2 Phy'!C107&gt;Tmin, NOT('2 Phy'!$I107="")),'2 Phy'!$I107,0)</f>
        <v>0</v>
      </c>
      <c r="AB107">
        <f>IF(AND('2 Phy'!D107&gt;Tmin, NOT('2 Phy'!$I107="")),'2 Phy'!$I107,0)</f>
        <v>0</v>
      </c>
      <c r="AC107">
        <f>IF(AND('2 Phy'!E107&gt;Tmin, NOT('2 Phy'!$I107="")),'2 Phy'!$I107,0)</f>
        <v>0</v>
      </c>
      <c r="AD107">
        <f>IF(AND('2 Phy'!F107&gt;Tmin, NOT('2 Phy'!$I107="")),'2 Phy'!$I107,0)</f>
        <v>0</v>
      </c>
      <c r="AE107">
        <f>IF(AND('2 Phy'!C107&lt;Tmax, NOT('2 Phy'!$H107="")),'2 Phy'!$H107,4)</f>
        <v>4</v>
      </c>
      <c r="AF107">
        <f>IF(AND('2 Phy'!D107&lt;Tmax, NOT('2 Phy'!$H107="")),'2 Phy'!$H107,4)</f>
        <v>4</v>
      </c>
      <c r="AG107">
        <f>IF(AND('2 Phy'!E107&lt;Tmax, NOT('2 Phy'!$H107="")),'2 Phy'!$H107,4)</f>
        <v>4</v>
      </c>
      <c r="AH107">
        <f>IF(AND('2 Phy'!F107&lt;Tmax, NOT('2 Phy'!$H107="")),'2 Phy'!$H107,4)</f>
        <v>4</v>
      </c>
      <c r="AI107"/>
    </row>
    <row r="108" spans="1:35" s="213" customFormat="1" ht="13.2" x14ac:dyDescent="0.25">
      <c r="A108" s="164" t="s">
        <v>1791</v>
      </c>
      <c r="B108" s="164" t="s">
        <v>1772</v>
      </c>
      <c r="C108" s="136"/>
      <c r="D108" s="136"/>
      <c r="E108" s="136"/>
      <c r="F108" s="136"/>
      <c r="G108" s="133">
        <v>2</v>
      </c>
      <c r="H108" s="164"/>
      <c r="I108" s="164"/>
      <c r="J108" s="133"/>
      <c r="K108" s="135"/>
      <c r="L108" s="128"/>
      <c r="M108" s="227"/>
      <c r="N108" s="227"/>
      <c r="O108" s="227"/>
      <c r="P108" s="227"/>
      <c r="Q108" s="227"/>
      <c r="R108" s="227"/>
      <c r="S108" s="227"/>
      <c r="T108" s="227"/>
      <c r="U108" s="227"/>
      <c r="V108" s="227"/>
      <c r="W108" s="227"/>
      <c r="X108" s="227"/>
      <c r="Y108" s="227"/>
      <c r="Z108" s="227"/>
      <c r="AA108">
        <f>IF(AND('2 Phy'!C108&gt;Tmin, NOT('2 Phy'!$I108="")),'2 Phy'!$I108,0)</f>
        <v>0</v>
      </c>
      <c r="AB108">
        <f>IF(AND('2 Phy'!D108&gt;Tmin, NOT('2 Phy'!$I108="")),'2 Phy'!$I108,0)</f>
        <v>0</v>
      </c>
      <c r="AC108">
        <f>IF(AND('2 Phy'!E108&gt;Tmin, NOT('2 Phy'!$I108="")),'2 Phy'!$I108,0)</f>
        <v>0</v>
      </c>
      <c r="AD108">
        <f>IF(AND('2 Phy'!F108&gt;Tmin, NOT('2 Phy'!$I108="")),'2 Phy'!$I108,0)</f>
        <v>0</v>
      </c>
      <c r="AE108">
        <f>IF(AND('2 Phy'!C108&lt;Tmax, NOT('2 Phy'!$H108="")),'2 Phy'!$H108,4)</f>
        <v>4</v>
      </c>
      <c r="AF108">
        <f>IF(AND('2 Phy'!D108&lt;Tmax, NOT('2 Phy'!$H108="")),'2 Phy'!$H108,4)</f>
        <v>4</v>
      </c>
      <c r="AG108">
        <f>IF(AND('2 Phy'!E108&lt;Tmax, NOT('2 Phy'!$H108="")),'2 Phy'!$H108,4)</f>
        <v>4</v>
      </c>
      <c r="AH108">
        <f>IF(AND('2 Phy'!F108&lt;Tmax, NOT('2 Phy'!$H108="")),'2 Phy'!$H108,4)</f>
        <v>4</v>
      </c>
      <c r="AI108"/>
    </row>
    <row r="109" spans="1:35" ht="20.399999999999999" x14ac:dyDescent="0.2">
      <c r="A109" s="164" t="s">
        <v>1792</v>
      </c>
      <c r="B109" s="164" t="s">
        <v>1773</v>
      </c>
      <c r="C109" s="136"/>
      <c r="D109" s="136"/>
      <c r="E109" s="136"/>
      <c r="F109" s="136"/>
      <c r="G109" s="133">
        <v>3</v>
      </c>
      <c r="H109" s="164"/>
      <c r="I109" s="164"/>
      <c r="J109" s="133"/>
      <c r="K109" s="135"/>
      <c r="AA109">
        <f>IF(AND('2 Phy'!C109&gt;Tmin, NOT('2 Phy'!$I109="")),'2 Phy'!$I109,0)</f>
        <v>0</v>
      </c>
      <c r="AB109">
        <f>IF(AND('2 Phy'!D109&gt;Tmin, NOT('2 Phy'!$I109="")),'2 Phy'!$I109,0)</f>
        <v>0</v>
      </c>
      <c r="AC109">
        <f>IF(AND('2 Phy'!E109&gt;Tmin, NOT('2 Phy'!$I109="")),'2 Phy'!$I109,0)</f>
        <v>0</v>
      </c>
      <c r="AD109">
        <f>IF(AND('2 Phy'!F109&gt;Tmin, NOT('2 Phy'!$I109="")),'2 Phy'!$I109,0)</f>
        <v>0</v>
      </c>
      <c r="AE109">
        <f>IF(AND('2 Phy'!C109&lt;Tmax, NOT('2 Phy'!$H109="")),'2 Phy'!$H109,4)</f>
        <v>4</v>
      </c>
      <c r="AF109">
        <f>IF(AND('2 Phy'!D109&lt;Tmax, NOT('2 Phy'!$H109="")),'2 Phy'!$H109,4)</f>
        <v>4</v>
      </c>
      <c r="AG109">
        <f>IF(AND('2 Phy'!E109&lt;Tmax, NOT('2 Phy'!$H109="")),'2 Phy'!$H109,4)</f>
        <v>4</v>
      </c>
      <c r="AH109">
        <f>IF(AND('2 Phy'!F109&lt;Tmax, NOT('2 Phy'!$H109="")),'2 Phy'!$H109,4)</f>
        <v>4</v>
      </c>
      <c r="AI109"/>
    </row>
    <row r="110" spans="1:35" ht="20.399999999999999" x14ac:dyDescent="0.2">
      <c r="A110" s="164" t="s">
        <v>1793</v>
      </c>
      <c r="B110" s="164" t="s">
        <v>1774</v>
      </c>
      <c r="C110" s="136"/>
      <c r="D110" s="136"/>
      <c r="E110" s="136"/>
      <c r="F110" s="136"/>
      <c r="G110" s="133">
        <v>3</v>
      </c>
      <c r="H110" s="164"/>
      <c r="I110" s="164"/>
      <c r="J110" s="133"/>
      <c r="K110" s="135"/>
      <c r="AA110">
        <f>IF(AND('2 Phy'!C110&gt;Tmin, NOT('2 Phy'!$I110="")),'2 Phy'!$I110,0)</f>
        <v>0</v>
      </c>
      <c r="AB110">
        <f>IF(AND('2 Phy'!D110&gt;Tmin, NOT('2 Phy'!$I110="")),'2 Phy'!$I110,0)</f>
        <v>0</v>
      </c>
      <c r="AC110">
        <f>IF(AND('2 Phy'!E110&gt;Tmin, NOT('2 Phy'!$I110="")),'2 Phy'!$I110,0)</f>
        <v>0</v>
      </c>
      <c r="AD110">
        <f>IF(AND('2 Phy'!F110&gt;Tmin, NOT('2 Phy'!$I110="")),'2 Phy'!$I110,0)</f>
        <v>0</v>
      </c>
      <c r="AE110">
        <f>IF(AND('2 Phy'!C110&lt;Tmax, NOT('2 Phy'!$H110="")),'2 Phy'!$H110,4)</f>
        <v>4</v>
      </c>
      <c r="AF110">
        <f>IF(AND('2 Phy'!D110&lt;Tmax, NOT('2 Phy'!$H110="")),'2 Phy'!$H110,4)</f>
        <v>4</v>
      </c>
      <c r="AG110">
        <f>IF(AND('2 Phy'!E110&lt;Tmax, NOT('2 Phy'!$H110="")),'2 Phy'!$H110,4)</f>
        <v>4</v>
      </c>
      <c r="AH110">
        <f>IF(AND('2 Phy'!F110&lt;Tmax, NOT('2 Phy'!$H110="")),'2 Phy'!$H110,4)</f>
        <v>4</v>
      </c>
      <c r="AI110"/>
    </row>
    <row r="111" spans="1:35" ht="20.399999999999999" x14ac:dyDescent="0.2">
      <c r="A111" s="164" t="s">
        <v>1794</v>
      </c>
      <c r="B111" s="164" t="s">
        <v>1775</v>
      </c>
      <c r="C111" s="136"/>
      <c r="D111" s="136"/>
      <c r="E111" s="136"/>
      <c r="F111" s="136"/>
      <c r="G111" s="133">
        <v>2</v>
      </c>
      <c r="H111" s="164"/>
      <c r="I111" s="164"/>
      <c r="J111" s="133"/>
      <c r="K111" s="135"/>
      <c r="AA111">
        <f>IF(AND('2 Phy'!C111&gt;Tmin, NOT('2 Phy'!$I111="")),'2 Phy'!$I111,0)</f>
        <v>0</v>
      </c>
      <c r="AB111">
        <f>IF(AND('2 Phy'!D111&gt;Tmin, NOT('2 Phy'!$I111="")),'2 Phy'!$I111,0)</f>
        <v>0</v>
      </c>
      <c r="AC111">
        <f>IF(AND('2 Phy'!E111&gt;Tmin, NOT('2 Phy'!$I111="")),'2 Phy'!$I111,0)</f>
        <v>0</v>
      </c>
      <c r="AD111">
        <f>IF(AND('2 Phy'!F111&gt;Tmin, NOT('2 Phy'!$I111="")),'2 Phy'!$I111,0)</f>
        <v>0</v>
      </c>
      <c r="AE111">
        <f>IF(AND('2 Phy'!C111&lt;Tmax, NOT('2 Phy'!$H111="")),'2 Phy'!$H111,4)</f>
        <v>4</v>
      </c>
      <c r="AF111">
        <f>IF(AND('2 Phy'!D111&lt;Tmax, NOT('2 Phy'!$H111="")),'2 Phy'!$H111,4)</f>
        <v>4</v>
      </c>
      <c r="AG111">
        <f>IF(AND('2 Phy'!E111&lt;Tmax, NOT('2 Phy'!$H111="")),'2 Phy'!$H111,4)</f>
        <v>4</v>
      </c>
      <c r="AH111">
        <f>IF(AND('2 Phy'!F111&lt;Tmax, NOT('2 Phy'!$H111="")),'2 Phy'!$H111,4)</f>
        <v>4</v>
      </c>
      <c r="AI111"/>
    </row>
    <row r="112" spans="1:35" ht="20.399999999999999" x14ac:dyDescent="0.2">
      <c r="A112" s="164" t="s">
        <v>1795</v>
      </c>
      <c r="B112" s="164" t="s">
        <v>1776</v>
      </c>
      <c r="C112" s="136"/>
      <c r="D112" s="136"/>
      <c r="E112" s="136"/>
      <c r="F112" s="136"/>
      <c r="G112" s="133">
        <v>2</v>
      </c>
      <c r="H112" s="164">
        <v>3</v>
      </c>
      <c r="I112" s="164"/>
      <c r="J112" s="133"/>
      <c r="K112" s="135"/>
      <c r="AA112">
        <f>IF(AND('2 Phy'!C112&gt;Tmin, NOT('2 Phy'!$I112="")),'2 Phy'!$I112,0)</f>
        <v>0</v>
      </c>
      <c r="AB112">
        <f>IF(AND('2 Phy'!D112&gt;Tmin, NOT('2 Phy'!$I112="")),'2 Phy'!$I112,0)</f>
        <v>0</v>
      </c>
      <c r="AC112">
        <f>IF(AND('2 Phy'!E112&gt;Tmin, NOT('2 Phy'!$I112="")),'2 Phy'!$I112,0)</f>
        <v>0</v>
      </c>
      <c r="AD112">
        <f>IF(AND('2 Phy'!F112&gt;Tmin, NOT('2 Phy'!$I112="")),'2 Phy'!$I112,0)</f>
        <v>0</v>
      </c>
      <c r="AE112">
        <f>IF(AND('2 Phy'!C112&lt;Tmax, NOT('2 Phy'!$H112="")),'2 Phy'!$H112,4)</f>
        <v>3</v>
      </c>
      <c r="AF112">
        <f>IF(AND('2 Phy'!D112&lt;Tmax, NOT('2 Phy'!$H112="")),'2 Phy'!$H112,4)</f>
        <v>3</v>
      </c>
      <c r="AG112">
        <f>IF(AND('2 Phy'!E112&lt;Tmax, NOT('2 Phy'!$H112="")),'2 Phy'!$H112,4)</f>
        <v>3</v>
      </c>
      <c r="AH112">
        <f>IF(AND('2 Phy'!F112&lt;Tmax, NOT('2 Phy'!$H112="")),'2 Phy'!$H112,4)</f>
        <v>3</v>
      </c>
      <c r="AI112"/>
    </row>
    <row r="113" spans="1:35" ht="20.399999999999999" x14ac:dyDescent="0.2">
      <c r="A113" s="164" t="s">
        <v>1796</v>
      </c>
      <c r="B113" s="164" t="s">
        <v>1777</v>
      </c>
      <c r="C113" s="136"/>
      <c r="D113" s="136"/>
      <c r="E113" s="136"/>
      <c r="F113" s="136"/>
      <c r="G113" s="133">
        <v>4</v>
      </c>
      <c r="H113" s="164">
        <v>4</v>
      </c>
      <c r="I113" s="164"/>
      <c r="J113" s="133"/>
      <c r="K113" s="135"/>
      <c r="AA113">
        <f>IF(AND('2 Phy'!C113&gt;Tmin, NOT('2 Phy'!$I113="")),'2 Phy'!$I113,0)</f>
        <v>0</v>
      </c>
      <c r="AB113">
        <f>IF(AND('2 Phy'!D113&gt;Tmin, NOT('2 Phy'!$I113="")),'2 Phy'!$I113,0)</f>
        <v>0</v>
      </c>
      <c r="AC113">
        <f>IF(AND('2 Phy'!E113&gt;Tmin, NOT('2 Phy'!$I113="")),'2 Phy'!$I113,0)</f>
        <v>0</v>
      </c>
      <c r="AD113">
        <f>IF(AND('2 Phy'!F113&gt;Tmin, NOT('2 Phy'!$I113="")),'2 Phy'!$I113,0)</f>
        <v>0</v>
      </c>
      <c r="AE113">
        <f>IF(AND('2 Phy'!C113&lt;Tmax, NOT('2 Phy'!$H113="")),'2 Phy'!$H113,4)</f>
        <v>4</v>
      </c>
      <c r="AF113">
        <f>IF(AND('2 Phy'!D113&lt;Tmax, NOT('2 Phy'!$H113="")),'2 Phy'!$H113,4)</f>
        <v>4</v>
      </c>
      <c r="AG113">
        <f>IF(AND('2 Phy'!E113&lt;Tmax, NOT('2 Phy'!$H113="")),'2 Phy'!$H113,4)</f>
        <v>4</v>
      </c>
      <c r="AH113">
        <f>IF(AND('2 Phy'!F113&lt;Tmax, NOT('2 Phy'!$H113="")),'2 Phy'!$H113,4)</f>
        <v>4</v>
      </c>
      <c r="AI113"/>
    </row>
    <row r="114" spans="1:35" ht="20.399999999999999" x14ac:dyDescent="0.2">
      <c r="A114" s="164" t="s">
        <v>1797</v>
      </c>
      <c r="B114" s="164" t="s">
        <v>1778</v>
      </c>
      <c r="C114" s="136"/>
      <c r="D114" s="136"/>
      <c r="E114" s="136"/>
      <c r="F114" s="136"/>
      <c r="G114" s="133">
        <v>4</v>
      </c>
      <c r="H114" s="164">
        <v>3</v>
      </c>
      <c r="I114" s="164"/>
      <c r="J114" s="133"/>
      <c r="K114" s="135"/>
      <c r="AA114">
        <f>IF(AND('2 Phy'!C114&gt;Tmin, NOT('2 Phy'!$I114="")),'2 Phy'!$I114,0)</f>
        <v>0</v>
      </c>
      <c r="AB114">
        <f>IF(AND('2 Phy'!D114&gt;Tmin, NOT('2 Phy'!$I114="")),'2 Phy'!$I114,0)</f>
        <v>0</v>
      </c>
      <c r="AC114">
        <f>IF(AND('2 Phy'!E114&gt;Tmin, NOT('2 Phy'!$I114="")),'2 Phy'!$I114,0)</f>
        <v>0</v>
      </c>
      <c r="AD114">
        <f>IF(AND('2 Phy'!F114&gt;Tmin, NOT('2 Phy'!$I114="")),'2 Phy'!$I114,0)</f>
        <v>0</v>
      </c>
      <c r="AE114">
        <f>IF(AND('2 Phy'!C114&lt;Tmax, NOT('2 Phy'!$H114="")),'2 Phy'!$H114,4)</f>
        <v>3</v>
      </c>
      <c r="AF114">
        <f>IF(AND('2 Phy'!D114&lt;Tmax, NOT('2 Phy'!$H114="")),'2 Phy'!$H114,4)</f>
        <v>3</v>
      </c>
      <c r="AG114">
        <f>IF(AND('2 Phy'!E114&lt;Tmax, NOT('2 Phy'!$H114="")),'2 Phy'!$H114,4)</f>
        <v>3</v>
      </c>
      <c r="AH114">
        <f>IF(AND('2 Phy'!F114&lt;Tmax, NOT('2 Phy'!$H114="")),'2 Phy'!$H114,4)</f>
        <v>3</v>
      </c>
      <c r="AI114"/>
    </row>
    <row r="115" spans="1:35" s="213" customFormat="1" ht="20.399999999999999" x14ac:dyDescent="0.25">
      <c r="A115" s="164" t="s">
        <v>1798</v>
      </c>
      <c r="B115" s="164" t="s">
        <v>1779</v>
      </c>
      <c r="C115" s="136"/>
      <c r="D115" s="136"/>
      <c r="E115" s="136"/>
      <c r="F115" s="136"/>
      <c r="G115" s="133">
        <v>2</v>
      </c>
      <c r="H115" s="164"/>
      <c r="I115" s="164"/>
      <c r="J115" s="133"/>
      <c r="K115" s="135"/>
      <c r="L115" s="135"/>
      <c r="M115" s="227"/>
      <c r="N115" s="227"/>
      <c r="O115" s="227"/>
      <c r="P115" s="227"/>
      <c r="Q115" s="227"/>
      <c r="R115" s="227"/>
      <c r="S115" s="227"/>
      <c r="T115" s="227"/>
      <c r="U115" s="227"/>
      <c r="V115" s="227"/>
      <c r="W115" s="227"/>
      <c r="X115" s="227"/>
      <c r="Y115" s="227"/>
      <c r="Z115" s="227"/>
      <c r="AA115">
        <f>IF(AND('2 Phy'!C115&gt;Tmin, NOT('2 Phy'!$I115="")),'2 Phy'!$I115,0)</f>
        <v>0</v>
      </c>
      <c r="AB115">
        <f>IF(AND('2 Phy'!D115&gt;Tmin, NOT('2 Phy'!$I115="")),'2 Phy'!$I115,0)</f>
        <v>0</v>
      </c>
      <c r="AC115">
        <f>IF(AND('2 Phy'!E115&gt;Tmin, NOT('2 Phy'!$I115="")),'2 Phy'!$I115,0)</f>
        <v>0</v>
      </c>
      <c r="AD115">
        <f>IF(AND('2 Phy'!F115&gt;Tmin, NOT('2 Phy'!$I115="")),'2 Phy'!$I115,0)</f>
        <v>0</v>
      </c>
      <c r="AE115">
        <f>IF(AND('2 Phy'!C115&lt;Tmax, NOT('2 Phy'!$H115="")),'2 Phy'!$H115,4)</f>
        <v>4</v>
      </c>
      <c r="AF115">
        <f>IF(AND('2 Phy'!D115&lt;Tmax, NOT('2 Phy'!$H115="")),'2 Phy'!$H115,4)</f>
        <v>4</v>
      </c>
      <c r="AG115">
        <f>IF(AND('2 Phy'!E115&lt;Tmax, NOT('2 Phy'!$H115="")),'2 Phy'!$H115,4)</f>
        <v>4</v>
      </c>
      <c r="AH115">
        <f>IF(AND('2 Phy'!F115&lt;Tmax, NOT('2 Phy'!$H115="")),'2 Phy'!$H115,4)</f>
        <v>4</v>
      </c>
      <c r="AI115"/>
    </row>
    <row r="116" spans="1:35" s="213" customFormat="1" ht="20.399999999999999" x14ac:dyDescent="0.25">
      <c r="A116" s="164" t="s">
        <v>1799</v>
      </c>
      <c r="B116" s="164" t="s">
        <v>1780</v>
      </c>
      <c r="C116" s="136"/>
      <c r="D116" s="136"/>
      <c r="E116" s="136"/>
      <c r="F116" s="136"/>
      <c r="G116" s="133">
        <v>3</v>
      </c>
      <c r="H116" s="164"/>
      <c r="I116" s="164"/>
      <c r="J116" s="133"/>
      <c r="K116" s="135"/>
      <c r="L116" s="135"/>
      <c r="M116" s="227"/>
      <c r="N116" s="227"/>
      <c r="O116" s="227"/>
      <c r="P116" s="227"/>
      <c r="Q116" s="227"/>
      <c r="R116" s="227"/>
      <c r="S116" s="227"/>
      <c r="T116" s="227"/>
      <c r="U116" s="227"/>
      <c r="V116" s="227"/>
      <c r="W116" s="227"/>
      <c r="X116" s="227"/>
      <c r="Y116" s="227"/>
      <c r="Z116" s="227"/>
      <c r="AA116">
        <f>IF(AND('2 Phy'!C116&gt;Tmin, NOT('2 Phy'!$I116="")),'2 Phy'!$I116,0)</f>
        <v>0</v>
      </c>
      <c r="AB116">
        <f>IF(AND('2 Phy'!D116&gt;Tmin, NOT('2 Phy'!$I116="")),'2 Phy'!$I116,0)</f>
        <v>0</v>
      </c>
      <c r="AC116">
        <f>IF(AND('2 Phy'!E116&gt;Tmin, NOT('2 Phy'!$I116="")),'2 Phy'!$I116,0)</f>
        <v>0</v>
      </c>
      <c r="AD116">
        <f>IF(AND('2 Phy'!F116&gt;Tmin, NOT('2 Phy'!$I116="")),'2 Phy'!$I116,0)</f>
        <v>0</v>
      </c>
      <c r="AE116">
        <f>IF(AND('2 Phy'!C116&lt;Tmax, NOT('2 Phy'!$H116="")),'2 Phy'!$H116,4)</f>
        <v>4</v>
      </c>
      <c r="AF116">
        <f>IF(AND('2 Phy'!D116&lt;Tmax, NOT('2 Phy'!$H116="")),'2 Phy'!$H116,4)</f>
        <v>4</v>
      </c>
      <c r="AG116">
        <f>IF(AND('2 Phy'!E116&lt;Tmax, NOT('2 Phy'!$H116="")),'2 Phy'!$H116,4)</f>
        <v>4</v>
      </c>
      <c r="AH116">
        <f>IF(AND('2 Phy'!F116&lt;Tmax, NOT('2 Phy'!$H116="")),'2 Phy'!$H116,4)</f>
        <v>4</v>
      </c>
      <c r="AI116"/>
    </row>
    <row r="117" spans="1:35" s="213" customFormat="1" ht="30.6" x14ac:dyDescent="0.25">
      <c r="A117" s="164" t="s">
        <v>1800</v>
      </c>
      <c r="B117" s="164" t="s">
        <v>1784</v>
      </c>
      <c r="C117" s="136"/>
      <c r="D117" s="136"/>
      <c r="E117" s="136"/>
      <c r="F117" s="136"/>
      <c r="G117" s="133">
        <v>3</v>
      </c>
      <c r="H117" s="164"/>
      <c r="I117" s="164"/>
      <c r="J117" s="133"/>
      <c r="K117" s="135"/>
      <c r="L117" s="135"/>
      <c r="M117" s="227"/>
      <c r="N117" s="227"/>
      <c r="O117" s="227"/>
      <c r="P117" s="227"/>
      <c r="Q117" s="227"/>
      <c r="R117" s="227"/>
      <c r="S117" s="227"/>
      <c r="T117" s="227"/>
      <c r="U117" s="227"/>
      <c r="V117" s="227"/>
      <c r="W117" s="227"/>
      <c r="X117" s="227"/>
      <c r="Y117" s="227"/>
      <c r="Z117" s="227"/>
      <c r="AA117">
        <f>IF(AND('2 Phy'!C117&gt;Tmin, NOT('2 Phy'!$I117="")),'2 Phy'!$I117,0)</f>
        <v>0</v>
      </c>
      <c r="AB117">
        <f>IF(AND('2 Phy'!D117&gt;Tmin, NOT('2 Phy'!$I117="")),'2 Phy'!$I117,0)</f>
        <v>0</v>
      </c>
      <c r="AC117">
        <f>IF(AND('2 Phy'!E117&gt;Tmin, NOT('2 Phy'!$I117="")),'2 Phy'!$I117,0)</f>
        <v>0</v>
      </c>
      <c r="AD117">
        <f>IF(AND('2 Phy'!F117&gt;Tmin, NOT('2 Phy'!$I117="")),'2 Phy'!$I117,0)</f>
        <v>0</v>
      </c>
      <c r="AE117">
        <f>IF(AND('2 Phy'!C117&lt;Tmax, NOT('2 Phy'!$H117="")),'2 Phy'!$H117,4)</f>
        <v>4</v>
      </c>
      <c r="AF117">
        <f>IF(AND('2 Phy'!D117&lt;Tmax, NOT('2 Phy'!$H117="")),'2 Phy'!$H117,4)</f>
        <v>4</v>
      </c>
      <c r="AG117">
        <f>IF(AND('2 Phy'!E117&lt;Tmax, NOT('2 Phy'!$H117="")),'2 Phy'!$H117,4)</f>
        <v>4</v>
      </c>
      <c r="AH117">
        <f>IF(AND('2 Phy'!F117&lt;Tmax, NOT('2 Phy'!$H117="")),'2 Phy'!$H117,4)</f>
        <v>4</v>
      </c>
      <c r="AI117"/>
    </row>
    <row r="118" spans="1:35" s="213" customFormat="1" ht="13.2" x14ac:dyDescent="0.25">
      <c r="A118" s="164" t="s">
        <v>711</v>
      </c>
      <c r="B118" s="164" t="s">
        <v>372</v>
      </c>
      <c r="C118" s="136"/>
      <c r="D118" s="136"/>
      <c r="E118" s="136"/>
      <c r="F118" s="136"/>
      <c r="G118" s="133"/>
      <c r="H118" s="164"/>
      <c r="I118" s="164"/>
      <c r="J118" s="133"/>
      <c r="K118" s="135"/>
      <c r="L118" s="135"/>
      <c r="M118" s="227"/>
      <c r="N118" s="227"/>
      <c r="O118" s="227"/>
      <c r="P118" s="227"/>
      <c r="Q118" s="227"/>
      <c r="R118" s="227"/>
      <c r="S118" s="227"/>
      <c r="T118" s="227"/>
      <c r="U118" s="227"/>
      <c r="V118" s="227"/>
      <c r="W118" s="227"/>
      <c r="X118" s="227"/>
      <c r="Y118" s="227"/>
      <c r="Z118" s="227"/>
      <c r="AA118"/>
      <c r="AB118"/>
      <c r="AC118"/>
      <c r="AD118"/>
      <c r="AE118"/>
      <c r="AF118"/>
      <c r="AG118"/>
      <c r="AH118"/>
      <c r="AI118"/>
    </row>
    <row r="119" spans="1:35" s="213" customFormat="1" ht="40.799999999999997" x14ac:dyDescent="0.25">
      <c r="A119" s="164" t="s">
        <v>1663</v>
      </c>
      <c r="B119" s="164" t="s">
        <v>1664</v>
      </c>
      <c r="C119" s="136"/>
      <c r="D119" s="136"/>
      <c r="E119" s="136"/>
      <c r="F119" s="136"/>
      <c r="G119" s="133">
        <v>2</v>
      </c>
      <c r="H119" s="164"/>
      <c r="I119" s="164"/>
      <c r="J119" s="133"/>
      <c r="K119" s="135"/>
      <c r="L119" s="135"/>
      <c r="M119" s="227"/>
      <c r="N119" s="227"/>
      <c r="O119" s="227"/>
      <c r="P119" s="227"/>
      <c r="Q119" s="227"/>
      <c r="R119" s="227"/>
      <c r="S119" s="227"/>
      <c r="T119" s="227"/>
      <c r="U119" s="227"/>
      <c r="V119" s="227"/>
      <c r="W119" s="227"/>
      <c r="X119" s="227"/>
      <c r="Y119" s="227"/>
      <c r="Z119" s="227"/>
      <c r="AA119">
        <f>IF(AND('2 Phy'!C119&gt;Tmin, NOT('2 Phy'!$I119="")),'2 Phy'!$I119,0)</f>
        <v>0</v>
      </c>
      <c r="AB119">
        <f>IF(AND('2 Phy'!D119&gt;Tmin, NOT('2 Phy'!$I119="")),'2 Phy'!$I119,0)</f>
        <v>0</v>
      </c>
      <c r="AC119">
        <f>IF(AND('2 Phy'!E119&gt;Tmin, NOT('2 Phy'!$I119="")),'2 Phy'!$I119,0)</f>
        <v>0</v>
      </c>
      <c r="AD119">
        <f>IF(AND('2 Phy'!F119&gt;Tmin, NOT('2 Phy'!$I119="")),'2 Phy'!$I119,0)</f>
        <v>0</v>
      </c>
      <c r="AE119">
        <f>IF(AND('2 Phy'!C119&lt;Tmax, NOT('2 Phy'!$H119="")),'2 Phy'!$H119,4)</f>
        <v>4</v>
      </c>
      <c r="AF119">
        <f>IF(AND('2 Phy'!D119&lt;Tmax, NOT('2 Phy'!$H119="")),'2 Phy'!$H119,4)</f>
        <v>4</v>
      </c>
      <c r="AG119">
        <f>IF(AND('2 Phy'!E119&lt;Tmax, NOT('2 Phy'!$H119="")),'2 Phy'!$H119,4)</f>
        <v>4</v>
      </c>
      <c r="AH119">
        <f>IF(AND('2 Phy'!F119&lt;Tmax, NOT('2 Phy'!$H119="")),'2 Phy'!$H119,4)</f>
        <v>4</v>
      </c>
      <c r="AI119"/>
    </row>
    <row r="120" spans="1:35" s="213" customFormat="1" ht="40.799999999999997" x14ac:dyDescent="0.25">
      <c r="A120" s="164" t="s">
        <v>1665</v>
      </c>
      <c r="B120" s="164" t="s">
        <v>7206</v>
      </c>
      <c r="C120" s="136"/>
      <c r="D120" s="136"/>
      <c r="E120" s="136"/>
      <c r="F120" s="136"/>
      <c r="G120" s="133">
        <v>2</v>
      </c>
      <c r="H120" s="164"/>
      <c r="I120" s="164"/>
      <c r="J120" s="133"/>
      <c r="K120" s="135"/>
      <c r="L120" s="135"/>
      <c r="M120" s="227"/>
      <c r="N120" s="227"/>
      <c r="O120" s="227"/>
      <c r="P120" s="227"/>
      <c r="Q120" s="227"/>
      <c r="R120" s="227"/>
      <c r="S120" s="227"/>
      <c r="T120" s="227"/>
      <c r="U120" s="227"/>
      <c r="V120" s="227"/>
      <c r="W120" s="227"/>
      <c r="X120" s="227"/>
      <c r="Y120" s="227"/>
      <c r="Z120" s="227"/>
      <c r="AA120">
        <f>IF(AND('2 Phy'!C120&gt;Tmin, NOT('2 Phy'!$I120="")),'2 Phy'!$I120,0)</f>
        <v>0</v>
      </c>
      <c r="AB120">
        <f>IF(AND('2 Phy'!D120&gt;Tmin, NOT('2 Phy'!$I120="")),'2 Phy'!$I120,0)</f>
        <v>0</v>
      </c>
      <c r="AC120">
        <f>IF(AND('2 Phy'!E120&gt;Tmin, NOT('2 Phy'!$I120="")),'2 Phy'!$I120,0)</f>
        <v>0</v>
      </c>
      <c r="AD120">
        <f>IF(AND('2 Phy'!F120&gt;Tmin, NOT('2 Phy'!$I120="")),'2 Phy'!$I120,0)</f>
        <v>0</v>
      </c>
      <c r="AE120">
        <f>IF(AND('2 Phy'!C120&lt;Tmax, NOT('2 Phy'!$H120="")),'2 Phy'!$H120,4)</f>
        <v>4</v>
      </c>
      <c r="AF120">
        <f>IF(AND('2 Phy'!D120&lt;Tmax, NOT('2 Phy'!$H120="")),'2 Phy'!$H120,4)</f>
        <v>4</v>
      </c>
      <c r="AG120">
        <f>IF(AND('2 Phy'!E120&lt;Tmax, NOT('2 Phy'!$H120="")),'2 Phy'!$H120,4)</f>
        <v>4</v>
      </c>
      <c r="AH120">
        <f>IF(AND('2 Phy'!F120&lt;Tmax, NOT('2 Phy'!$H120="")),'2 Phy'!$H120,4)</f>
        <v>4</v>
      </c>
      <c r="AI120"/>
    </row>
    <row r="121" spans="1:35" s="213" customFormat="1" ht="20.399999999999999" x14ac:dyDescent="0.25">
      <c r="A121" s="164" t="s">
        <v>1666</v>
      </c>
      <c r="B121" s="164" t="s">
        <v>1667</v>
      </c>
      <c r="C121" s="136"/>
      <c r="D121" s="136"/>
      <c r="E121" s="136"/>
      <c r="F121" s="136"/>
      <c r="G121" s="133">
        <v>3</v>
      </c>
      <c r="H121" s="164"/>
      <c r="I121" s="164"/>
      <c r="J121" s="133"/>
      <c r="K121" s="135"/>
      <c r="L121" s="135"/>
      <c r="M121" s="227"/>
      <c r="N121" s="227"/>
      <c r="O121" s="227"/>
      <c r="P121" s="227"/>
      <c r="Q121" s="227"/>
      <c r="R121" s="227"/>
      <c r="S121" s="227"/>
      <c r="T121" s="227"/>
      <c r="U121" s="227"/>
      <c r="V121" s="227"/>
      <c r="W121" s="227"/>
      <c r="X121" s="227"/>
      <c r="Y121" s="227"/>
      <c r="Z121" s="227"/>
      <c r="AA121">
        <f>IF(AND('2 Phy'!C121&gt;Tmin, NOT('2 Phy'!$I121="")),'2 Phy'!$I121,0)</f>
        <v>0</v>
      </c>
      <c r="AB121">
        <f>IF(AND('2 Phy'!D121&gt;Tmin, NOT('2 Phy'!$I121="")),'2 Phy'!$I121,0)</f>
        <v>0</v>
      </c>
      <c r="AC121">
        <f>IF(AND('2 Phy'!E121&gt;Tmin, NOT('2 Phy'!$I121="")),'2 Phy'!$I121,0)</f>
        <v>0</v>
      </c>
      <c r="AD121">
        <f>IF(AND('2 Phy'!F121&gt;Tmin, NOT('2 Phy'!$I121="")),'2 Phy'!$I121,0)</f>
        <v>0</v>
      </c>
      <c r="AE121">
        <f>IF(AND('2 Phy'!C121&lt;Tmax, NOT('2 Phy'!$H121="")),'2 Phy'!$H121,4)</f>
        <v>4</v>
      </c>
      <c r="AF121">
        <f>IF(AND('2 Phy'!D121&lt;Tmax, NOT('2 Phy'!$H121="")),'2 Phy'!$H121,4)</f>
        <v>4</v>
      </c>
      <c r="AG121">
        <f>IF(AND('2 Phy'!E121&lt;Tmax, NOT('2 Phy'!$H121="")),'2 Phy'!$H121,4)</f>
        <v>4</v>
      </c>
      <c r="AH121">
        <f>IF(AND('2 Phy'!F121&lt;Tmax, NOT('2 Phy'!$H121="")),'2 Phy'!$H121,4)</f>
        <v>4</v>
      </c>
      <c r="AI121"/>
    </row>
    <row r="122" spans="1:35" s="213" customFormat="1" ht="20.399999999999999" x14ac:dyDescent="0.25">
      <c r="A122" s="164" t="s">
        <v>1668</v>
      </c>
      <c r="B122" s="164" t="s">
        <v>1628</v>
      </c>
      <c r="C122" s="136"/>
      <c r="D122" s="136"/>
      <c r="E122" s="136"/>
      <c r="F122" s="136"/>
      <c r="G122" s="133">
        <v>2</v>
      </c>
      <c r="H122" s="164"/>
      <c r="I122" s="164"/>
      <c r="J122" s="133"/>
      <c r="K122" s="135"/>
      <c r="L122" s="135"/>
      <c r="M122" s="227"/>
      <c r="N122" s="227"/>
      <c r="O122" s="227"/>
      <c r="P122" s="227"/>
      <c r="Q122" s="227"/>
      <c r="R122" s="227"/>
      <c r="S122" s="227"/>
      <c r="T122" s="227"/>
      <c r="U122" s="227"/>
      <c r="V122" s="227"/>
      <c r="W122" s="227"/>
      <c r="X122" s="227"/>
      <c r="Y122" s="227"/>
      <c r="Z122" s="227"/>
      <c r="AA122">
        <f>IF(AND('2 Phy'!C122&gt;Tmin, NOT('2 Phy'!$I122="")),'2 Phy'!$I122,0)</f>
        <v>0</v>
      </c>
      <c r="AB122">
        <f>IF(AND('2 Phy'!D122&gt;Tmin, NOT('2 Phy'!$I122="")),'2 Phy'!$I122,0)</f>
        <v>0</v>
      </c>
      <c r="AC122">
        <f>IF(AND('2 Phy'!E122&gt;Tmin, NOT('2 Phy'!$I122="")),'2 Phy'!$I122,0)</f>
        <v>0</v>
      </c>
      <c r="AD122">
        <f>IF(AND('2 Phy'!F122&gt;Tmin, NOT('2 Phy'!$I122="")),'2 Phy'!$I122,0)</f>
        <v>0</v>
      </c>
      <c r="AE122">
        <f>IF(AND('2 Phy'!C122&lt;Tmax, NOT('2 Phy'!$H122="")),'2 Phy'!$H122,4)</f>
        <v>4</v>
      </c>
      <c r="AF122">
        <f>IF(AND('2 Phy'!D122&lt;Tmax, NOT('2 Phy'!$H122="")),'2 Phy'!$H122,4)</f>
        <v>4</v>
      </c>
      <c r="AG122">
        <f>IF(AND('2 Phy'!E122&lt;Tmax, NOT('2 Phy'!$H122="")),'2 Phy'!$H122,4)</f>
        <v>4</v>
      </c>
      <c r="AH122">
        <f>IF(AND('2 Phy'!F122&lt;Tmax, NOT('2 Phy'!$H122="")),'2 Phy'!$H122,4)</f>
        <v>4</v>
      </c>
      <c r="AI122"/>
    </row>
    <row r="123" spans="1:35" s="213" customFormat="1" ht="20.399999999999999" x14ac:dyDescent="0.25">
      <c r="A123" s="164" t="s">
        <v>1669</v>
      </c>
      <c r="B123" s="164" t="s">
        <v>1629</v>
      </c>
      <c r="C123" s="136"/>
      <c r="D123" s="136"/>
      <c r="E123" s="136"/>
      <c r="F123" s="136"/>
      <c r="G123" s="133">
        <v>3</v>
      </c>
      <c r="H123" s="164"/>
      <c r="I123" s="164"/>
      <c r="J123" s="133"/>
      <c r="K123" s="135"/>
      <c r="L123" s="135"/>
      <c r="M123" s="227"/>
      <c r="N123" s="227"/>
      <c r="O123" s="227"/>
      <c r="P123" s="227"/>
      <c r="Q123" s="227"/>
      <c r="R123" s="227"/>
      <c r="S123" s="227"/>
      <c r="T123" s="227"/>
      <c r="U123" s="227"/>
      <c r="V123" s="227"/>
      <c r="W123" s="227"/>
      <c r="X123" s="227"/>
      <c r="Y123" s="227"/>
      <c r="Z123" s="227"/>
      <c r="AA123">
        <f>IF(AND('2 Phy'!C123&gt;Tmin, NOT('2 Phy'!$I123="")),'2 Phy'!$I123,0)</f>
        <v>0</v>
      </c>
      <c r="AB123">
        <f>IF(AND('2 Phy'!D123&gt;Tmin, NOT('2 Phy'!$I123="")),'2 Phy'!$I123,0)</f>
        <v>0</v>
      </c>
      <c r="AC123">
        <f>IF(AND('2 Phy'!E123&gt;Tmin, NOT('2 Phy'!$I123="")),'2 Phy'!$I123,0)</f>
        <v>0</v>
      </c>
      <c r="AD123">
        <f>IF(AND('2 Phy'!F123&gt;Tmin, NOT('2 Phy'!$I123="")),'2 Phy'!$I123,0)</f>
        <v>0</v>
      </c>
      <c r="AE123">
        <f>IF(AND('2 Phy'!C123&lt;Tmax, NOT('2 Phy'!$H123="")),'2 Phy'!$H123,4)</f>
        <v>4</v>
      </c>
      <c r="AF123">
        <f>IF(AND('2 Phy'!D123&lt;Tmax, NOT('2 Phy'!$H123="")),'2 Phy'!$H123,4)</f>
        <v>4</v>
      </c>
      <c r="AG123">
        <f>IF(AND('2 Phy'!E123&lt;Tmax, NOT('2 Phy'!$H123="")),'2 Phy'!$H123,4)</f>
        <v>4</v>
      </c>
      <c r="AH123">
        <f>IF(AND('2 Phy'!F123&lt;Tmax, NOT('2 Phy'!$H123="")),'2 Phy'!$H123,4)</f>
        <v>4</v>
      </c>
      <c r="AI123"/>
    </row>
    <row r="124" spans="1:35" s="213" customFormat="1" ht="20.399999999999999" x14ac:dyDescent="0.25">
      <c r="A124" s="164" t="s">
        <v>1670</v>
      </c>
      <c r="B124" s="164" t="s">
        <v>1671</v>
      </c>
      <c r="C124" s="136"/>
      <c r="D124" s="136"/>
      <c r="E124" s="136"/>
      <c r="F124" s="136"/>
      <c r="G124" s="133">
        <v>2</v>
      </c>
      <c r="H124" s="164"/>
      <c r="I124" s="164"/>
      <c r="J124" s="133"/>
      <c r="K124" s="135"/>
      <c r="L124" s="135"/>
      <c r="M124" s="227"/>
      <c r="N124" s="227"/>
      <c r="O124" s="227"/>
      <c r="P124" s="227"/>
      <c r="Q124" s="227"/>
      <c r="R124" s="227"/>
      <c r="S124" s="227"/>
      <c r="T124" s="227"/>
      <c r="U124" s="227"/>
      <c r="V124" s="227"/>
      <c r="W124" s="227"/>
      <c r="X124" s="227"/>
      <c r="Y124" s="227"/>
      <c r="Z124" s="227"/>
      <c r="AA124">
        <f>IF(AND('2 Phy'!C124&gt;Tmin, NOT('2 Phy'!$I124="")),'2 Phy'!$I124,0)</f>
        <v>0</v>
      </c>
      <c r="AB124">
        <f>IF(AND('2 Phy'!D124&gt;Tmin, NOT('2 Phy'!$I124="")),'2 Phy'!$I124,0)</f>
        <v>0</v>
      </c>
      <c r="AC124">
        <f>IF(AND('2 Phy'!E124&gt;Tmin, NOT('2 Phy'!$I124="")),'2 Phy'!$I124,0)</f>
        <v>0</v>
      </c>
      <c r="AD124">
        <f>IF(AND('2 Phy'!F124&gt;Tmin, NOT('2 Phy'!$I124="")),'2 Phy'!$I124,0)</f>
        <v>0</v>
      </c>
      <c r="AE124">
        <f>IF(AND('2 Phy'!C124&lt;Tmax, NOT('2 Phy'!$H124="")),'2 Phy'!$H124,4)</f>
        <v>4</v>
      </c>
      <c r="AF124">
        <f>IF(AND('2 Phy'!D124&lt;Tmax, NOT('2 Phy'!$H124="")),'2 Phy'!$H124,4)</f>
        <v>4</v>
      </c>
      <c r="AG124">
        <f>IF(AND('2 Phy'!E124&lt;Tmax, NOT('2 Phy'!$H124="")),'2 Phy'!$H124,4)</f>
        <v>4</v>
      </c>
      <c r="AH124">
        <f>IF(AND('2 Phy'!F124&lt;Tmax, NOT('2 Phy'!$H124="")),'2 Phy'!$H124,4)</f>
        <v>4</v>
      </c>
      <c r="AI124"/>
    </row>
    <row r="125" spans="1:35" s="213" customFormat="1" ht="13.2" x14ac:dyDescent="0.25">
      <c r="A125" s="164" t="s">
        <v>1672</v>
      </c>
      <c r="B125" s="164" t="s">
        <v>6759</v>
      </c>
      <c r="C125" s="136"/>
      <c r="D125" s="136"/>
      <c r="E125" s="136"/>
      <c r="F125" s="136"/>
      <c r="G125" s="133">
        <v>3</v>
      </c>
      <c r="H125" s="164"/>
      <c r="I125" s="164"/>
      <c r="J125" s="133"/>
      <c r="K125" s="135"/>
      <c r="L125" s="135"/>
      <c r="M125" s="227"/>
      <c r="N125" s="227"/>
      <c r="O125" s="227"/>
      <c r="P125" s="227"/>
      <c r="Q125" s="227"/>
      <c r="R125" s="227"/>
      <c r="S125" s="227"/>
      <c r="T125" s="227"/>
      <c r="U125" s="227"/>
      <c r="V125" s="227"/>
      <c r="W125" s="227"/>
      <c r="X125" s="227"/>
      <c r="Y125" s="227"/>
      <c r="Z125" s="227"/>
      <c r="AA125">
        <f>IF(AND('2 Phy'!C125&gt;Tmin, NOT('2 Phy'!$I125="")),'2 Phy'!$I125,0)</f>
        <v>0</v>
      </c>
      <c r="AB125">
        <f>IF(AND('2 Phy'!D125&gt;Tmin, NOT('2 Phy'!$I125="")),'2 Phy'!$I125,0)</f>
        <v>0</v>
      </c>
      <c r="AC125">
        <f>IF(AND('2 Phy'!E125&gt;Tmin, NOT('2 Phy'!$I125="")),'2 Phy'!$I125,0)</f>
        <v>0</v>
      </c>
      <c r="AD125">
        <f>IF(AND('2 Phy'!F125&gt;Tmin, NOT('2 Phy'!$I125="")),'2 Phy'!$I125,0)</f>
        <v>0</v>
      </c>
      <c r="AE125">
        <f>IF(AND('2 Phy'!C125&lt;Tmax, NOT('2 Phy'!$H125="")),'2 Phy'!$H125,4)</f>
        <v>4</v>
      </c>
      <c r="AF125">
        <f>IF(AND('2 Phy'!D125&lt;Tmax, NOT('2 Phy'!$H125="")),'2 Phy'!$H125,4)</f>
        <v>4</v>
      </c>
      <c r="AG125">
        <f>IF(AND('2 Phy'!E125&lt;Tmax, NOT('2 Phy'!$H125="")),'2 Phy'!$H125,4)</f>
        <v>4</v>
      </c>
      <c r="AH125">
        <f>IF(AND('2 Phy'!F125&lt;Tmax, NOT('2 Phy'!$H125="")),'2 Phy'!$H125,4)</f>
        <v>4</v>
      </c>
      <c r="AI125"/>
    </row>
    <row r="126" spans="1:35" s="213" customFormat="1" ht="13.2" x14ac:dyDescent="0.25">
      <c r="A126" s="164" t="s">
        <v>1673</v>
      </c>
      <c r="B126" s="164" t="s">
        <v>1674</v>
      </c>
      <c r="C126" s="136"/>
      <c r="D126" s="136"/>
      <c r="E126" s="136"/>
      <c r="F126" s="136"/>
      <c r="G126" s="133">
        <v>3</v>
      </c>
      <c r="H126" s="164"/>
      <c r="I126" s="164"/>
      <c r="J126" s="133"/>
      <c r="K126" s="135"/>
      <c r="L126" s="135"/>
      <c r="M126" s="227"/>
      <c r="N126" s="227"/>
      <c r="O126" s="227"/>
      <c r="P126" s="227"/>
      <c r="Q126" s="227"/>
      <c r="R126" s="227"/>
      <c r="S126" s="227"/>
      <c r="T126" s="227"/>
      <c r="U126" s="227"/>
      <c r="V126" s="227"/>
      <c r="W126" s="227"/>
      <c r="X126" s="227"/>
      <c r="Y126" s="227"/>
      <c r="Z126" s="227"/>
      <c r="AA126">
        <f>IF(AND('2 Phy'!C126&gt;Tmin, NOT('2 Phy'!$I126="")),'2 Phy'!$I126,0)</f>
        <v>0</v>
      </c>
      <c r="AB126">
        <f>IF(AND('2 Phy'!D126&gt;Tmin, NOT('2 Phy'!$I126="")),'2 Phy'!$I126,0)</f>
        <v>0</v>
      </c>
      <c r="AC126">
        <f>IF(AND('2 Phy'!E126&gt;Tmin, NOT('2 Phy'!$I126="")),'2 Phy'!$I126,0)</f>
        <v>0</v>
      </c>
      <c r="AD126">
        <f>IF(AND('2 Phy'!F126&gt;Tmin, NOT('2 Phy'!$I126="")),'2 Phy'!$I126,0)</f>
        <v>0</v>
      </c>
      <c r="AE126">
        <f>IF(AND('2 Phy'!C126&lt;Tmax, NOT('2 Phy'!$H126="")),'2 Phy'!$H126,4)</f>
        <v>4</v>
      </c>
      <c r="AF126">
        <f>IF(AND('2 Phy'!D126&lt;Tmax, NOT('2 Phy'!$H126="")),'2 Phy'!$H126,4)</f>
        <v>4</v>
      </c>
      <c r="AG126">
        <f>IF(AND('2 Phy'!E126&lt;Tmax, NOT('2 Phy'!$H126="")),'2 Phy'!$H126,4)</f>
        <v>4</v>
      </c>
      <c r="AH126">
        <f>IF(AND('2 Phy'!F126&lt;Tmax, NOT('2 Phy'!$H126="")),'2 Phy'!$H126,4)</f>
        <v>4</v>
      </c>
      <c r="AI126"/>
    </row>
    <row r="127" spans="1:35" s="213" customFormat="1" ht="13.2" x14ac:dyDescent="0.25">
      <c r="A127" s="164" t="s">
        <v>614</v>
      </c>
      <c r="B127" s="164" t="s">
        <v>373</v>
      </c>
      <c r="C127" s="136"/>
      <c r="D127" s="136"/>
      <c r="E127" s="136"/>
      <c r="F127" s="136"/>
      <c r="G127" s="133"/>
      <c r="H127" s="164"/>
      <c r="I127" s="164"/>
      <c r="J127" s="133"/>
      <c r="K127" s="135"/>
      <c r="L127" s="135"/>
      <c r="M127" s="227"/>
      <c r="N127" s="227"/>
      <c r="O127" s="227"/>
      <c r="P127" s="227"/>
      <c r="Q127" s="227"/>
      <c r="R127" s="227"/>
      <c r="S127" s="227"/>
      <c r="T127" s="227"/>
      <c r="U127" s="227"/>
      <c r="V127" s="227"/>
      <c r="W127" s="227"/>
      <c r="X127" s="227"/>
      <c r="Y127" s="227"/>
      <c r="Z127" s="227"/>
      <c r="AA127"/>
      <c r="AB127"/>
      <c r="AC127"/>
      <c r="AD127"/>
      <c r="AE127"/>
      <c r="AF127"/>
      <c r="AG127"/>
      <c r="AH127"/>
      <c r="AI127"/>
    </row>
    <row r="128" spans="1:35" s="213" customFormat="1" ht="30.6" x14ac:dyDescent="0.25">
      <c r="A128" s="164" t="s">
        <v>1675</v>
      </c>
      <c r="B128" s="164" t="s">
        <v>1676</v>
      </c>
      <c r="C128" s="136"/>
      <c r="D128" s="136"/>
      <c r="E128" s="136"/>
      <c r="F128" s="136"/>
      <c r="G128" s="133">
        <v>4</v>
      </c>
      <c r="H128" s="164">
        <v>3</v>
      </c>
      <c r="I128" s="164"/>
      <c r="J128" s="133"/>
      <c r="K128" s="135"/>
      <c r="L128" s="135"/>
      <c r="M128" s="227"/>
      <c r="N128" s="227"/>
      <c r="O128" s="227"/>
      <c r="P128" s="227"/>
      <c r="Q128" s="227"/>
      <c r="R128" s="227"/>
      <c r="S128" s="227"/>
      <c r="T128" s="227"/>
      <c r="U128" s="227"/>
      <c r="V128" s="227"/>
      <c r="W128" s="227"/>
      <c r="X128" s="227"/>
      <c r="Y128" s="227"/>
      <c r="Z128" s="227"/>
      <c r="AA128">
        <f>IF(AND('2 Phy'!C128&gt;Tmin, NOT('2 Phy'!$I128="")),'2 Phy'!$I128,0)</f>
        <v>0</v>
      </c>
      <c r="AB128">
        <f>IF(AND('2 Phy'!D128&gt;Tmin, NOT('2 Phy'!$I128="")),'2 Phy'!$I128,0)</f>
        <v>0</v>
      </c>
      <c r="AC128">
        <f>IF(AND('2 Phy'!E128&gt;Tmin, NOT('2 Phy'!$I128="")),'2 Phy'!$I128,0)</f>
        <v>0</v>
      </c>
      <c r="AD128">
        <f>IF(AND('2 Phy'!F128&gt;Tmin, NOT('2 Phy'!$I128="")),'2 Phy'!$I128,0)</f>
        <v>0</v>
      </c>
      <c r="AE128">
        <f>IF(AND('2 Phy'!C128&lt;Tmax, NOT('2 Phy'!$H128="")),'2 Phy'!$H128,4)</f>
        <v>3</v>
      </c>
      <c r="AF128">
        <f>IF(AND('2 Phy'!D128&lt;Tmax, NOT('2 Phy'!$H128="")),'2 Phy'!$H128,4)</f>
        <v>3</v>
      </c>
      <c r="AG128">
        <f>IF(AND('2 Phy'!E128&lt;Tmax, NOT('2 Phy'!$H128="")),'2 Phy'!$H128,4)</f>
        <v>3</v>
      </c>
      <c r="AH128">
        <f>IF(AND('2 Phy'!F128&lt;Tmax, NOT('2 Phy'!$H128="")),'2 Phy'!$H128,4)</f>
        <v>3</v>
      </c>
      <c r="AI128"/>
    </row>
    <row r="129" spans="1:35" s="213" customFormat="1" ht="20.399999999999999" x14ac:dyDescent="0.25">
      <c r="A129" s="164" t="s">
        <v>1677</v>
      </c>
      <c r="B129" s="164" t="s">
        <v>1678</v>
      </c>
      <c r="C129" s="136"/>
      <c r="D129" s="136"/>
      <c r="E129" s="136"/>
      <c r="F129" s="136"/>
      <c r="G129" s="133">
        <v>4</v>
      </c>
      <c r="H129" s="164"/>
      <c r="I129" s="164"/>
      <c r="J129" s="133"/>
      <c r="K129" s="135"/>
      <c r="L129" s="135"/>
      <c r="M129" s="227"/>
      <c r="N129" s="227"/>
      <c r="O129" s="227"/>
      <c r="P129" s="227"/>
      <c r="Q129" s="227"/>
      <c r="R129" s="227"/>
      <c r="S129" s="227"/>
      <c r="T129" s="227"/>
      <c r="U129" s="227"/>
      <c r="V129" s="227"/>
      <c r="W129" s="227"/>
      <c r="X129" s="227"/>
      <c r="Y129" s="227"/>
      <c r="Z129" s="227"/>
      <c r="AA129">
        <f>IF(AND('2 Phy'!C129&gt;Tmin, NOT('2 Phy'!$I129="")),'2 Phy'!$I129,0)</f>
        <v>0</v>
      </c>
      <c r="AB129">
        <f>IF(AND('2 Phy'!D129&gt;Tmin, NOT('2 Phy'!$I129="")),'2 Phy'!$I129,0)</f>
        <v>0</v>
      </c>
      <c r="AC129">
        <f>IF(AND('2 Phy'!E129&gt;Tmin, NOT('2 Phy'!$I129="")),'2 Phy'!$I129,0)</f>
        <v>0</v>
      </c>
      <c r="AD129">
        <f>IF(AND('2 Phy'!F129&gt;Tmin, NOT('2 Phy'!$I129="")),'2 Phy'!$I129,0)</f>
        <v>0</v>
      </c>
      <c r="AE129">
        <f>IF(AND('2 Phy'!C129&lt;Tmax, NOT('2 Phy'!$H129="")),'2 Phy'!$H129,4)</f>
        <v>4</v>
      </c>
      <c r="AF129">
        <f>IF(AND('2 Phy'!D129&lt;Tmax, NOT('2 Phy'!$H129="")),'2 Phy'!$H129,4)</f>
        <v>4</v>
      </c>
      <c r="AG129">
        <f>IF(AND('2 Phy'!E129&lt;Tmax, NOT('2 Phy'!$H129="")),'2 Phy'!$H129,4)</f>
        <v>4</v>
      </c>
      <c r="AH129">
        <f>IF(AND('2 Phy'!F129&lt;Tmax, NOT('2 Phy'!$H129="")),'2 Phy'!$H129,4)</f>
        <v>4</v>
      </c>
      <c r="AI129"/>
    </row>
    <row r="130" spans="1:35" s="213" customFormat="1" ht="20.399999999999999" x14ac:dyDescent="0.25">
      <c r="A130" s="164" t="s">
        <v>1679</v>
      </c>
      <c r="B130" s="164" t="s">
        <v>1629</v>
      </c>
      <c r="C130" s="136"/>
      <c r="D130" s="136"/>
      <c r="E130" s="136"/>
      <c r="F130" s="136"/>
      <c r="G130" s="133">
        <v>3</v>
      </c>
      <c r="H130" s="164"/>
      <c r="I130" s="164"/>
      <c r="J130" s="133"/>
      <c r="K130" s="135"/>
      <c r="L130" s="135"/>
      <c r="M130" s="227"/>
      <c r="N130" s="227"/>
      <c r="O130" s="227"/>
      <c r="P130" s="227"/>
      <c r="Q130" s="227"/>
      <c r="R130" s="227"/>
      <c r="S130" s="227"/>
      <c r="T130" s="227"/>
      <c r="U130" s="227"/>
      <c r="V130" s="227"/>
      <c r="W130" s="227"/>
      <c r="X130" s="227"/>
      <c r="Y130" s="227"/>
      <c r="Z130" s="227"/>
      <c r="AA130">
        <f>IF(AND('2 Phy'!C130&gt;Tmin, NOT('2 Phy'!$I130="")),'2 Phy'!$I130,0)</f>
        <v>0</v>
      </c>
      <c r="AB130">
        <f>IF(AND('2 Phy'!D130&gt;Tmin, NOT('2 Phy'!$I130="")),'2 Phy'!$I130,0)</f>
        <v>0</v>
      </c>
      <c r="AC130">
        <f>IF(AND('2 Phy'!E130&gt;Tmin, NOT('2 Phy'!$I130="")),'2 Phy'!$I130,0)</f>
        <v>0</v>
      </c>
      <c r="AD130">
        <f>IF(AND('2 Phy'!F130&gt;Tmin, NOT('2 Phy'!$I130="")),'2 Phy'!$I130,0)</f>
        <v>0</v>
      </c>
      <c r="AE130">
        <f>IF(AND('2 Phy'!C130&lt;Tmax, NOT('2 Phy'!$H130="")),'2 Phy'!$H130,4)</f>
        <v>4</v>
      </c>
      <c r="AF130">
        <f>IF(AND('2 Phy'!D130&lt;Tmax, NOT('2 Phy'!$H130="")),'2 Phy'!$H130,4)</f>
        <v>4</v>
      </c>
      <c r="AG130">
        <f>IF(AND('2 Phy'!E130&lt;Tmax, NOT('2 Phy'!$H130="")),'2 Phy'!$H130,4)</f>
        <v>4</v>
      </c>
      <c r="AH130">
        <f>IF(AND('2 Phy'!F130&lt;Tmax, NOT('2 Phy'!$H130="")),'2 Phy'!$H130,4)</f>
        <v>4</v>
      </c>
      <c r="AI130"/>
    </row>
    <row r="131" spans="1:35" ht="13.2" x14ac:dyDescent="0.2">
      <c r="A131" s="164" t="s">
        <v>1680</v>
      </c>
      <c r="B131" s="164" t="s">
        <v>1681</v>
      </c>
      <c r="C131" s="136"/>
      <c r="D131" s="136"/>
      <c r="E131" s="136"/>
      <c r="F131" s="136"/>
      <c r="G131" s="133">
        <v>2</v>
      </c>
      <c r="H131" s="164"/>
      <c r="I131" s="164"/>
      <c r="J131" s="133"/>
      <c r="K131" s="135"/>
      <c r="AA131">
        <f>IF(AND('2 Phy'!C131&gt;Tmin, NOT('2 Phy'!$I131="")),'2 Phy'!$I131,0)</f>
        <v>0</v>
      </c>
      <c r="AB131">
        <f>IF(AND('2 Phy'!D131&gt;Tmin, NOT('2 Phy'!$I131="")),'2 Phy'!$I131,0)</f>
        <v>0</v>
      </c>
      <c r="AC131">
        <f>IF(AND('2 Phy'!E131&gt;Tmin, NOT('2 Phy'!$I131="")),'2 Phy'!$I131,0)</f>
        <v>0</v>
      </c>
      <c r="AD131">
        <f>IF(AND('2 Phy'!F131&gt;Tmin, NOT('2 Phy'!$I131="")),'2 Phy'!$I131,0)</f>
        <v>0</v>
      </c>
      <c r="AE131">
        <f>IF(AND('2 Phy'!C131&lt;Tmax, NOT('2 Phy'!$H131="")),'2 Phy'!$H131,4)</f>
        <v>4</v>
      </c>
      <c r="AF131">
        <f>IF(AND('2 Phy'!D131&lt;Tmax, NOT('2 Phy'!$H131="")),'2 Phy'!$H131,4)</f>
        <v>4</v>
      </c>
      <c r="AG131">
        <f>IF(AND('2 Phy'!E131&lt;Tmax, NOT('2 Phy'!$H131="")),'2 Phy'!$H131,4)</f>
        <v>4</v>
      </c>
      <c r="AH131">
        <f>IF(AND('2 Phy'!F131&lt;Tmax, NOT('2 Phy'!$H131="")),'2 Phy'!$H131,4)</f>
        <v>4</v>
      </c>
      <c r="AI131"/>
    </row>
    <row r="132" spans="1:35" ht="13.2" x14ac:dyDescent="0.2">
      <c r="A132" s="164" t="s">
        <v>1682</v>
      </c>
      <c r="B132" s="164" t="s">
        <v>1683</v>
      </c>
      <c r="C132" s="136"/>
      <c r="D132" s="136"/>
      <c r="E132" s="136"/>
      <c r="F132" s="136"/>
      <c r="G132" s="133">
        <v>2</v>
      </c>
      <c r="H132" s="164"/>
      <c r="I132" s="164"/>
      <c r="J132" s="133"/>
      <c r="K132" s="135"/>
      <c r="AA132">
        <f>IF(AND('2 Phy'!C132&gt;Tmin, NOT('2 Phy'!$I132="")),'2 Phy'!$I132,0)</f>
        <v>0</v>
      </c>
      <c r="AB132">
        <f>IF(AND('2 Phy'!D132&gt;Tmin, NOT('2 Phy'!$I132="")),'2 Phy'!$I132,0)</f>
        <v>0</v>
      </c>
      <c r="AC132">
        <f>IF(AND('2 Phy'!E132&gt;Tmin, NOT('2 Phy'!$I132="")),'2 Phy'!$I132,0)</f>
        <v>0</v>
      </c>
      <c r="AD132">
        <f>IF(AND('2 Phy'!F132&gt;Tmin, NOT('2 Phy'!$I132="")),'2 Phy'!$I132,0)</f>
        <v>0</v>
      </c>
      <c r="AE132">
        <f>IF(AND('2 Phy'!C132&lt;Tmax, NOT('2 Phy'!$H132="")),'2 Phy'!$H132,4)</f>
        <v>4</v>
      </c>
      <c r="AF132">
        <f>IF(AND('2 Phy'!D132&lt;Tmax, NOT('2 Phy'!$H132="")),'2 Phy'!$H132,4)</f>
        <v>4</v>
      </c>
      <c r="AG132">
        <f>IF(AND('2 Phy'!E132&lt;Tmax, NOT('2 Phy'!$H132="")),'2 Phy'!$H132,4)</f>
        <v>4</v>
      </c>
      <c r="AH132">
        <f>IF(AND('2 Phy'!F132&lt;Tmax, NOT('2 Phy'!$H132="")),'2 Phy'!$H132,4)</f>
        <v>4</v>
      </c>
      <c r="AI132"/>
    </row>
    <row r="133" spans="1:35" ht="20.399999999999999" x14ac:dyDescent="0.2">
      <c r="A133" s="164" t="s">
        <v>1684</v>
      </c>
      <c r="B133" s="164" t="s">
        <v>6760</v>
      </c>
      <c r="C133" s="136"/>
      <c r="D133" s="136"/>
      <c r="E133" s="136"/>
      <c r="F133" s="136"/>
      <c r="G133" s="133">
        <v>3</v>
      </c>
      <c r="H133" s="164"/>
      <c r="I133" s="164"/>
      <c r="J133" s="133"/>
      <c r="K133" s="135"/>
      <c r="AA133">
        <f>IF(AND('2 Phy'!C133&gt;Tmin, NOT('2 Phy'!$I133="")),'2 Phy'!$I133,0)</f>
        <v>0</v>
      </c>
      <c r="AB133">
        <f>IF(AND('2 Phy'!D133&gt;Tmin, NOT('2 Phy'!$I133="")),'2 Phy'!$I133,0)</f>
        <v>0</v>
      </c>
      <c r="AC133">
        <f>IF(AND('2 Phy'!E133&gt;Tmin, NOT('2 Phy'!$I133="")),'2 Phy'!$I133,0)</f>
        <v>0</v>
      </c>
      <c r="AD133">
        <f>IF(AND('2 Phy'!F133&gt;Tmin, NOT('2 Phy'!$I133="")),'2 Phy'!$I133,0)</f>
        <v>0</v>
      </c>
      <c r="AE133">
        <f>IF(AND('2 Phy'!C133&lt;Tmax, NOT('2 Phy'!$H133="")),'2 Phy'!$H133,4)</f>
        <v>4</v>
      </c>
      <c r="AF133">
        <f>IF(AND('2 Phy'!D133&lt;Tmax, NOT('2 Phy'!$H133="")),'2 Phy'!$H133,4)</f>
        <v>4</v>
      </c>
      <c r="AG133">
        <f>IF(AND('2 Phy'!E133&lt;Tmax, NOT('2 Phy'!$H133="")),'2 Phy'!$H133,4)</f>
        <v>4</v>
      </c>
      <c r="AH133">
        <f>IF(AND('2 Phy'!F133&lt;Tmax, NOT('2 Phy'!$H133="")),'2 Phy'!$H133,4)</f>
        <v>4</v>
      </c>
      <c r="AI133"/>
    </row>
    <row r="134" spans="1:35" ht="13.2" x14ac:dyDescent="0.2">
      <c r="A134" s="164" t="s">
        <v>1685</v>
      </c>
      <c r="B134" s="164" t="s">
        <v>1686</v>
      </c>
      <c r="C134" s="136"/>
      <c r="D134" s="136"/>
      <c r="E134" s="136"/>
      <c r="F134" s="136"/>
      <c r="G134" s="133">
        <v>3</v>
      </c>
      <c r="H134" s="164"/>
      <c r="I134" s="164"/>
      <c r="J134" s="133"/>
      <c r="K134" s="135"/>
      <c r="AA134">
        <f>IF(AND('2 Phy'!C134&gt;Tmin, NOT('2 Phy'!$I134="")),'2 Phy'!$I134,0)</f>
        <v>0</v>
      </c>
      <c r="AB134">
        <f>IF(AND('2 Phy'!D134&gt;Tmin, NOT('2 Phy'!$I134="")),'2 Phy'!$I134,0)</f>
        <v>0</v>
      </c>
      <c r="AC134">
        <f>IF(AND('2 Phy'!E134&gt;Tmin, NOT('2 Phy'!$I134="")),'2 Phy'!$I134,0)</f>
        <v>0</v>
      </c>
      <c r="AD134">
        <f>IF(AND('2 Phy'!F134&gt;Tmin, NOT('2 Phy'!$I134="")),'2 Phy'!$I134,0)</f>
        <v>0</v>
      </c>
      <c r="AE134">
        <f>IF(AND('2 Phy'!C134&lt;Tmax, NOT('2 Phy'!$H134="")),'2 Phy'!$H134,4)</f>
        <v>4</v>
      </c>
      <c r="AF134">
        <f>IF(AND('2 Phy'!D134&lt;Tmax, NOT('2 Phy'!$H134="")),'2 Phy'!$H134,4)</f>
        <v>4</v>
      </c>
      <c r="AG134">
        <f>IF(AND('2 Phy'!E134&lt;Tmax, NOT('2 Phy'!$H134="")),'2 Phy'!$H134,4)</f>
        <v>4</v>
      </c>
      <c r="AH134">
        <f>IF(AND('2 Phy'!F134&lt;Tmax, NOT('2 Phy'!$H134="")),'2 Phy'!$H134,4)</f>
        <v>4</v>
      </c>
      <c r="AI134"/>
    </row>
    <row r="135" spans="1:35" ht="20.399999999999999" x14ac:dyDescent="0.2">
      <c r="A135" s="164" t="s">
        <v>712</v>
      </c>
      <c r="B135" s="164" t="s">
        <v>7218</v>
      </c>
      <c r="C135" s="136"/>
      <c r="D135" s="136"/>
      <c r="E135" s="136"/>
      <c r="F135" s="136"/>
      <c r="G135" s="133"/>
      <c r="H135" s="164"/>
      <c r="I135" s="164"/>
      <c r="J135" s="133"/>
      <c r="K135" s="135"/>
      <c r="AA135"/>
      <c r="AB135"/>
      <c r="AC135"/>
      <c r="AD135"/>
      <c r="AE135"/>
      <c r="AF135"/>
      <c r="AG135"/>
      <c r="AH135"/>
      <c r="AI135"/>
    </row>
    <row r="136" spans="1:35" ht="30.6" x14ac:dyDescent="0.2">
      <c r="A136" s="164" t="s">
        <v>1687</v>
      </c>
      <c r="B136" s="164" t="s">
        <v>7207</v>
      </c>
      <c r="C136" s="136"/>
      <c r="D136" s="136"/>
      <c r="E136" s="136"/>
      <c r="F136" s="136"/>
      <c r="G136" s="133">
        <v>2</v>
      </c>
      <c r="H136" s="164"/>
      <c r="I136" s="164"/>
      <c r="J136" s="133" t="s">
        <v>7057</v>
      </c>
      <c r="K136" s="135"/>
      <c r="AA136">
        <f>IF(AND('2 Phy'!C136&gt;Tmin, NOT('2 Phy'!$I136="")),'2 Phy'!$I136,0)</f>
        <v>0</v>
      </c>
      <c r="AB136">
        <f>IF(AND('2 Phy'!D136&gt;Tmin, NOT('2 Phy'!$I136="")),'2 Phy'!$I136,0)</f>
        <v>0</v>
      </c>
      <c r="AC136">
        <f>IF(AND('2 Phy'!E136&gt;Tmin, NOT('2 Phy'!$I136="")),'2 Phy'!$I136,0)</f>
        <v>0</v>
      </c>
      <c r="AD136">
        <f>IF(AND('2 Phy'!F136&gt;Tmin, NOT('2 Phy'!$I136="")),'2 Phy'!$I136,0)</f>
        <v>0</v>
      </c>
      <c r="AE136">
        <f>IF(AND('2 Phy'!C136&lt;Tmax, NOT('2 Phy'!$H136="")),'2 Phy'!$H136,4)</f>
        <v>4</v>
      </c>
      <c r="AF136">
        <f>IF(AND('2 Phy'!D136&lt;Tmax, NOT('2 Phy'!$H136="")),'2 Phy'!$H136,4)</f>
        <v>4</v>
      </c>
      <c r="AG136">
        <f>IF(AND('2 Phy'!E136&lt;Tmax, NOT('2 Phy'!$H136="")),'2 Phy'!$H136,4)</f>
        <v>4</v>
      </c>
      <c r="AH136">
        <f>IF(AND('2 Phy'!F136&lt;Tmax, NOT('2 Phy'!$H136="")),'2 Phy'!$H136,4)</f>
        <v>4</v>
      </c>
      <c r="AI136"/>
    </row>
    <row r="137" spans="1:35" ht="20.399999999999999" x14ac:dyDescent="0.2">
      <c r="A137" s="164" t="s">
        <v>1688</v>
      </c>
      <c r="B137" s="164" t="s">
        <v>7208</v>
      </c>
      <c r="C137" s="136"/>
      <c r="D137" s="136"/>
      <c r="E137" s="136"/>
      <c r="F137" s="136"/>
      <c r="G137" s="133">
        <v>4</v>
      </c>
      <c r="H137" s="164"/>
      <c r="I137" s="164"/>
      <c r="J137" s="133" t="s">
        <v>7057</v>
      </c>
      <c r="K137" s="135"/>
      <c r="AA137">
        <f>IF(AND('2 Phy'!C137&gt;Tmin, NOT('2 Phy'!$I137="")),'2 Phy'!$I137,0)</f>
        <v>0</v>
      </c>
      <c r="AB137">
        <f>IF(AND('2 Phy'!D137&gt;Tmin, NOT('2 Phy'!$I137="")),'2 Phy'!$I137,0)</f>
        <v>0</v>
      </c>
      <c r="AC137">
        <f>IF(AND('2 Phy'!E137&gt;Tmin, NOT('2 Phy'!$I137="")),'2 Phy'!$I137,0)</f>
        <v>0</v>
      </c>
      <c r="AD137">
        <f>IF(AND('2 Phy'!F137&gt;Tmin, NOT('2 Phy'!$I137="")),'2 Phy'!$I137,0)</f>
        <v>0</v>
      </c>
      <c r="AE137">
        <f>IF(AND('2 Phy'!C137&lt;Tmax, NOT('2 Phy'!$H137="")),'2 Phy'!$H137,4)</f>
        <v>4</v>
      </c>
      <c r="AF137">
        <f>IF(AND('2 Phy'!D137&lt;Tmax, NOT('2 Phy'!$H137="")),'2 Phy'!$H137,4)</f>
        <v>4</v>
      </c>
      <c r="AG137">
        <f>IF(AND('2 Phy'!E137&lt;Tmax, NOT('2 Phy'!$H137="")),'2 Phy'!$H137,4)</f>
        <v>4</v>
      </c>
      <c r="AH137">
        <f>IF(AND('2 Phy'!F137&lt;Tmax, NOT('2 Phy'!$H137="")),'2 Phy'!$H137,4)</f>
        <v>4</v>
      </c>
      <c r="AI137"/>
    </row>
    <row r="138" spans="1:35" ht="20.399999999999999" x14ac:dyDescent="0.2">
      <c r="A138" s="164" t="s">
        <v>1689</v>
      </c>
      <c r="B138" s="164" t="s">
        <v>1690</v>
      </c>
      <c r="C138" s="136"/>
      <c r="D138" s="136"/>
      <c r="E138" s="136"/>
      <c r="F138" s="136"/>
      <c r="G138" s="133">
        <v>3</v>
      </c>
      <c r="H138" s="164"/>
      <c r="I138" s="164"/>
      <c r="J138" s="133"/>
      <c r="K138" s="135"/>
      <c r="AA138">
        <f>IF(AND('2 Phy'!C138&gt;Tmin, NOT('2 Phy'!$I138="")),'2 Phy'!$I138,0)</f>
        <v>0</v>
      </c>
      <c r="AB138">
        <f>IF(AND('2 Phy'!D138&gt;Tmin, NOT('2 Phy'!$I138="")),'2 Phy'!$I138,0)</f>
        <v>0</v>
      </c>
      <c r="AC138">
        <f>IF(AND('2 Phy'!E138&gt;Tmin, NOT('2 Phy'!$I138="")),'2 Phy'!$I138,0)</f>
        <v>0</v>
      </c>
      <c r="AD138">
        <f>IF(AND('2 Phy'!F138&gt;Tmin, NOT('2 Phy'!$I138="")),'2 Phy'!$I138,0)</f>
        <v>0</v>
      </c>
      <c r="AE138">
        <f>IF(AND('2 Phy'!C138&lt;Tmax, NOT('2 Phy'!$H138="")),'2 Phy'!$H138,4)</f>
        <v>4</v>
      </c>
      <c r="AF138">
        <f>IF(AND('2 Phy'!D138&lt;Tmax, NOT('2 Phy'!$H138="")),'2 Phy'!$H138,4)</f>
        <v>4</v>
      </c>
      <c r="AG138">
        <f>IF(AND('2 Phy'!E138&lt;Tmax, NOT('2 Phy'!$H138="")),'2 Phy'!$H138,4)</f>
        <v>4</v>
      </c>
      <c r="AH138">
        <f>IF(AND('2 Phy'!F138&lt;Tmax, NOT('2 Phy'!$H138="")),'2 Phy'!$H138,4)</f>
        <v>4</v>
      </c>
      <c r="AI138"/>
    </row>
    <row r="139" spans="1:35" ht="20.399999999999999" x14ac:dyDescent="0.2">
      <c r="A139" s="164" t="s">
        <v>1691</v>
      </c>
      <c r="B139" s="164" t="s">
        <v>1696</v>
      </c>
      <c r="C139" s="136"/>
      <c r="D139" s="136"/>
      <c r="E139" s="136"/>
      <c r="F139" s="136"/>
      <c r="G139" s="133">
        <v>3</v>
      </c>
      <c r="H139" s="164"/>
      <c r="I139" s="164"/>
      <c r="J139" s="133"/>
      <c r="K139" s="135"/>
      <c r="AA139">
        <f>IF(AND('2 Phy'!C139&gt;Tmin, NOT('2 Phy'!$I139="")),'2 Phy'!$I139,0)</f>
        <v>0</v>
      </c>
      <c r="AB139">
        <f>IF(AND('2 Phy'!D139&gt;Tmin, NOT('2 Phy'!$I139="")),'2 Phy'!$I139,0)</f>
        <v>0</v>
      </c>
      <c r="AC139">
        <f>IF(AND('2 Phy'!E139&gt;Tmin, NOT('2 Phy'!$I139="")),'2 Phy'!$I139,0)</f>
        <v>0</v>
      </c>
      <c r="AD139">
        <f>IF(AND('2 Phy'!F139&gt;Tmin, NOT('2 Phy'!$I139="")),'2 Phy'!$I139,0)</f>
        <v>0</v>
      </c>
      <c r="AE139">
        <f>IF(AND('2 Phy'!C139&lt;Tmax, NOT('2 Phy'!$H139="")),'2 Phy'!$H139,4)</f>
        <v>4</v>
      </c>
      <c r="AF139">
        <f>IF(AND('2 Phy'!D139&lt;Tmax, NOT('2 Phy'!$H139="")),'2 Phy'!$H139,4)</f>
        <v>4</v>
      </c>
      <c r="AG139">
        <f>IF(AND('2 Phy'!E139&lt;Tmax, NOT('2 Phy'!$H139="")),'2 Phy'!$H139,4)</f>
        <v>4</v>
      </c>
      <c r="AH139">
        <f>IF(AND('2 Phy'!F139&lt;Tmax, NOT('2 Phy'!$H139="")),'2 Phy'!$H139,4)</f>
        <v>4</v>
      </c>
      <c r="AI139"/>
    </row>
    <row r="140" spans="1:35" ht="30.6" x14ac:dyDescent="0.2">
      <c r="A140" s="164" t="s">
        <v>1693</v>
      </c>
      <c r="B140" s="164" t="s">
        <v>1692</v>
      </c>
      <c r="C140" s="136"/>
      <c r="D140" s="136"/>
      <c r="E140" s="136"/>
      <c r="F140" s="136"/>
      <c r="G140" s="133">
        <v>4</v>
      </c>
      <c r="H140" s="164"/>
      <c r="I140" s="164"/>
      <c r="J140" s="133"/>
      <c r="K140" s="135"/>
      <c r="AA140">
        <f>IF(AND('2 Phy'!C140&gt;Tmin, NOT('2 Phy'!$I140="")),'2 Phy'!$I140,0)</f>
        <v>0</v>
      </c>
      <c r="AB140">
        <f>IF(AND('2 Phy'!D140&gt;Tmin, NOT('2 Phy'!$I140="")),'2 Phy'!$I140,0)</f>
        <v>0</v>
      </c>
      <c r="AC140">
        <f>IF(AND('2 Phy'!E140&gt;Tmin, NOT('2 Phy'!$I140="")),'2 Phy'!$I140,0)</f>
        <v>0</v>
      </c>
      <c r="AD140">
        <f>IF(AND('2 Phy'!F140&gt;Tmin, NOT('2 Phy'!$I140="")),'2 Phy'!$I140,0)</f>
        <v>0</v>
      </c>
      <c r="AE140">
        <f>IF(AND('2 Phy'!C140&lt;Tmax, NOT('2 Phy'!$H140="")),'2 Phy'!$H140,4)</f>
        <v>4</v>
      </c>
      <c r="AF140">
        <f>IF(AND('2 Phy'!D140&lt;Tmax, NOT('2 Phy'!$H140="")),'2 Phy'!$H140,4)</f>
        <v>4</v>
      </c>
      <c r="AG140">
        <f>IF(AND('2 Phy'!E140&lt;Tmax, NOT('2 Phy'!$H140="")),'2 Phy'!$H140,4)</f>
        <v>4</v>
      </c>
      <c r="AH140">
        <f>IF(AND('2 Phy'!F140&lt;Tmax, NOT('2 Phy'!$H140="")),'2 Phy'!$H140,4)</f>
        <v>4</v>
      </c>
      <c r="AI140"/>
    </row>
    <row r="141" spans="1:35" ht="20.399999999999999" x14ac:dyDescent="0.2">
      <c r="A141" s="164" t="s">
        <v>1695</v>
      </c>
      <c r="B141" s="164" t="s">
        <v>1694</v>
      </c>
      <c r="C141" s="136"/>
      <c r="D141" s="136"/>
      <c r="E141" s="136"/>
      <c r="F141" s="136"/>
      <c r="G141" s="133">
        <v>2</v>
      </c>
      <c r="H141" s="164"/>
      <c r="I141" s="164"/>
      <c r="J141" s="133"/>
      <c r="K141" s="135"/>
      <c r="AA141">
        <f>IF(AND('2 Phy'!C141&gt;Tmin, NOT('2 Phy'!$I141="")),'2 Phy'!$I141,0)</f>
        <v>0</v>
      </c>
      <c r="AB141">
        <f>IF(AND('2 Phy'!D141&gt;Tmin, NOT('2 Phy'!$I141="")),'2 Phy'!$I141,0)</f>
        <v>0</v>
      </c>
      <c r="AC141">
        <f>IF(AND('2 Phy'!E141&gt;Tmin, NOT('2 Phy'!$I141="")),'2 Phy'!$I141,0)</f>
        <v>0</v>
      </c>
      <c r="AD141">
        <f>IF(AND('2 Phy'!F141&gt;Tmin, NOT('2 Phy'!$I141="")),'2 Phy'!$I141,0)</f>
        <v>0</v>
      </c>
      <c r="AE141">
        <f>IF(AND('2 Phy'!C141&lt;Tmax, NOT('2 Phy'!$H141="")),'2 Phy'!$H141,4)</f>
        <v>4</v>
      </c>
      <c r="AF141">
        <f>IF(AND('2 Phy'!D141&lt;Tmax, NOT('2 Phy'!$H141="")),'2 Phy'!$H141,4)</f>
        <v>4</v>
      </c>
      <c r="AG141">
        <f>IF(AND('2 Phy'!E141&lt;Tmax, NOT('2 Phy'!$H141="")),'2 Phy'!$H141,4)</f>
        <v>4</v>
      </c>
      <c r="AH141">
        <f>IF(AND('2 Phy'!F141&lt;Tmax, NOT('2 Phy'!$H141="")),'2 Phy'!$H141,4)</f>
        <v>4</v>
      </c>
      <c r="AI141"/>
    </row>
    <row r="142" spans="1:35" ht="13.2" x14ac:dyDescent="0.2">
      <c r="A142" s="164" t="s">
        <v>1697</v>
      </c>
      <c r="B142" s="164" t="s">
        <v>1698</v>
      </c>
      <c r="C142" s="136"/>
      <c r="D142" s="136"/>
      <c r="E142" s="136"/>
      <c r="F142" s="136"/>
      <c r="G142" s="133">
        <v>2</v>
      </c>
      <c r="H142" s="164"/>
      <c r="I142" s="164"/>
      <c r="J142" s="133"/>
      <c r="K142" s="135"/>
      <c r="AA142">
        <f>IF(AND('2 Phy'!C142&gt;Tmin, NOT('2 Phy'!$I142="")),'2 Phy'!$I142,0)</f>
        <v>0</v>
      </c>
      <c r="AB142">
        <f>IF(AND('2 Phy'!D142&gt;Tmin, NOT('2 Phy'!$I142="")),'2 Phy'!$I142,0)</f>
        <v>0</v>
      </c>
      <c r="AC142">
        <f>IF(AND('2 Phy'!E142&gt;Tmin, NOT('2 Phy'!$I142="")),'2 Phy'!$I142,0)</f>
        <v>0</v>
      </c>
      <c r="AD142">
        <f>IF(AND('2 Phy'!F142&gt;Tmin, NOT('2 Phy'!$I142="")),'2 Phy'!$I142,0)</f>
        <v>0</v>
      </c>
      <c r="AE142">
        <f>IF(AND('2 Phy'!C142&lt;Tmax, NOT('2 Phy'!$H142="")),'2 Phy'!$H142,4)</f>
        <v>4</v>
      </c>
      <c r="AF142">
        <f>IF(AND('2 Phy'!D142&lt;Tmax, NOT('2 Phy'!$H142="")),'2 Phy'!$H142,4)</f>
        <v>4</v>
      </c>
      <c r="AG142">
        <f>IF(AND('2 Phy'!E142&lt;Tmax, NOT('2 Phy'!$H142="")),'2 Phy'!$H142,4)</f>
        <v>4</v>
      </c>
      <c r="AH142">
        <f>IF(AND('2 Phy'!F142&lt;Tmax, NOT('2 Phy'!$H142="")),'2 Phy'!$H142,4)</f>
        <v>4</v>
      </c>
      <c r="AI142"/>
    </row>
    <row r="143" spans="1:35" ht="20.399999999999999" x14ac:dyDescent="0.2">
      <c r="A143" s="164" t="s">
        <v>1699</v>
      </c>
      <c r="B143" s="164" t="s">
        <v>1700</v>
      </c>
      <c r="C143" s="136"/>
      <c r="D143" s="136"/>
      <c r="E143" s="136"/>
      <c r="F143" s="136"/>
      <c r="G143" s="133">
        <v>3</v>
      </c>
      <c r="H143" s="164"/>
      <c r="I143" s="164"/>
      <c r="J143" s="133"/>
      <c r="K143" s="135"/>
      <c r="AA143">
        <f>IF(AND('2 Phy'!C143&gt;Tmin, NOT('2 Phy'!$I143="")),'2 Phy'!$I143,0)</f>
        <v>0</v>
      </c>
      <c r="AB143">
        <f>IF(AND('2 Phy'!D143&gt;Tmin, NOT('2 Phy'!$I143="")),'2 Phy'!$I143,0)</f>
        <v>0</v>
      </c>
      <c r="AC143">
        <f>IF(AND('2 Phy'!E143&gt;Tmin, NOT('2 Phy'!$I143="")),'2 Phy'!$I143,0)</f>
        <v>0</v>
      </c>
      <c r="AD143">
        <f>IF(AND('2 Phy'!F143&gt;Tmin, NOT('2 Phy'!$I143="")),'2 Phy'!$I143,0)</f>
        <v>0</v>
      </c>
      <c r="AE143">
        <f>IF(AND('2 Phy'!C143&lt;Tmax, NOT('2 Phy'!$H143="")),'2 Phy'!$H143,4)</f>
        <v>4</v>
      </c>
      <c r="AF143">
        <f>IF(AND('2 Phy'!D143&lt;Tmax, NOT('2 Phy'!$H143="")),'2 Phy'!$H143,4)</f>
        <v>4</v>
      </c>
      <c r="AG143">
        <f>IF(AND('2 Phy'!E143&lt;Tmax, NOT('2 Phy'!$H143="")),'2 Phy'!$H143,4)</f>
        <v>4</v>
      </c>
      <c r="AH143">
        <f>IF(AND('2 Phy'!F143&lt;Tmax, NOT('2 Phy'!$H143="")),'2 Phy'!$H143,4)</f>
        <v>4</v>
      </c>
      <c r="AI143"/>
    </row>
    <row r="144" spans="1:35" ht="13.2" x14ac:dyDescent="0.2">
      <c r="A144" s="164" t="s">
        <v>4459</v>
      </c>
      <c r="B144" s="164" t="s">
        <v>6750</v>
      </c>
      <c r="C144" s="136"/>
      <c r="D144" s="136"/>
      <c r="E144" s="136"/>
      <c r="F144" s="136"/>
      <c r="G144" s="133"/>
      <c r="H144" s="164"/>
      <c r="I144" s="164"/>
      <c r="J144" s="133"/>
      <c r="K144" s="135"/>
      <c r="AA144"/>
      <c r="AB144"/>
      <c r="AC144"/>
      <c r="AD144"/>
      <c r="AE144"/>
      <c r="AF144"/>
      <c r="AG144"/>
      <c r="AH144"/>
      <c r="AI144"/>
    </row>
    <row r="145" spans="1:35" ht="20.399999999999999" x14ac:dyDescent="0.2">
      <c r="A145" s="164" t="s">
        <v>4716</v>
      </c>
      <c r="B145" s="164" t="s">
        <v>6751</v>
      </c>
      <c r="C145" s="136"/>
      <c r="D145" s="136"/>
      <c r="E145" s="136"/>
      <c r="F145" s="136"/>
      <c r="G145" s="133">
        <v>2</v>
      </c>
      <c r="H145" s="164"/>
      <c r="I145" s="164"/>
      <c r="J145" s="133"/>
      <c r="K145" s="135"/>
      <c r="AA145">
        <f>IF(AND('2 Phy'!C145&gt;Tmin, NOT('2 Phy'!$I145="")),'2 Phy'!$I145,0)</f>
        <v>0</v>
      </c>
      <c r="AB145">
        <f>IF(AND('2 Phy'!D145&gt;Tmin, NOT('2 Phy'!$I145="")),'2 Phy'!$I145,0)</f>
        <v>0</v>
      </c>
      <c r="AC145">
        <f>IF(AND('2 Phy'!E145&gt;Tmin, NOT('2 Phy'!$I145="")),'2 Phy'!$I145,0)</f>
        <v>0</v>
      </c>
      <c r="AD145">
        <f>IF(AND('2 Phy'!F145&gt;Tmin, NOT('2 Phy'!$I145="")),'2 Phy'!$I145,0)</f>
        <v>0</v>
      </c>
      <c r="AE145">
        <f>IF(AND('2 Phy'!C145&lt;Tmax, NOT('2 Phy'!$H145="")),'2 Phy'!$H145,4)</f>
        <v>4</v>
      </c>
      <c r="AF145">
        <f>IF(AND('2 Phy'!D145&lt;Tmax, NOT('2 Phy'!$H145="")),'2 Phy'!$H145,4)</f>
        <v>4</v>
      </c>
      <c r="AG145">
        <f>IF(AND('2 Phy'!E145&lt;Tmax, NOT('2 Phy'!$H145="")),'2 Phy'!$H145,4)</f>
        <v>4</v>
      </c>
      <c r="AH145">
        <f>IF(AND('2 Phy'!F145&lt;Tmax, NOT('2 Phy'!$H145="")),'2 Phy'!$H145,4)</f>
        <v>4</v>
      </c>
      <c r="AI145"/>
    </row>
    <row r="146" spans="1:35" ht="13.2" x14ac:dyDescent="0.2">
      <c r="A146" s="164" t="s">
        <v>4717</v>
      </c>
      <c r="B146" s="164" t="s">
        <v>4714</v>
      </c>
      <c r="C146" s="136"/>
      <c r="D146" s="136"/>
      <c r="E146" s="136"/>
      <c r="F146" s="136"/>
      <c r="G146" s="133">
        <v>2</v>
      </c>
      <c r="H146" s="164">
        <v>3</v>
      </c>
      <c r="I146" s="164"/>
      <c r="J146" s="133"/>
      <c r="K146" s="135"/>
      <c r="AA146">
        <f>IF(AND('2 Phy'!C146&gt;Tmin, NOT('2 Phy'!$I146="")),'2 Phy'!$I146,0)</f>
        <v>0</v>
      </c>
      <c r="AB146">
        <f>IF(AND('2 Phy'!D146&gt;Tmin, NOT('2 Phy'!$I146="")),'2 Phy'!$I146,0)</f>
        <v>0</v>
      </c>
      <c r="AC146">
        <f>IF(AND('2 Phy'!E146&gt;Tmin, NOT('2 Phy'!$I146="")),'2 Phy'!$I146,0)</f>
        <v>0</v>
      </c>
      <c r="AD146">
        <f>IF(AND('2 Phy'!F146&gt;Tmin, NOT('2 Phy'!$I146="")),'2 Phy'!$I146,0)</f>
        <v>0</v>
      </c>
      <c r="AE146">
        <f>IF(AND('2 Phy'!C146&lt;Tmax, NOT('2 Phy'!$H146="")),'2 Phy'!$H146,4)</f>
        <v>3</v>
      </c>
      <c r="AF146">
        <f>IF(AND('2 Phy'!D146&lt;Tmax, NOT('2 Phy'!$H146="")),'2 Phy'!$H146,4)</f>
        <v>3</v>
      </c>
      <c r="AG146">
        <f>IF(AND('2 Phy'!E146&lt;Tmax, NOT('2 Phy'!$H146="")),'2 Phy'!$H146,4)</f>
        <v>3</v>
      </c>
      <c r="AH146">
        <f>IF(AND('2 Phy'!F146&lt;Tmax, NOT('2 Phy'!$H146="")),'2 Phy'!$H146,4)</f>
        <v>3</v>
      </c>
      <c r="AI146"/>
    </row>
    <row r="147" spans="1:35" ht="13.2" x14ac:dyDescent="0.2">
      <c r="A147" s="164" t="s">
        <v>4718</v>
      </c>
      <c r="B147" s="164" t="s">
        <v>4715</v>
      </c>
      <c r="C147" s="136"/>
      <c r="D147" s="136"/>
      <c r="E147" s="136"/>
      <c r="F147" s="136"/>
      <c r="G147" s="133">
        <v>3</v>
      </c>
      <c r="H147" s="164">
        <v>3</v>
      </c>
      <c r="I147" s="164"/>
      <c r="J147" s="133"/>
      <c r="K147" s="135"/>
      <c r="AA147">
        <f>IF(AND('2 Phy'!C147&gt;Tmin, NOT('2 Phy'!$I147="")),'2 Phy'!$I147,0)</f>
        <v>0</v>
      </c>
      <c r="AB147">
        <f>IF(AND('2 Phy'!D147&gt;Tmin, NOT('2 Phy'!$I147="")),'2 Phy'!$I147,0)</f>
        <v>0</v>
      </c>
      <c r="AC147">
        <f>IF(AND('2 Phy'!E147&gt;Tmin, NOT('2 Phy'!$I147="")),'2 Phy'!$I147,0)</f>
        <v>0</v>
      </c>
      <c r="AD147">
        <f>IF(AND('2 Phy'!F147&gt;Tmin, NOT('2 Phy'!$I147="")),'2 Phy'!$I147,0)</f>
        <v>0</v>
      </c>
      <c r="AE147">
        <f>IF(AND('2 Phy'!C147&lt;Tmax, NOT('2 Phy'!$H147="")),'2 Phy'!$H147,4)</f>
        <v>3</v>
      </c>
      <c r="AF147">
        <f>IF(AND('2 Phy'!D147&lt;Tmax, NOT('2 Phy'!$H147="")),'2 Phy'!$H147,4)</f>
        <v>3</v>
      </c>
      <c r="AG147">
        <f>IF(AND('2 Phy'!E147&lt;Tmax, NOT('2 Phy'!$H147="")),'2 Phy'!$H147,4)</f>
        <v>3</v>
      </c>
      <c r="AH147">
        <f>IF(AND('2 Phy'!F147&lt;Tmax, NOT('2 Phy'!$H147="")),'2 Phy'!$H147,4)</f>
        <v>3</v>
      </c>
      <c r="AI147"/>
    </row>
    <row r="148" spans="1:35" ht="20.399999999999999" x14ac:dyDescent="0.2">
      <c r="A148" s="164" t="s">
        <v>4719</v>
      </c>
      <c r="B148" s="164" t="s">
        <v>6752</v>
      </c>
      <c r="C148" s="136"/>
      <c r="D148" s="136"/>
      <c r="E148" s="136"/>
      <c r="F148" s="136"/>
      <c r="G148" s="133">
        <v>3</v>
      </c>
      <c r="H148" s="164">
        <v>3</v>
      </c>
      <c r="I148" s="164"/>
      <c r="J148" s="133"/>
      <c r="K148" s="135"/>
      <c r="AA148">
        <f>IF(AND('2 Phy'!C148&gt;Tmin, NOT('2 Phy'!$I148="")),'2 Phy'!$I148,0)</f>
        <v>0</v>
      </c>
      <c r="AB148">
        <f>IF(AND('2 Phy'!D148&gt;Tmin, NOT('2 Phy'!$I148="")),'2 Phy'!$I148,0)</f>
        <v>0</v>
      </c>
      <c r="AC148">
        <f>IF(AND('2 Phy'!E148&gt;Tmin, NOT('2 Phy'!$I148="")),'2 Phy'!$I148,0)</f>
        <v>0</v>
      </c>
      <c r="AD148">
        <f>IF(AND('2 Phy'!F148&gt;Tmin, NOT('2 Phy'!$I148="")),'2 Phy'!$I148,0)</f>
        <v>0</v>
      </c>
      <c r="AE148">
        <f>IF(AND('2 Phy'!C148&lt;Tmax, NOT('2 Phy'!$H148="")),'2 Phy'!$H148,4)</f>
        <v>3</v>
      </c>
      <c r="AF148">
        <f>IF(AND('2 Phy'!D148&lt;Tmax, NOT('2 Phy'!$H148="")),'2 Phy'!$H148,4)</f>
        <v>3</v>
      </c>
      <c r="AG148">
        <f>IF(AND('2 Phy'!E148&lt;Tmax, NOT('2 Phy'!$H148="")),'2 Phy'!$H148,4)</f>
        <v>3</v>
      </c>
      <c r="AH148">
        <f>IF(AND('2 Phy'!F148&lt;Tmax, NOT('2 Phy'!$H148="")),'2 Phy'!$H148,4)</f>
        <v>3</v>
      </c>
      <c r="AI148"/>
    </row>
    <row r="149" spans="1:35" ht="13.2" x14ac:dyDescent="0.2">
      <c r="A149" s="164" t="s">
        <v>4721</v>
      </c>
      <c r="B149" s="164" t="s">
        <v>4722</v>
      </c>
      <c r="C149" s="136"/>
      <c r="D149" s="136"/>
      <c r="E149" s="136"/>
      <c r="F149" s="136"/>
      <c r="G149" s="133">
        <v>3</v>
      </c>
      <c r="H149" s="164"/>
      <c r="I149" s="164"/>
      <c r="J149" s="133"/>
      <c r="K149" s="135"/>
      <c r="AA149">
        <f>IF(AND('2 Phy'!C149&gt;Tmin, NOT('2 Phy'!$I149="")),'2 Phy'!$I149,0)</f>
        <v>0</v>
      </c>
      <c r="AB149">
        <f>IF(AND('2 Phy'!D149&gt;Tmin, NOT('2 Phy'!$I149="")),'2 Phy'!$I149,0)</f>
        <v>0</v>
      </c>
      <c r="AC149">
        <f>IF(AND('2 Phy'!E149&gt;Tmin, NOT('2 Phy'!$I149="")),'2 Phy'!$I149,0)</f>
        <v>0</v>
      </c>
      <c r="AD149">
        <f>IF(AND('2 Phy'!F149&gt;Tmin, NOT('2 Phy'!$I149="")),'2 Phy'!$I149,0)</f>
        <v>0</v>
      </c>
      <c r="AE149">
        <f>IF(AND('2 Phy'!C149&lt;Tmax, NOT('2 Phy'!$H149="")),'2 Phy'!$H149,4)</f>
        <v>4</v>
      </c>
      <c r="AF149">
        <f>IF(AND('2 Phy'!D149&lt;Tmax, NOT('2 Phy'!$H149="")),'2 Phy'!$H149,4)</f>
        <v>4</v>
      </c>
      <c r="AG149">
        <f>IF(AND('2 Phy'!E149&lt;Tmax, NOT('2 Phy'!$H149="")),'2 Phy'!$H149,4)</f>
        <v>4</v>
      </c>
      <c r="AH149">
        <f>IF(AND('2 Phy'!F149&lt;Tmax, NOT('2 Phy'!$H149="")),'2 Phy'!$H149,4)</f>
        <v>4</v>
      </c>
      <c r="AI149"/>
    </row>
    <row r="150" spans="1:35" ht="20.399999999999999" x14ac:dyDescent="0.2">
      <c r="A150" s="164" t="s">
        <v>4723</v>
      </c>
      <c r="B150" s="164" t="s">
        <v>4720</v>
      </c>
      <c r="C150" s="136"/>
      <c r="D150" s="136"/>
      <c r="E150" s="136"/>
      <c r="F150" s="136"/>
      <c r="G150" s="133">
        <v>3</v>
      </c>
      <c r="H150" s="164">
        <v>3</v>
      </c>
      <c r="I150" s="164"/>
      <c r="J150" s="133"/>
      <c r="K150" s="135"/>
      <c r="AA150">
        <f>IF(AND('2 Phy'!C150&gt;Tmin, NOT('2 Phy'!$I150="")),'2 Phy'!$I150,0)</f>
        <v>0</v>
      </c>
      <c r="AB150">
        <f>IF(AND('2 Phy'!D150&gt;Tmin, NOT('2 Phy'!$I150="")),'2 Phy'!$I150,0)</f>
        <v>0</v>
      </c>
      <c r="AC150">
        <f>IF(AND('2 Phy'!E150&gt;Tmin, NOT('2 Phy'!$I150="")),'2 Phy'!$I150,0)</f>
        <v>0</v>
      </c>
      <c r="AD150">
        <f>IF(AND('2 Phy'!F150&gt;Tmin, NOT('2 Phy'!$I150="")),'2 Phy'!$I150,0)</f>
        <v>0</v>
      </c>
      <c r="AE150">
        <f>IF(AND('2 Phy'!C150&lt;Tmax, NOT('2 Phy'!$H150="")),'2 Phy'!$H150,4)</f>
        <v>3</v>
      </c>
      <c r="AF150">
        <f>IF(AND('2 Phy'!D150&lt;Tmax, NOT('2 Phy'!$H150="")),'2 Phy'!$H150,4)</f>
        <v>3</v>
      </c>
      <c r="AG150">
        <f>IF(AND('2 Phy'!E150&lt;Tmax, NOT('2 Phy'!$H150="")),'2 Phy'!$H150,4)</f>
        <v>3</v>
      </c>
      <c r="AH150">
        <f>IF(AND('2 Phy'!F150&lt;Tmax, NOT('2 Phy'!$H150="")),'2 Phy'!$H150,4)</f>
        <v>3</v>
      </c>
      <c r="AI150"/>
    </row>
    <row r="151" spans="1:35" ht="13.2" x14ac:dyDescent="0.2">
      <c r="A151" s="164" t="s">
        <v>1701</v>
      </c>
      <c r="B151" s="164" t="s">
        <v>6792</v>
      </c>
      <c r="C151" s="136"/>
      <c r="D151" s="136"/>
      <c r="E151" s="136"/>
      <c r="F151" s="136"/>
      <c r="G151" s="133"/>
      <c r="H151" s="164"/>
      <c r="I151" s="164"/>
      <c r="J151" s="133"/>
      <c r="K151" s="135"/>
      <c r="AA151"/>
      <c r="AB151"/>
      <c r="AC151"/>
      <c r="AD151"/>
      <c r="AE151"/>
      <c r="AF151"/>
      <c r="AG151"/>
      <c r="AH151"/>
      <c r="AI151"/>
    </row>
    <row r="152" spans="1:35" ht="13.2" x14ac:dyDescent="0.2">
      <c r="A152" s="164" t="s">
        <v>652</v>
      </c>
      <c r="B152" s="164" t="s">
        <v>6578</v>
      </c>
      <c r="C152" s="136"/>
      <c r="D152" s="136"/>
      <c r="E152" s="136"/>
      <c r="F152" s="136"/>
      <c r="G152" s="133"/>
      <c r="H152" s="164"/>
      <c r="I152" s="164"/>
      <c r="J152" s="133"/>
      <c r="K152" s="135"/>
      <c r="AA152"/>
      <c r="AB152"/>
      <c r="AC152"/>
      <c r="AD152"/>
      <c r="AE152"/>
      <c r="AF152"/>
      <c r="AG152"/>
      <c r="AH152"/>
      <c r="AI152"/>
    </row>
    <row r="153" spans="1:35" ht="40.799999999999997" x14ac:dyDescent="0.2">
      <c r="A153" s="164" t="s">
        <v>1803</v>
      </c>
      <c r="B153" s="164" t="s">
        <v>1815</v>
      </c>
      <c r="C153" s="136"/>
      <c r="D153" s="136"/>
      <c r="E153" s="136"/>
      <c r="F153" s="136"/>
      <c r="G153" s="133">
        <v>3</v>
      </c>
      <c r="H153" s="164"/>
      <c r="I153" s="164"/>
      <c r="J153" s="133"/>
      <c r="K153" s="135"/>
      <c r="AA153">
        <f>IF(AND('2 Phy'!C153&gt;Tmin, NOT('2 Phy'!$I153="")),'2 Phy'!$I153,0)</f>
        <v>0</v>
      </c>
      <c r="AB153">
        <f>IF(AND('2 Phy'!D153&gt;Tmin, NOT('2 Phy'!$I153="")),'2 Phy'!$I153,0)</f>
        <v>0</v>
      </c>
      <c r="AC153">
        <f>IF(AND('2 Phy'!E153&gt;Tmin, NOT('2 Phy'!$I153="")),'2 Phy'!$I153,0)</f>
        <v>0</v>
      </c>
      <c r="AD153">
        <f>IF(AND('2 Phy'!F153&gt;Tmin, NOT('2 Phy'!$I153="")),'2 Phy'!$I153,0)</f>
        <v>0</v>
      </c>
      <c r="AE153">
        <f>IF(AND('2 Phy'!C153&lt;Tmax, NOT('2 Phy'!$H153="")),'2 Phy'!$H153,4)</f>
        <v>4</v>
      </c>
      <c r="AF153">
        <f>IF(AND('2 Phy'!D153&lt;Tmax, NOT('2 Phy'!$H153="")),'2 Phy'!$H153,4)</f>
        <v>4</v>
      </c>
      <c r="AG153">
        <f>IF(AND('2 Phy'!E153&lt;Tmax, NOT('2 Phy'!$H153="")),'2 Phy'!$H153,4)</f>
        <v>4</v>
      </c>
      <c r="AH153">
        <f>IF(AND('2 Phy'!F153&lt;Tmax, NOT('2 Phy'!$H153="")),'2 Phy'!$H153,4)</f>
        <v>4</v>
      </c>
      <c r="AI153"/>
    </row>
    <row r="154" spans="1:35" ht="20.399999999999999" x14ac:dyDescent="0.2">
      <c r="A154" s="164" t="s">
        <v>1804</v>
      </c>
      <c r="B154" s="164" t="s">
        <v>1814</v>
      </c>
      <c r="C154" s="136"/>
      <c r="D154" s="136"/>
      <c r="E154" s="136"/>
      <c r="F154" s="136"/>
      <c r="G154" s="133">
        <v>4</v>
      </c>
      <c r="H154" s="164"/>
      <c r="I154" s="164"/>
      <c r="J154" s="133"/>
      <c r="K154" s="135"/>
      <c r="AA154">
        <f>IF(AND('2 Phy'!C154&gt;Tmin, NOT('2 Phy'!$I154="")),'2 Phy'!$I154,0)</f>
        <v>0</v>
      </c>
      <c r="AB154">
        <f>IF(AND('2 Phy'!D154&gt;Tmin, NOT('2 Phy'!$I154="")),'2 Phy'!$I154,0)</f>
        <v>0</v>
      </c>
      <c r="AC154">
        <f>IF(AND('2 Phy'!E154&gt;Tmin, NOT('2 Phy'!$I154="")),'2 Phy'!$I154,0)</f>
        <v>0</v>
      </c>
      <c r="AD154">
        <f>IF(AND('2 Phy'!F154&gt;Tmin, NOT('2 Phy'!$I154="")),'2 Phy'!$I154,0)</f>
        <v>0</v>
      </c>
      <c r="AE154">
        <f>IF(AND('2 Phy'!C154&lt;Tmax, NOT('2 Phy'!$H154="")),'2 Phy'!$H154,4)</f>
        <v>4</v>
      </c>
      <c r="AF154">
        <f>IF(AND('2 Phy'!D154&lt;Tmax, NOT('2 Phy'!$H154="")),'2 Phy'!$H154,4)</f>
        <v>4</v>
      </c>
      <c r="AG154">
        <f>IF(AND('2 Phy'!E154&lt;Tmax, NOT('2 Phy'!$H154="")),'2 Phy'!$H154,4)</f>
        <v>4</v>
      </c>
      <c r="AH154">
        <f>IF(AND('2 Phy'!F154&lt;Tmax, NOT('2 Phy'!$H154="")),'2 Phy'!$H154,4)</f>
        <v>4</v>
      </c>
      <c r="AI154"/>
    </row>
    <row r="155" spans="1:35" ht="20.399999999999999" x14ac:dyDescent="0.2">
      <c r="A155" s="164" t="s">
        <v>1805</v>
      </c>
      <c r="B155" s="164" t="s">
        <v>1809</v>
      </c>
      <c r="C155" s="136"/>
      <c r="D155" s="136"/>
      <c r="E155" s="136"/>
      <c r="F155" s="136"/>
      <c r="G155" s="133">
        <v>4</v>
      </c>
      <c r="H155" s="164"/>
      <c r="I155" s="164"/>
      <c r="J155" s="133"/>
      <c r="K155" s="135"/>
      <c r="AA155">
        <f>IF(AND('2 Phy'!C155&gt;Tmin, NOT('2 Phy'!$I155="")),'2 Phy'!$I155,0)</f>
        <v>0</v>
      </c>
      <c r="AB155">
        <f>IF(AND('2 Phy'!D155&gt;Tmin, NOT('2 Phy'!$I155="")),'2 Phy'!$I155,0)</f>
        <v>0</v>
      </c>
      <c r="AC155">
        <f>IF(AND('2 Phy'!E155&gt;Tmin, NOT('2 Phy'!$I155="")),'2 Phy'!$I155,0)</f>
        <v>0</v>
      </c>
      <c r="AD155">
        <f>IF(AND('2 Phy'!F155&gt;Tmin, NOT('2 Phy'!$I155="")),'2 Phy'!$I155,0)</f>
        <v>0</v>
      </c>
      <c r="AE155">
        <f>IF(AND('2 Phy'!C155&lt;Tmax, NOT('2 Phy'!$H155="")),'2 Phy'!$H155,4)</f>
        <v>4</v>
      </c>
      <c r="AF155">
        <f>IF(AND('2 Phy'!D155&lt;Tmax, NOT('2 Phy'!$H155="")),'2 Phy'!$H155,4)</f>
        <v>4</v>
      </c>
      <c r="AG155">
        <f>IF(AND('2 Phy'!E155&lt;Tmax, NOT('2 Phy'!$H155="")),'2 Phy'!$H155,4)</f>
        <v>4</v>
      </c>
      <c r="AH155">
        <f>IF(AND('2 Phy'!F155&lt;Tmax, NOT('2 Phy'!$H155="")),'2 Phy'!$H155,4)</f>
        <v>4</v>
      </c>
      <c r="AI155"/>
    </row>
    <row r="156" spans="1:35" ht="20.399999999999999" x14ac:dyDescent="0.2">
      <c r="A156" s="164" t="s">
        <v>1806</v>
      </c>
      <c r="B156" s="164" t="s">
        <v>1810</v>
      </c>
      <c r="C156" s="136"/>
      <c r="D156" s="136"/>
      <c r="E156" s="136"/>
      <c r="F156" s="136"/>
      <c r="G156" s="133">
        <v>4</v>
      </c>
      <c r="H156" s="164"/>
      <c r="I156" s="164"/>
      <c r="J156" s="133"/>
      <c r="K156" s="135"/>
      <c r="AA156">
        <f>IF(AND('2 Phy'!C156&gt;Tmin, NOT('2 Phy'!$I156="")),'2 Phy'!$I156,0)</f>
        <v>0</v>
      </c>
      <c r="AB156">
        <f>IF(AND('2 Phy'!D156&gt;Tmin, NOT('2 Phy'!$I156="")),'2 Phy'!$I156,0)</f>
        <v>0</v>
      </c>
      <c r="AC156">
        <f>IF(AND('2 Phy'!E156&gt;Tmin, NOT('2 Phy'!$I156="")),'2 Phy'!$I156,0)</f>
        <v>0</v>
      </c>
      <c r="AD156">
        <f>IF(AND('2 Phy'!F156&gt;Tmin, NOT('2 Phy'!$I156="")),'2 Phy'!$I156,0)</f>
        <v>0</v>
      </c>
      <c r="AE156">
        <f>IF(AND('2 Phy'!C156&lt;Tmax, NOT('2 Phy'!$H156="")),'2 Phy'!$H156,4)</f>
        <v>4</v>
      </c>
      <c r="AF156">
        <f>IF(AND('2 Phy'!D156&lt;Tmax, NOT('2 Phy'!$H156="")),'2 Phy'!$H156,4)</f>
        <v>4</v>
      </c>
      <c r="AG156">
        <f>IF(AND('2 Phy'!E156&lt;Tmax, NOT('2 Phy'!$H156="")),'2 Phy'!$H156,4)</f>
        <v>4</v>
      </c>
      <c r="AH156">
        <f>IF(AND('2 Phy'!F156&lt;Tmax, NOT('2 Phy'!$H156="")),'2 Phy'!$H156,4)</f>
        <v>4</v>
      </c>
      <c r="AI156"/>
    </row>
    <row r="157" spans="1:35" ht="13.2" x14ac:dyDescent="0.2">
      <c r="A157" s="164" t="s">
        <v>1807</v>
      </c>
      <c r="B157" s="164" t="s">
        <v>1811</v>
      </c>
      <c r="C157" s="136"/>
      <c r="D157" s="136"/>
      <c r="E157" s="136"/>
      <c r="F157" s="136"/>
      <c r="G157" s="133">
        <v>3</v>
      </c>
      <c r="H157" s="164"/>
      <c r="I157" s="164"/>
      <c r="J157" s="133"/>
      <c r="K157" s="135"/>
      <c r="AA157">
        <f>IF(AND('2 Phy'!C157&gt;Tmin, NOT('2 Phy'!$I157="")),'2 Phy'!$I157,0)</f>
        <v>0</v>
      </c>
      <c r="AB157">
        <f>IF(AND('2 Phy'!D157&gt;Tmin, NOT('2 Phy'!$I157="")),'2 Phy'!$I157,0)</f>
        <v>0</v>
      </c>
      <c r="AC157">
        <f>IF(AND('2 Phy'!E157&gt;Tmin, NOT('2 Phy'!$I157="")),'2 Phy'!$I157,0)</f>
        <v>0</v>
      </c>
      <c r="AD157">
        <f>IF(AND('2 Phy'!F157&gt;Tmin, NOT('2 Phy'!$I157="")),'2 Phy'!$I157,0)</f>
        <v>0</v>
      </c>
      <c r="AE157">
        <f>IF(AND('2 Phy'!C157&lt;Tmax, NOT('2 Phy'!$H157="")),'2 Phy'!$H157,4)</f>
        <v>4</v>
      </c>
      <c r="AF157">
        <f>IF(AND('2 Phy'!D157&lt;Tmax, NOT('2 Phy'!$H157="")),'2 Phy'!$H157,4)</f>
        <v>4</v>
      </c>
      <c r="AG157">
        <f>IF(AND('2 Phy'!E157&lt;Tmax, NOT('2 Phy'!$H157="")),'2 Phy'!$H157,4)</f>
        <v>4</v>
      </c>
      <c r="AH157">
        <f>IF(AND('2 Phy'!F157&lt;Tmax, NOT('2 Phy'!$H157="")),'2 Phy'!$H157,4)</f>
        <v>4</v>
      </c>
      <c r="AI157"/>
    </row>
    <row r="158" spans="1:35" ht="20.399999999999999" x14ac:dyDescent="0.2">
      <c r="A158" s="164" t="s">
        <v>1808</v>
      </c>
      <c r="B158" s="164" t="s">
        <v>1801</v>
      </c>
      <c r="C158" s="136"/>
      <c r="D158" s="136"/>
      <c r="E158" s="136"/>
      <c r="F158" s="136"/>
      <c r="G158" s="133">
        <v>2</v>
      </c>
      <c r="H158" s="164"/>
      <c r="I158" s="164"/>
      <c r="J158" s="133"/>
      <c r="K158" s="135"/>
      <c r="AA158">
        <f>IF(AND('2 Phy'!C158&gt;Tmin, NOT('2 Phy'!$I158="")),'2 Phy'!$I158,0)</f>
        <v>0</v>
      </c>
      <c r="AB158">
        <f>IF(AND('2 Phy'!D158&gt;Tmin, NOT('2 Phy'!$I158="")),'2 Phy'!$I158,0)</f>
        <v>0</v>
      </c>
      <c r="AC158">
        <f>IF(AND('2 Phy'!E158&gt;Tmin, NOT('2 Phy'!$I158="")),'2 Phy'!$I158,0)</f>
        <v>0</v>
      </c>
      <c r="AD158">
        <f>IF(AND('2 Phy'!F158&gt;Tmin, NOT('2 Phy'!$I158="")),'2 Phy'!$I158,0)</f>
        <v>0</v>
      </c>
      <c r="AE158">
        <f>IF(AND('2 Phy'!C158&lt;Tmax, NOT('2 Phy'!$H158="")),'2 Phy'!$H158,4)</f>
        <v>4</v>
      </c>
      <c r="AF158">
        <f>IF(AND('2 Phy'!D158&lt;Tmax, NOT('2 Phy'!$H158="")),'2 Phy'!$H158,4)</f>
        <v>4</v>
      </c>
      <c r="AG158">
        <f>IF(AND('2 Phy'!E158&lt;Tmax, NOT('2 Phy'!$H158="")),'2 Phy'!$H158,4)</f>
        <v>4</v>
      </c>
      <c r="AH158">
        <f>IF(AND('2 Phy'!F158&lt;Tmax, NOT('2 Phy'!$H158="")),'2 Phy'!$H158,4)</f>
        <v>4</v>
      </c>
      <c r="AI158"/>
    </row>
    <row r="159" spans="1:35" ht="13.2" x14ac:dyDescent="0.2">
      <c r="A159" s="164" t="s">
        <v>1813</v>
      </c>
      <c r="B159" s="164" t="s">
        <v>1812</v>
      </c>
      <c r="C159" s="136"/>
      <c r="D159" s="136"/>
      <c r="E159" s="136"/>
      <c r="F159" s="136"/>
      <c r="G159" s="133">
        <v>3</v>
      </c>
      <c r="H159" s="164">
        <v>3</v>
      </c>
      <c r="I159" s="164"/>
      <c r="J159" s="133"/>
      <c r="K159" s="135"/>
      <c r="AA159">
        <f>IF(AND('2 Phy'!C159&gt;Tmin, NOT('2 Phy'!$I159="")),'2 Phy'!$I159,0)</f>
        <v>0</v>
      </c>
      <c r="AB159">
        <f>IF(AND('2 Phy'!D159&gt;Tmin, NOT('2 Phy'!$I159="")),'2 Phy'!$I159,0)</f>
        <v>0</v>
      </c>
      <c r="AC159">
        <f>IF(AND('2 Phy'!E159&gt;Tmin, NOT('2 Phy'!$I159="")),'2 Phy'!$I159,0)</f>
        <v>0</v>
      </c>
      <c r="AD159">
        <f>IF(AND('2 Phy'!F159&gt;Tmin, NOT('2 Phy'!$I159="")),'2 Phy'!$I159,0)</f>
        <v>0</v>
      </c>
      <c r="AE159">
        <f>IF(AND('2 Phy'!C159&lt;Tmax, NOT('2 Phy'!$H159="")),'2 Phy'!$H159,4)</f>
        <v>3</v>
      </c>
      <c r="AF159">
        <f>IF(AND('2 Phy'!D159&lt;Tmax, NOT('2 Phy'!$H159="")),'2 Phy'!$H159,4)</f>
        <v>3</v>
      </c>
      <c r="AG159">
        <f>IF(AND('2 Phy'!E159&lt;Tmax, NOT('2 Phy'!$H159="")),'2 Phy'!$H159,4)</f>
        <v>3</v>
      </c>
      <c r="AH159">
        <f>IF(AND('2 Phy'!F159&lt;Tmax, NOT('2 Phy'!$H159="")),'2 Phy'!$H159,4)</f>
        <v>3</v>
      </c>
      <c r="AI159"/>
    </row>
    <row r="160" spans="1:35" ht="13.2" x14ac:dyDescent="0.2">
      <c r="A160" s="164" t="s">
        <v>715</v>
      </c>
      <c r="B160" s="164" t="s">
        <v>374</v>
      </c>
      <c r="C160" s="136"/>
      <c r="D160" s="136"/>
      <c r="E160" s="136"/>
      <c r="F160" s="136"/>
      <c r="G160" s="133"/>
      <c r="H160" s="164"/>
      <c r="I160" s="164"/>
      <c r="J160" s="133"/>
      <c r="K160" s="135"/>
      <c r="AA160"/>
      <c r="AB160"/>
      <c r="AC160"/>
      <c r="AD160"/>
      <c r="AE160"/>
      <c r="AF160"/>
      <c r="AG160"/>
      <c r="AH160"/>
      <c r="AI160"/>
    </row>
    <row r="161" spans="1:35" ht="13.2" x14ac:dyDescent="0.2">
      <c r="A161" s="164" t="s">
        <v>1702</v>
      </c>
      <c r="B161" s="164" t="s">
        <v>1703</v>
      </c>
      <c r="C161" s="136"/>
      <c r="D161" s="136"/>
      <c r="E161" s="136"/>
      <c r="F161" s="136"/>
      <c r="G161" s="133">
        <v>2</v>
      </c>
      <c r="H161" s="164">
        <v>3</v>
      </c>
      <c r="I161" s="164"/>
      <c r="J161" s="133"/>
      <c r="K161" s="135"/>
      <c r="AA161">
        <f>IF(AND('2 Phy'!C161&gt;Tmin, NOT('2 Phy'!$I161="")),'2 Phy'!$I161,0)</f>
        <v>0</v>
      </c>
      <c r="AB161">
        <f>IF(AND('2 Phy'!D161&gt;Tmin, NOT('2 Phy'!$I161="")),'2 Phy'!$I161,0)</f>
        <v>0</v>
      </c>
      <c r="AC161">
        <f>IF(AND('2 Phy'!E161&gt;Tmin, NOT('2 Phy'!$I161="")),'2 Phy'!$I161,0)</f>
        <v>0</v>
      </c>
      <c r="AD161">
        <f>IF(AND('2 Phy'!F161&gt;Tmin, NOT('2 Phy'!$I161="")),'2 Phy'!$I161,0)</f>
        <v>0</v>
      </c>
      <c r="AE161">
        <f>IF(AND('2 Phy'!C161&lt;Tmax, NOT('2 Phy'!$H161="")),'2 Phy'!$H161,4)</f>
        <v>3</v>
      </c>
      <c r="AF161">
        <f>IF(AND('2 Phy'!D161&lt;Tmax, NOT('2 Phy'!$H161="")),'2 Phy'!$H161,4)</f>
        <v>3</v>
      </c>
      <c r="AG161">
        <f>IF(AND('2 Phy'!E161&lt;Tmax, NOT('2 Phy'!$H161="")),'2 Phy'!$H161,4)</f>
        <v>3</v>
      </c>
      <c r="AH161">
        <f>IF(AND('2 Phy'!F161&lt;Tmax, NOT('2 Phy'!$H161="")),'2 Phy'!$H161,4)</f>
        <v>3</v>
      </c>
      <c r="AI161"/>
    </row>
    <row r="162" spans="1:35" ht="20.399999999999999" x14ac:dyDescent="0.2">
      <c r="A162" s="164" t="s">
        <v>1704</v>
      </c>
      <c r="B162" s="164" t="s">
        <v>1705</v>
      </c>
      <c r="C162" s="136"/>
      <c r="D162" s="136"/>
      <c r="E162" s="136"/>
      <c r="F162" s="136"/>
      <c r="G162" s="133">
        <v>4</v>
      </c>
      <c r="H162" s="164">
        <v>3</v>
      </c>
      <c r="I162" s="164"/>
      <c r="J162" s="133"/>
      <c r="K162" s="135"/>
      <c r="AA162">
        <f>IF(AND('2 Phy'!C162&gt;Tmin, NOT('2 Phy'!$I162="")),'2 Phy'!$I162,0)</f>
        <v>0</v>
      </c>
      <c r="AB162">
        <f>IF(AND('2 Phy'!D162&gt;Tmin, NOT('2 Phy'!$I162="")),'2 Phy'!$I162,0)</f>
        <v>0</v>
      </c>
      <c r="AC162">
        <f>IF(AND('2 Phy'!E162&gt;Tmin, NOT('2 Phy'!$I162="")),'2 Phy'!$I162,0)</f>
        <v>0</v>
      </c>
      <c r="AD162">
        <f>IF(AND('2 Phy'!F162&gt;Tmin, NOT('2 Phy'!$I162="")),'2 Phy'!$I162,0)</f>
        <v>0</v>
      </c>
      <c r="AE162">
        <f>IF(AND('2 Phy'!C162&lt;Tmax, NOT('2 Phy'!$H162="")),'2 Phy'!$H162,4)</f>
        <v>3</v>
      </c>
      <c r="AF162">
        <f>IF(AND('2 Phy'!D162&lt;Tmax, NOT('2 Phy'!$H162="")),'2 Phy'!$H162,4)</f>
        <v>3</v>
      </c>
      <c r="AG162">
        <f>IF(AND('2 Phy'!E162&lt;Tmax, NOT('2 Phy'!$H162="")),'2 Phy'!$H162,4)</f>
        <v>3</v>
      </c>
      <c r="AH162">
        <f>IF(AND('2 Phy'!F162&lt;Tmax, NOT('2 Phy'!$H162="")),'2 Phy'!$H162,4)</f>
        <v>3</v>
      </c>
      <c r="AI162"/>
    </row>
    <row r="163" spans="1:35" ht="20.399999999999999" x14ac:dyDescent="0.2">
      <c r="A163" s="164" t="s">
        <v>1706</v>
      </c>
      <c r="B163" s="164" t="s">
        <v>7209</v>
      </c>
      <c r="C163" s="136"/>
      <c r="D163" s="136"/>
      <c r="E163" s="136"/>
      <c r="F163" s="136"/>
      <c r="G163" s="133">
        <v>2</v>
      </c>
      <c r="H163" s="164">
        <v>3</v>
      </c>
      <c r="I163" s="164"/>
      <c r="J163" s="133"/>
      <c r="K163" s="135"/>
      <c r="AA163">
        <f>IF(AND('2 Phy'!C163&gt;Tmin, NOT('2 Phy'!$I163="")),'2 Phy'!$I163,0)</f>
        <v>0</v>
      </c>
      <c r="AB163">
        <f>IF(AND('2 Phy'!D163&gt;Tmin, NOT('2 Phy'!$I163="")),'2 Phy'!$I163,0)</f>
        <v>0</v>
      </c>
      <c r="AC163">
        <f>IF(AND('2 Phy'!E163&gt;Tmin, NOT('2 Phy'!$I163="")),'2 Phy'!$I163,0)</f>
        <v>0</v>
      </c>
      <c r="AD163">
        <f>IF(AND('2 Phy'!F163&gt;Tmin, NOT('2 Phy'!$I163="")),'2 Phy'!$I163,0)</f>
        <v>0</v>
      </c>
      <c r="AE163">
        <f>IF(AND('2 Phy'!C163&lt;Tmax, NOT('2 Phy'!$H163="")),'2 Phy'!$H163,4)</f>
        <v>3</v>
      </c>
      <c r="AF163">
        <f>IF(AND('2 Phy'!D163&lt;Tmax, NOT('2 Phy'!$H163="")),'2 Phy'!$H163,4)</f>
        <v>3</v>
      </c>
      <c r="AG163">
        <f>IF(AND('2 Phy'!E163&lt;Tmax, NOT('2 Phy'!$H163="")),'2 Phy'!$H163,4)</f>
        <v>3</v>
      </c>
      <c r="AH163">
        <f>IF(AND('2 Phy'!F163&lt;Tmax, NOT('2 Phy'!$H163="")),'2 Phy'!$H163,4)</f>
        <v>3</v>
      </c>
      <c r="AI163"/>
    </row>
    <row r="164" spans="1:35" ht="20.399999999999999" x14ac:dyDescent="0.2">
      <c r="A164" s="164" t="s">
        <v>1707</v>
      </c>
      <c r="B164" s="164" t="s">
        <v>1708</v>
      </c>
      <c r="C164" s="136"/>
      <c r="D164" s="136"/>
      <c r="E164" s="136"/>
      <c r="F164" s="136"/>
      <c r="G164" s="133">
        <v>2</v>
      </c>
      <c r="H164" s="164"/>
      <c r="I164" s="164"/>
      <c r="J164" s="133"/>
      <c r="K164" s="135"/>
      <c r="AA164">
        <f>IF(AND('2 Phy'!C164&gt;Tmin, NOT('2 Phy'!$I164="")),'2 Phy'!$I164,0)</f>
        <v>0</v>
      </c>
      <c r="AB164">
        <f>IF(AND('2 Phy'!D164&gt;Tmin, NOT('2 Phy'!$I164="")),'2 Phy'!$I164,0)</f>
        <v>0</v>
      </c>
      <c r="AC164">
        <f>IF(AND('2 Phy'!E164&gt;Tmin, NOT('2 Phy'!$I164="")),'2 Phy'!$I164,0)</f>
        <v>0</v>
      </c>
      <c r="AD164">
        <f>IF(AND('2 Phy'!F164&gt;Tmin, NOT('2 Phy'!$I164="")),'2 Phy'!$I164,0)</f>
        <v>0</v>
      </c>
      <c r="AE164">
        <f>IF(AND('2 Phy'!C164&lt;Tmax, NOT('2 Phy'!$H164="")),'2 Phy'!$H164,4)</f>
        <v>4</v>
      </c>
      <c r="AF164">
        <f>IF(AND('2 Phy'!D164&lt;Tmax, NOT('2 Phy'!$H164="")),'2 Phy'!$H164,4)</f>
        <v>4</v>
      </c>
      <c r="AG164">
        <f>IF(AND('2 Phy'!E164&lt;Tmax, NOT('2 Phy'!$H164="")),'2 Phy'!$H164,4)</f>
        <v>4</v>
      </c>
      <c r="AH164">
        <f>IF(AND('2 Phy'!F164&lt;Tmax, NOT('2 Phy'!$H164="")),'2 Phy'!$H164,4)</f>
        <v>4</v>
      </c>
      <c r="AI164"/>
    </row>
    <row r="165" spans="1:35" ht="30.6" x14ac:dyDescent="0.2">
      <c r="A165" s="164" t="s">
        <v>1709</v>
      </c>
      <c r="B165" s="164" t="s">
        <v>7210</v>
      </c>
      <c r="C165" s="136"/>
      <c r="D165" s="136"/>
      <c r="E165" s="136"/>
      <c r="F165" s="136"/>
      <c r="G165" s="133">
        <v>4</v>
      </c>
      <c r="H165" s="164"/>
      <c r="I165" s="164"/>
      <c r="J165" s="133"/>
      <c r="K165" s="135"/>
      <c r="AA165">
        <f>IF(AND('2 Phy'!C165&gt;Tmin, NOT('2 Phy'!$I165="")),'2 Phy'!$I165,0)</f>
        <v>0</v>
      </c>
      <c r="AB165">
        <f>IF(AND('2 Phy'!D165&gt;Tmin, NOT('2 Phy'!$I165="")),'2 Phy'!$I165,0)</f>
        <v>0</v>
      </c>
      <c r="AC165">
        <f>IF(AND('2 Phy'!E165&gt;Tmin, NOT('2 Phy'!$I165="")),'2 Phy'!$I165,0)</f>
        <v>0</v>
      </c>
      <c r="AD165">
        <f>IF(AND('2 Phy'!F165&gt;Tmin, NOT('2 Phy'!$I165="")),'2 Phy'!$I165,0)</f>
        <v>0</v>
      </c>
      <c r="AE165">
        <f>IF(AND('2 Phy'!C165&lt;Tmax, NOT('2 Phy'!$H165="")),'2 Phy'!$H165,4)</f>
        <v>4</v>
      </c>
      <c r="AF165">
        <f>IF(AND('2 Phy'!D165&lt;Tmax, NOT('2 Phy'!$H165="")),'2 Phy'!$H165,4)</f>
        <v>4</v>
      </c>
      <c r="AG165">
        <f>IF(AND('2 Phy'!E165&lt;Tmax, NOT('2 Phy'!$H165="")),'2 Phy'!$H165,4)</f>
        <v>4</v>
      </c>
      <c r="AH165">
        <f>IF(AND('2 Phy'!F165&lt;Tmax, NOT('2 Phy'!$H165="")),'2 Phy'!$H165,4)</f>
        <v>4</v>
      </c>
      <c r="AI165"/>
    </row>
    <row r="166" spans="1:35" s="213" customFormat="1" ht="13.2" x14ac:dyDescent="0.25">
      <c r="A166" s="164" t="s">
        <v>1710</v>
      </c>
      <c r="B166" s="164" t="s">
        <v>1711</v>
      </c>
      <c r="C166" s="136"/>
      <c r="D166" s="136"/>
      <c r="E166" s="136"/>
      <c r="F166" s="136"/>
      <c r="G166" s="133">
        <v>2</v>
      </c>
      <c r="H166" s="164">
        <v>3</v>
      </c>
      <c r="I166" s="164"/>
      <c r="J166" s="133"/>
      <c r="K166" s="135"/>
      <c r="L166" s="135"/>
      <c r="M166" s="227"/>
      <c r="N166" s="227"/>
      <c r="O166" s="227"/>
      <c r="P166" s="227"/>
      <c r="Q166" s="227"/>
      <c r="R166" s="227"/>
      <c r="S166" s="227"/>
      <c r="T166" s="227"/>
      <c r="U166" s="227"/>
      <c r="V166" s="227"/>
      <c r="W166" s="227"/>
      <c r="X166" s="227"/>
      <c r="Y166" s="227"/>
      <c r="Z166" s="227"/>
      <c r="AA166">
        <f>IF(AND('2 Phy'!C166&gt;Tmin, NOT('2 Phy'!$I166="")),'2 Phy'!$I166,0)</f>
        <v>0</v>
      </c>
      <c r="AB166">
        <f>IF(AND('2 Phy'!D166&gt;Tmin, NOT('2 Phy'!$I166="")),'2 Phy'!$I166,0)</f>
        <v>0</v>
      </c>
      <c r="AC166">
        <f>IF(AND('2 Phy'!E166&gt;Tmin, NOT('2 Phy'!$I166="")),'2 Phy'!$I166,0)</f>
        <v>0</v>
      </c>
      <c r="AD166">
        <f>IF(AND('2 Phy'!F166&gt;Tmin, NOT('2 Phy'!$I166="")),'2 Phy'!$I166,0)</f>
        <v>0</v>
      </c>
      <c r="AE166">
        <f>IF(AND('2 Phy'!C166&lt;Tmax, NOT('2 Phy'!$H166="")),'2 Phy'!$H166,4)</f>
        <v>3</v>
      </c>
      <c r="AF166">
        <f>IF(AND('2 Phy'!D166&lt;Tmax, NOT('2 Phy'!$H166="")),'2 Phy'!$H166,4)</f>
        <v>3</v>
      </c>
      <c r="AG166">
        <f>IF(AND('2 Phy'!E166&lt;Tmax, NOT('2 Phy'!$H166="")),'2 Phy'!$H166,4)</f>
        <v>3</v>
      </c>
      <c r="AH166">
        <f>IF(AND('2 Phy'!F166&lt;Tmax, NOT('2 Phy'!$H166="")),'2 Phy'!$H166,4)</f>
        <v>3</v>
      </c>
      <c r="AI166"/>
    </row>
    <row r="167" spans="1:35" s="213" customFormat="1" ht="13.2" x14ac:dyDescent="0.25">
      <c r="A167" s="164" t="s">
        <v>716</v>
      </c>
      <c r="B167" s="164" t="s">
        <v>7219</v>
      </c>
      <c r="C167" s="136"/>
      <c r="D167" s="136"/>
      <c r="E167" s="136"/>
      <c r="F167" s="136"/>
      <c r="G167" s="133"/>
      <c r="H167" s="164"/>
      <c r="I167" s="164"/>
      <c r="J167" s="133"/>
      <c r="K167" s="135"/>
      <c r="L167" s="135"/>
      <c r="M167" s="227"/>
      <c r="N167" s="227"/>
      <c r="O167" s="227"/>
      <c r="P167" s="227"/>
      <c r="Q167" s="227"/>
      <c r="R167" s="227"/>
      <c r="S167" s="227"/>
      <c r="T167" s="227"/>
      <c r="U167" s="227"/>
      <c r="V167" s="227"/>
      <c r="W167" s="227"/>
      <c r="X167" s="227"/>
      <c r="Y167" s="227"/>
      <c r="Z167" s="227"/>
      <c r="AA167"/>
      <c r="AB167"/>
      <c r="AC167"/>
      <c r="AD167"/>
      <c r="AE167"/>
      <c r="AF167"/>
      <c r="AG167"/>
      <c r="AH167"/>
      <c r="AI167"/>
    </row>
    <row r="168" spans="1:35" s="213" customFormat="1" ht="40.799999999999997" x14ac:dyDescent="0.25">
      <c r="A168" s="164" t="s">
        <v>1816</v>
      </c>
      <c r="B168" s="164" t="s">
        <v>7211</v>
      </c>
      <c r="C168" s="136"/>
      <c r="D168" s="136"/>
      <c r="E168" s="136"/>
      <c r="F168" s="136"/>
      <c r="G168" s="133">
        <v>2</v>
      </c>
      <c r="H168" s="164"/>
      <c r="I168" s="164"/>
      <c r="J168" s="133" t="s">
        <v>7071</v>
      </c>
      <c r="K168" s="135"/>
      <c r="L168" s="135"/>
      <c r="M168" s="227"/>
      <c r="N168" s="227"/>
      <c r="O168" s="227"/>
      <c r="P168" s="227"/>
      <c r="Q168" s="227"/>
      <c r="R168" s="227"/>
      <c r="S168" s="227"/>
      <c r="T168" s="227"/>
      <c r="U168" s="227"/>
      <c r="V168" s="227"/>
      <c r="W168" s="227"/>
      <c r="X168" s="227"/>
      <c r="Y168" s="227"/>
      <c r="Z168" s="227"/>
      <c r="AA168">
        <f>IF(AND('2 Phy'!C168&gt;Tmin, NOT('2 Phy'!$I168="")),'2 Phy'!$I168,0)</f>
        <v>0</v>
      </c>
      <c r="AB168">
        <f>IF(AND('2 Phy'!D168&gt;Tmin, NOT('2 Phy'!$I168="")),'2 Phy'!$I168,0)</f>
        <v>0</v>
      </c>
      <c r="AC168">
        <f>IF(AND('2 Phy'!E168&gt;Tmin, NOT('2 Phy'!$I168="")),'2 Phy'!$I168,0)</f>
        <v>0</v>
      </c>
      <c r="AD168">
        <f>IF(AND('2 Phy'!F168&gt;Tmin, NOT('2 Phy'!$I168="")),'2 Phy'!$I168,0)</f>
        <v>0</v>
      </c>
      <c r="AE168">
        <f>IF(AND('2 Phy'!C168&lt;Tmax, NOT('2 Phy'!$H168="")),'2 Phy'!$H168,4)</f>
        <v>4</v>
      </c>
      <c r="AF168">
        <f>IF(AND('2 Phy'!D168&lt;Tmax, NOT('2 Phy'!$H168="")),'2 Phy'!$H168,4)</f>
        <v>4</v>
      </c>
      <c r="AG168">
        <f>IF(AND('2 Phy'!E168&lt;Tmax, NOT('2 Phy'!$H168="")),'2 Phy'!$H168,4)</f>
        <v>4</v>
      </c>
      <c r="AH168">
        <f>IF(AND('2 Phy'!F168&lt;Tmax, NOT('2 Phy'!$H168="")),'2 Phy'!$H168,4)</f>
        <v>4</v>
      </c>
      <c r="AI168"/>
    </row>
    <row r="169" spans="1:35" s="213" customFormat="1" ht="20.399999999999999" x14ac:dyDescent="0.25">
      <c r="A169" s="164" t="s">
        <v>1817</v>
      </c>
      <c r="B169" s="164" t="s">
        <v>7212</v>
      </c>
      <c r="C169" s="136"/>
      <c r="D169" s="136"/>
      <c r="E169" s="136"/>
      <c r="F169" s="136"/>
      <c r="G169" s="133">
        <v>4</v>
      </c>
      <c r="H169" s="164"/>
      <c r="I169" s="164"/>
      <c r="J169" s="133" t="s">
        <v>7071</v>
      </c>
      <c r="K169" s="135"/>
      <c r="L169" s="135"/>
      <c r="M169" s="227"/>
      <c r="N169" s="227"/>
      <c r="O169" s="227"/>
      <c r="P169" s="227"/>
      <c r="Q169" s="227"/>
      <c r="R169" s="227"/>
      <c r="S169" s="227"/>
      <c r="T169" s="227"/>
      <c r="U169" s="227"/>
      <c r="V169" s="227"/>
      <c r="W169" s="227"/>
      <c r="X169" s="227"/>
      <c r="Y169" s="227"/>
      <c r="Z169" s="227"/>
      <c r="AA169">
        <f>IF(AND('2 Phy'!C169&gt;Tmin, NOT('2 Phy'!$I169="")),'2 Phy'!$I169,0)</f>
        <v>0</v>
      </c>
      <c r="AB169">
        <f>IF(AND('2 Phy'!D169&gt;Tmin, NOT('2 Phy'!$I169="")),'2 Phy'!$I169,0)</f>
        <v>0</v>
      </c>
      <c r="AC169">
        <f>IF(AND('2 Phy'!E169&gt;Tmin, NOT('2 Phy'!$I169="")),'2 Phy'!$I169,0)</f>
        <v>0</v>
      </c>
      <c r="AD169">
        <f>IF(AND('2 Phy'!F169&gt;Tmin, NOT('2 Phy'!$I169="")),'2 Phy'!$I169,0)</f>
        <v>0</v>
      </c>
      <c r="AE169">
        <f>IF(AND('2 Phy'!C169&lt;Tmax, NOT('2 Phy'!$H169="")),'2 Phy'!$H169,4)</f>
        <v>4</v>
      </c>
      <c r="AF169">
        <f>IF(AND('2 Phy'!D169&lt;Tmax, NOT('2 Phy'!$H169="")),'2 Phy'!$H169,4)</f>
        <v>4</v>
      </c>
      <c r="AG169">
        <f>IF(AND('2 Phy'!E169&lt;Tmax, NOT('2 Phy'!$H169="")),'2 Phy'!$H169,4)</f>
        <v>4</v>
      </c>
      <c r="AH169">
        <f>IF(AND('2 Phy'!F169&lt;Tmax, NOT('2 Phy'!$H169="")),'2 Phy'!$H169,4)</f>
        <v>4</v>
      </c>
      <c r="AI169"/>
    </row>
    <row r="170" spans="1:35" s="213" customFormat="1" ht="20.399999999999999" x14ac:dyDescent="0.25">
      <c r="A170" s="164" t="s">
        <v>1818</v>
      </c>
      <c r="B170" s="164" t="s">
        <v>1802</v>
      </c>
      <c r="C170" s="136"/>
      <c r="D170" s="136"/>
      <c r="E170" s="136"/>
      <c r="F170" s="136"/>
      <c r="G170" s="133">
        <v>3</v>
      </c>
      <c r="H170" s="164"/>
      <c r="I170" s="164"/>
      <c r="J170" s="133"/>
      <c r="K170" s="135"/>
      <c r="L170" s="135"/>
      <c r="M170" s="227"/>
      <c r="N170" s="227"/>
      <c r="O170" s="227"/>
      <c r="P170" s="227"/>
      <c r="Q170" s="227"/>
      <c r="R170" s="227"/>
      <c r="S170" s="227"/>
      <c r="T170" s="227"/>
      <c r="U170" s="227"/>
      <c r="V170" s="227"/>
      <c r="W170" s="227"/>
      <c r="X170" s="227"/>
      <c r="Y170" s="227"/>
      <c r="Z170" s="227"/>
      <c r="AA170">
        <f>IF(AND('2 Phy'!C170&gt;Tmin, NOT('2 Phy'!$I170="")),'2 Phy'!$I170,0)</f>
        <v>0</v>
      </c>
      <c r="AB170">
        <f>IF(AND('2 Phy'!D170&gt;Tmin, NOT('2 Phy'!$I170="")),'2 Phy'!$I170,0)</f>
        <v>0</v>
      </c>
      <c r="AC170">
        <f>IF(AND('2 Phy'!E170&gt;Tmin, NOT('2 Phy'!$I170="")),'2 Phy'!$I170,0)</f>
        <v>0</v>
      </c>
      <c r="AD170">
        <f>IF(AND('2 Phy'!F170&gt;Tmin, NOT('2 Phy'!$I170="")),'2 Phy'!$I170,0)</f>
        <v>0</v>
      </c>
      <c r="AE170">
        <f>IF(AND('2 Phy'!C170&lt;Tmax, NOT('2 Phy'!$H170="")),'2 Phy'!$H170,4)</f>
        <v>4</v>
      </c>
      <c r="AF170">
        <f>IF(AND('2 Phy'!D170&lt;Tmax, NOT('2 Phy'!$H170="")),'2 Phy'!$H170,4)</f>
        <v>4</v>
      </c>
      <c r="AG170">
        <f>IF(AND('2 Phy'!E170&lt;Tmax, NOT('2 Phy'!$H170="")),'2 Phy'!$H170,4)</f>
        <v>4</v>
      </c>
      <c r="AH170">
        <f>IF(AND('2 Phy'!F170&lt;Tmax, NOT('2 Phy'!$H170="")),'2 Phy'!$H170,4)</f>
        <v>4</v>
      </c>
      <c r="AI170"/>
    </row>
    <row r="171" spans="1:35" s="213" customFormat="1" ht="13.2" x14ac:dyDescent="0.25">
      <c r="A171" s="164" t="s">
        <v>718</v>
      </c>
      <c r="B171" s="164" t="s">
        <v>276</v>
      </c>
      <c r="C171" s="136"/>
      <c r="D171" s="136"/>
      <c r="E171" s="136"/>
      <c r="F171" s="136"/>
      <c r="G171" s="133"/>
      <c r="H171" s="164"/>
      <c r="I171" s="164"/>
      <c r="J171" s="133"/>
      <c r="K171" s="135"/>
      <c r="L171" s="135"/>
      <c r="M171" s="227"/>
      <c r="N171" s="227"/>
      <c r="O171" s="227"/>
      <c r="P171" s="227"/>
      <c r="Q171" s="227"/>
      <c r="R171" s="227"/>
      <c r="S171" s="227"/>
      <c r="T171" s="227"/>
      <c r="U171" s="227"/>
      <c r="V171" s="227"/>
      <c r="W171" s="227"/>
      <c r="X171" s="227"/>
      <c r="Y171" s="227"/>
      <c r="Z171" s="227"/>
      <c r="AA171"/>
      <c r="AB171"/>
      <c r="AC171"/>
      <c r="AD171"/>
      <c r="AE171"/>
      <c r="AF171"/>
      <c r="AG171"/>
      <c r="AH171"/>
      <c r="AI171"/>
    </row>
    <row r="172" spans="1:35" s="213" customFormat="1" ht="13.2" x14ac:dyDescent="0.25">
      <c r="A172" s="164" t="s">
        <v>1828</v>
      </c>
      <c r="B172" s="164" t="s">
        <v>1819</v>
      </c>
      <c r="C172" s="136"/>
      <c r="D172" s="136"/>
      <c r="E172" s="136"/>
      <c r="F172" s="136"/>
      <c r="G172" s="133">
        <v>2</v>
      </c>
      <c r="H172" s="164"/>
      <c r="I172" s="164"/>
      <c r="J172" s="133"/>
      <c r="K172" s="135"/>
      <c r="L172" s="135"/>
      <c r="M172" s="227"/>
      <c r="N172" s="227"/>
      <c r="O172" s="227"/>
      <c r="P172" s="227"/>
      <c r="Q172" s="227"/>
      <c r="R172" s="227"/>
      <c r="S172" s="227"/>
      <c r="T172" s="227"/>
      <c r="U172" s="227"/>
      <c r="V172" s="227"/>
      <c r="W172" s="227"/>
      <c r="X172" s="227"/>
      <c r="Y172" s="227"/>
      <c r="Z172" s="227"/>
      <c r="AA172">
        <f>IF(AND('2 Phy'!C172&gt;Tmin, NOT('2 Phy'!$I172="")),'2 Phy'!$I172,0)</f>
        <v>0</v>
      </c>
      <c r="AB172">
        <f>IF(AND('2 Phy'!D172&gt;Tmin, NOT('2 Phy'!$I172="")),'2 Phy'!$I172,0)</f>
        <v>0</v>
      </c>
      <c r="AC172">
        <f>IF(AND('2 Phy'!E172&gt;Tmin, NOT('2 Phy'!$I172="")),'2 Phy'!$I172,0)</f>
        <v>0</v>
      </c>
      <c r="AD172">
        <f>IF(AND('2 Phy'!F172&gt;Tmin, NOT('2 Phy'!$I172="")),'2 Phy'!$I172,0)</f>
        <v>0</v>
      </c>
      <c r="AE172">
        <f>IF(AND('2 Phy'!C172&lt;Tmax, NOT('2 Phy'!$H172="")),'2 Phy'!$H172,4)</f>
        <v>4</v>
      </c>
      <c r="AF172">
        <f>IF(AND('2 Phy'!D172&lt;Tmax, NOT('2 Phy'!$H172="")),'2 Phy'!$H172,4)</f>
        <v>4</v>
      </c>
      <c r="AG172">
        <f>IF(AND('2 Phy'!E172&lt;Tmax, NOT('2 Phy'!$H172="")),'2 Phy'!$H172,4)</f>
        <v>4</v>
      </c>
      <c r="AH172">
        <f>IF(AND('2 Phy'!F172&lt;Tmax, NOT('2 Phy'!$H172="")),'2 Phy'!$H172,4)</f>
        <v>4</v>
      </c>
      <c r="AI172"/>
    </row>
    <row r="173" spans="1:35" ht="20.399999999999999" x14ac:dyDescent="0.2">
      <c r="A173" s="164" t="s">
        <v>1829</v>
      </c>
      <c r="B173" s="164" t="s">
        <v>1820</v>
      </c>
      <c r="C173" s="136"/>
      <c r="D173" s="136"/>
      <c r="E173" s="136"/>
      <c r="F173" s="136"/>
      <c r="G173" s="133">
        <v>2</v>
      </c>
      <c r="H173" s="164"/>
      <c r="I173" s="164"/>
      <c r="J173" s="133"/>
      <c r="K173" s="135"/>
      <c r="AA173">
        <f>IF(AND('2 Phy'!C173&gt;Tmin, NOT('2 Phy'!$I173="")),'2 Phy'!$I173,0)</f>
        <v>0</v>
      </c>
      <c r="AB173">
        <f>IF(AND('2 Phy'!D173&gt;Tmin, NOT('2 Phy'!$I173="")),'2 Phy'!$I173,0)</f>
        <v>0</v>
      </c>
      <c r="AC173">
        <f>IF(AND('2 Phy'!E173&gt;Tmin, NOT('2 Phy'!$I173="")),'2 Phy'!$I173,0)</f>
        <v>0</v>
      </c>
      <c r="AD173">
        <f>IF(AND('2 Phy'!F173&gt;Tmin, NOT('2 Phy'!$I173="")),'2 Phy'!$I173,0)</f>
        <v>0</v>
      </c>
      <c r="AE173">
        <f>IF(AND('2 Phy'!C173&lt;Tmax, NOT('2 Phy'!$H173="")),'2 Phy'!$H173,4)</f>
        <v>4</v>
      </c>
      <c r="AF173">
        <f>IF(AND('2 Phy'!D173&lt;Tmax, NOT('2 Phy'!$H173="")),'2 Phy'!$H173,4)</f>
        <v>4</v>
      </c>
      <c r="AG173">
        <f>IF(AND('2 Phy'!E173&lt;Tmax, NOT('2 Phy'!$H173="")),'2 Phy'!$H173,4)</f>
        <v>4</v>
      </c>
      <c r="AH173">
        <f>IF(AND('2 Phy'!F173&lt;Tmax, NOT('2 Phy'!$H173="")),'2 Phy'!$H173,4)</f>
        <v>4</v>
      </c>
      <c r="AI173"/>
    </row>
    <row r="174" spans="1:35" ht="20.399999999999999" x14ac:dyDescent="0.2">
      <c r="A174" s="164" t="s">
        <v>1830</v>
      </c>
      <c r="B174" s="164" t="s">
        <v>499</v>
      </c>
      <c r="C174" s="136"/>
      <c r="D174" s="136"/>
      <c r="E174" s="136"/>
      <c r="F174" s="136"/>
      <c r="G174" s="133">
        <v>3</v>
      </c>
      <c r="H174" s="164">
        <v>3</v>
      </c>
      <c r="I174" s="164"/>
      <c r="J174" s="133"/>
      <c r="K174" s="135"/>
      <c r="AA174">
        <f>IF(AND('2 Phy'!C174&gt;Tmin, NOT('2 Phy'!$I174="")),'2 Phy'!$I174,0)</f>
        <v>0</v>
      </c>
      <c r="AB174">
        <f>IF(AND('2 Phy'!D174&gt;Tmin, NOT('2 Phy'!$I174="")),'2 Phy'!$I174,0)</f>
        <v>0</v>
      </c>
      <c r="AC174">
        <f>IF(AND('2 Phy'!E174&gt;Tmin, NOT('2 Phy'!$I174="")),'2 Phy'!$I174,0)</f>
        <v>0</v>
      </c>
      <c r="AD174">
        <f>IF(AND('2 Phy'!F174&gt;Tmin, NOT('2 Phy'!$I174="")),'2 Phy'!$I174,0)</f>
        <v>0</v>
      </c>
      <c r="AE174">
        <f>IF(AND('2 Phy'!C174&lt;Tmax, NOT('2 Phy'!$H174="")),'2 Phy'!$H174,4)</f>
        <v>3</v>
      </c>
      <c r="AF174">
        <f>IF(AND('2 Phy'!D174&lt;Tmax, NOT('2 Phy'!$H174="")),'2 Phy'!$H174,4)</f>
        <v>3</v>
      </c>
      <c r="AG174">
        <f>IF(AND('2 Phy'!E174&lt;Tmax, NOT('2 Phy'!$H174="")),'2 Phy'!$H174,4)</f>
        <v>3</v>
      </c>
      <c r="AH174">
        <f>IF(AND('2 Phy'!F174&lt;Tmax, NOT('2 Phy'!$H174="")),'2 Phy'!$H174,4)</f>
        <v>3</v>
      </c>
      <c r="AI174"/>
    </row>
    <row r="175" spans="1:35" ht="13.2" x14ac:dyDescent="0.2">
      <c r="A175" s="164" t="s">
        <v>1831</v>
      </c>
      <c r="B175" s="164" t="s">
        <v>500</v>
      </c>
      <c r="C175" s="136"/>
      <c r="D175" s="136"/>
      <c r="E175" s="136"/>
      <c r="F175" s="136"/>
      <c r="G175" s="133">
        <v>3</v>
      </c>
      <c r="H175" s="164">
        <v>3</v>
      </c>
      <c r="I175" s="164"/>
      <c r="J175" s="133"/>
      <c r="K175" s="135"/>
      <c r="AA175">
        <f>IF(AND('2 Phy'!C175&gt;Tmin, NOT('2 Phy'!$I175="")),'2 Phy'!$I175,0)</f>
        <v>0</v>
      </c>
      <c r="AB175">
        <f>IF(AND('2 Phy'!D175&gt;Tmin, NOT('2 Phy'!$I175="")),'2 Phy'!$I175,0)</f>
        <v>0</v>
      </c>
      <c r="AC175">
        <f>IF(AND('2 Phy'!E175&gt;Tmin, NOT('2 Phy'!$I175="")),'2 Phy'!$I175,0)</f>
        <v>0</v>
      </c>
      <c r="AD175">
        <f>IF(AND('2 Phy'!F175&gt;Tmin, NOT('2 Phy'!$I175="")),'2 Phy'!$I175,0)</f>
        <v>0</v>
      </c>
      <c r="AE175">
        <f>IF(AND('2 Phy'!C175&lt;Tmax, NOT('2 Phy'!$H175="")),'2 Phy'!$H175,4)</f>
        <v>3</v>
      </c>
      <c r="AF175">
        <f>IF(AND('2 Phy'!D175&lt;Tmax, NOT('2 Phy'!$H175="")),'2 Phy'!$H175,4)</f>
        <v>3</v>
      </c>
      <c r="AG175">
        <f>IF(AND('2 Phy'!E175&lt;Tmax, NOT('2 Phy'!$H175="")),'2 Phy'!$H175,4)</f>
        <v>3</v>
      </c>
      <c r="AH175">
        <f>IF(AND('2 Phy'!F175&lt;Tmax, NOT('2 Phy'!$H175="")),'2 Phy'!$H175,4)</f>
        <v>3</v>
      </c>
      <c r="AI175"/>
    </row>
    <row r="176" spans="1:35" ht="13.2" x14ac:dyDescent="0.2">
      <c r="A176" s="164" t="s">
        <v>1832</v>
      </c>
      <c r="B176" s="164" t="s">
        <v>438</v>
      </c>
      <c r="C176" s="136"/>
      <c r="D176" s="136"/>
      <c r="E176" s="136"/>
      <c r="F176" s="136"/>
      <c r="G176" s="133">
        <v>3</v>
      </c>
      <c r="H176" s="164">
        <v>3</v>
      </c>
      <c r="I176" s="164"/>
      <c r="J176" s="133"/>
      <c r="K176" s="135"/>
      <c r="AA176">
        <f>IF(AND('2 Phy'!C176&gt;Tmin, NOT('2 Phy'!$I176="")),'2 Phy'!$I176,0)</f>
        <v>0</v>
      </c>
      <c r="AB176">
        <f>IF(AND('2 Phy'!D176&gt;Tmin, NOT('2 Phy'!$I176="")),'2 Phy'!$I176,0)</f>
        <v>0</v>
      </c>
      <c r="AC176">
        <f>IF(AND('2 Phy'!E176&gt;Tmin, NOT('2 Phy'!$I176="")),'2 Phy'!$I176,0)</f>
        <v>0</v>
      </c>
      <c r="AD176">
        <f>IF(AND('2 Phy'!F176&gt;Tmin, NOT('2 Phy'!$I176="")),'2 Phy'!$I176,0)</f>
        <v>0</v>
      </c>
      <c r="AE176">
        <f>IF(AND('2 Phy'!C176&lt;Tmax, NOT('2 Phy'!$H176="")),'2 Phy'!$H176,4)</f>
        <v>3</v>
      </c>
      <c r="AF176">
        <f>IF(AND('2 Phy'!D176&lt;Tmax, NOT('2 Phy'!$H176="")),'2 Phy'!$H176,4)</f>
        <v>3</v>
      </c>
      <c r="AG176">
        <f>IF(AND('2 Phy'!E176&lt;Tmax, NOT('2 Phy'!$H176="")),'2 Phy'!$H176,4)</f>
        <v>3</v>
      </c>
      <c r="AH176">
        <f>IF(AND('2 Phy'!F176&lt;Tmax, NOT('2 Phy'!$H176="")),'2 Phy'!$H176,4)</f>
        <v>3</v>
      </c>
      <c r="AI176"/>
    </row>
    <row r="177" spans="1:35" ht="13.2" x14ac:dyDescent="0.2">
      <c r="A177" s="164" t="s">
        <v>1833</v>
      </c>
      <c r="B177" s="164" t="s">
        <v>1821</v>
      </c>
      <c r="C177" s="136"/>
      <c r="D177" s="136"/>
      <c r="E177" s="136"/>
      <c r="F177" s="136"/>
      <c r="G177" s="133">
        <v>3</v>
      </c>
      <c r="H177" s="164">
        <v>3</v>
      </c>
      <c r="I177" s="164"/>
      <c r="J177" s="133"/>
      <c r="K177" s="135"/>
      <c r="AA177">
        <f>IF(AND('2 Phy'!C177&gt;Tmin, NOT('2 Phy'!$I177="")),'2 Phy'!$I177,0)</f>
        <v>0</v>
      </c>
      <c r="AB177">
        <f>IF(AND('2 Phy'!D177&gt;Tmin, NOT('2 Phy'!$I177="")),'2 Phy'!$I177,0)</f>
        <v>0</v>
      </c>
      <c r="AC177">
        <f>IF(AND('2 Phy'!E177&gt;Tmin, NOT('2 Phy'!$I177="")),'2 Phy'!$I177,0)</f>
        <v>0</v>
      </c>
      <c r="AD177">
        <f>IF(AND('2 Phy'!F177&gt;Tmin, NOT('2 Phy'!$I177="")),'2 Phy'!$I177,0)</f>
        <v>0</v>
      </c>
      <c r="AE177">
        <f>IF(AND('2 Phy'!C177&lt;Tmax, NOT('2 Phy'!$H177="")),'2 Phy'!$H177,4)</f>
        <v>3</v>
      </c>
      <c r="AF177">
        <f>IF(AND('2 Phy'!D177&lt;Tmax, NOT('2 Phy'!$H177="")),'2 Phy'!$H177,4)</f>
        <v>3</v>
      </c>
      <c r="AG177">
        <f>IF(AND('2 Phy'!E177&lt;Tmax, NOT('2 Phy'!$H177="")),'2 Phy'!$H177,4)</f>
        <v>3</v>
      </c>
      <c r="AH177">
        <f>IF(AND('2 Phy'!F177&lt;Tmax, NOT('2 Phy'!$H177="")),'2 Phy'!$H177,4)</f>
        <v>3</v>
      </c>
      <c r="AI177"/>
    </row>
    <row r="178" spans="1:35" ht="20.399999999999999" x14ac:dyDescent="0.2">
      <c r="A178" s="164" t="s">
        <v>1834</v>
      </c>
      <c r="B178" s="164" t="s">
        <v>1822</v>
      </c>
      <c r="C178" s="136"/>
      <c r="D178" s="136"/>
      <c r="E178" s="136"/>
      <c r="F178" s="136"/>
      <c r="G178" s="133">
        <v>3</v>
      </c>
      <c r="H178" s="164"/>
      <c r="I178" s="164"/>
      <c r="J178" s="133"/>
      <c r="K178" s="135"/>
      <c r="AA178">
        <f>IF(AND('2 Phy'!C178&gt;Tmin, NOT('2 Phy'!$I178="")),'2 Phy'!$I178,0)</f>
        <v>0</v>
      </c>
      <c r="AB178">
        <f>IF(AND('2 Phy'!D178&gt;Tmin, NOT('2 Phy'!$I178="")),'2 Phy'!$I178,0)</f>
        <v>0</v>
      </c>
      <c r="AC178">
        <f>IF(AND('2 Phy'!E178&gt;Tmin, NOT('2 Phy'!$I178="")),'2 Phy'!$I178,0)</f>
        <v>0</v>
      </c>
      <c r="AD178">
        <f>IF(AND('2 Phy'!F178&gt;Tmin, NOT('2 Phy'!$I178="")),'2 Phy'!$I178,0)</f>
        <v>0</v>
      </c>
      <c r="AE178">
        <f>IF(AND('2 Phy'!C178&lt;Tmax, NOT('2 Phy'!$H178="")),'2 Phy'!$H178,4)</f>
        <v>4</v>
      </c>
      <c r="AF178">
        <f>IF(AND('2 Phy'!D178&lt;Tmax, NOT('2 Phy'!$H178="")),'2 Phy'!$H178,4)</f>
        <v>4</v>
      </c>
      <c r="AG178">
        <f>IF(AND('2 Phy'!E178&lt;Tmax, NOT('2 Phy'!$H178="")),'2 Phy'!$H178,4)</f>
        <v>4</v>
      </c>
      <c r="AH178">
        <f>IF(AND('2 Phy'!F178&lt;Tmax, NOT('2 Phy'!$H178="")),'2 Phy'!$H178,4)</f>
        <v>4</v>
      </c>
      <c r="AI178"/>
    </row>
    <row r="179" spans="1:35" ht="13.2" x14ac:dyDescent="0.2">
      <c r="A179" s="164" t="s">
        <v>1835</v>
      </c>
      <c r="B179" s="164" t="s">
        <v>411</v>
      </c>
      <c r="C179" s="136"/>
      <c r="D179" s="136"/>
      <c r="E179" s="136"/>
      <c r="F179" s="136"/>
      <c r="G179" s="133">
        <v>3</v>
      </c>
      <c r="H179" s="164">
        <v>3</v>
      </c>
      <c r="I179" s="164"/>
      <c r="J179" s="133"/>
      <c r="K179" s="135"/>
      <c r="AA179">
        <f>IF(AND('2 Phy'!C179&gt;Tmin, NOT('2 Phy'!$I179="")),'2 Phy'!$I179,0)</f>
        <v>0</v>
      </c>
      <c r="AB179">
        <f>IF(AND('2 Phy'!D179&gt;Tmin, NOT('2 Phy'!$I179="")),'2 Phy'!$I179,0)</f>
        <v>0</v>
      </c>
      <c r="AC179">
        <f>IF(AND('2 Phy'!E179&gt;Tmin, NOT('2 Phy'!$I179="")),'2 Phy'!$I179,0)</f>
        <v>0</v>
      </c>
      <c r="AD179">
        <f>IF(AND('2 Phy'!F179&gt;Tmin, NOT('2 Phy'!$I179="")),'2 Phy'!$I179,0)</f>
        <v>0</v>
      </c>
      <c r="AE179">
        <f>IF(AND('2 Phy'!C179&lt;Tmax, NOT('2 Phy'!$H179="")),'2 Phy'!$H179,4)</f>
        <v>3</v>
      </c>
      <c r="AF179">
        <f>IF(AND('2 Phy'!D179&lt;Tmax, NOT('2 Phy'!$H179="")),'2 Phy'!$H179,4)</f>
        <v>3</v>
      </c>
      <c r="AG179">
        <f>IF(AND('2 Phy'!E179&lt;Tmax, NOT('2 Phy'!$H179="")),'2 Phy'!$H179,4)</f>
        <v>3</v>
      </c>
      <c r="AH179">
        <f>IF(AND('2 Phy'!F179&lt;Tmax, NOT('2 Phy'!$H179="")),'2 Phy'!$H179,4)</f>
        <v>3</v>
      </c>
      <c r="AI179"/>
    </row>
    <row r="180" spans="1:35" ht="20.399999999999999" x14ac:dyDescent="0.2">
      <c r="A180" s="164" t="s">
        <v>1836</v>
      </c>
      <c r="B180" s="164" t="s">
        <v>1823</v>
      </c>
      <c r="C180" s="136"/>
      <c r="D180" s="136"/>
      <c r="E180" s="136"/>
      <c r="F180" s="136"/>
      <c r="G180" s="133">
        <v>2</v>
      </c>
      <c r="H180" s="164">
        <v>3</v>
      </c>
      <c r="I180" s="164"/>
      <c r="J180" s="133"/>
      <c r="K180" s="135"/>
      <c r="AA180">
        <f>IF(AND('2 Phy'!C180&gt;Tmin, NOT('2 Phy'!$I180="")),'2 Phy'!$I180,0)</f>
        <v>0</v>
      </c>
      <c r="AB180">
        <f>IF(AND('2 Phy'!D180&gt;Tmin, NOT('2 Phy'!$I180="")),'2 Phy'!$I180,0)</f>
        <v>0</v>
      </c>
      <c r="AC180">
        <f>IF(AND('2 Phy'!E180&gt;Tmin, NOT('2 Phy'!$I180="")),'2 Phy'!$I180,0)</f>
        <v>0</v>
      </c>
      <c r="AD180">
        <f>IF(AND('2 Phy'!F180&gt;Tmin, NOT('2 Phy'!$I180="")),'2 Phy'!$I180,0)</f>
        <v>0</v>
      </c>
      <c r="AE180">
        <f>IF(AND('2 Phy'!C180&lt;Tmax, NOT('2 Phy'!$H180="")),'2 Phy'!$H180,4)</f>
        <v>3</v>
      </c>
      <c r="AF180">
        <f>IF(AND('2 Phy'!D180&lt;Tmax, NOT('2 Phy'!$H180="")),'2 Phy'!$H180,4)</f>
        <v>3</v>
      </c>
      <c r="AG180">
        <f>IF(AND('2 Phy'!E180&lt;Tmax, NOT('2 Phy'!$H180="")),'2 Phy'!$H180,4)</f>
        <v>3</v>
      </c>
      <c r="AH180">
        <f>IF(AND('2 Phy'!F180&lt;Tmax, NOT('2 Phy'!$H180="")),'2 Phy'!$H180,4)</f>
        <v>3</v>
      </c>
      <c r="AI180"/>
    </row>
    <row r="181" spans="1:35" ht="13.2" x14ac:dyDescent="0.2">
      <c r="A181" s="164" t="s">
        <v>1837</v>
      </c>
      <c r="B181" s="164" t="s">
        <v>1824</v>
      </c>
      <c r="C181" s="136"/>
      <c r="D181" s="136"/>
      <c r="E181" s="136"/>
      <c r="F181" s="136"/>
      <c r="G181" s="133">
        <v>3</v>
      </c>
      <c r="H181" s="164">
        <v>3</v>
      </c>
      <c r="I181" s="164"/>
      <c r="J181" s="133"/>
      <c r="K181" s="135"/>
      <c r="AA181">
        <f>IF(AND('2 Phy'!C181&gt;Tmin, NOT('2 Phy'!$I181="")),'2 Phy'!$I181,0)</f>
        <v>0</v>
      </c>
      <c r="AB181">
        <f>IF(AND('2 Phy'!D181&gt;Tmin, NOT('2 Phy'!$I181="")),'2 Phy'!$I181,0)</f>
        <v>0</v>
      </c>
      <c r="AC181">
        <f>IF(AND('2 Phy'!E181&gt;Tmin, NOT('2 Phy'!$I181="")),'2 Phy'!$I181,0)</f>
        <v>0</v>
      </c>
      <c r="AD181">
        <f>IF(AND('2 Phy'!F181&gt;Tmin, NOT('2 Phy'!$I181="")),'2 Phy'!$I181,0)</f>
        <v>0</v>
      </c>
      <c r="AE181">
        <f>IF(AND('2 Phy'!C181&lt;Tmax, NOT('2 Phy'!$H181="")),'2 Phy'!$H181,4)</f>
        <v>3</v>
      </c>
      <c r="AF181">
        <f>IF(AND('2 Phy'!D181&lt;Tmax, NOT('2 Phy'!$H181="")),'2 Phy'!$H181,4)</f>
        <v>3</v>
      </c>
      <c r="AG181">
        <f>IF(AND('2 Phy'!E181&lt;Tmax, NOT('2 Phy'!$H181="")),'2 Phy'!$H181,4)</f>
        <v>3</v>
      </c>
      <c r="AH181">
        <f>IF(AND('2 Phy'!F181&lt;Tmax, NOT('2 Phy'!$H181="")),'2 Phy'!$H181,4)</f>
        <v>3</v>
      </c>
      <c r="AI181"/>
    </row>
    <row r="182" spans="1:35" ht="13.2" x14ac:dyDescent="0.2">
      <c r="A182" s="164" t="s">
        <v>1838</v>
      </c>
      <c r="B182" s="164" t="s">
        <v>1825</v>
      </c>
      <c r="C182" s="136"/>
      <c r="D182" s="136"/>
      <c r="E182" s="136"/>
      <c r="F182" s="136"/>
      <c r="G182" s="133">
        <v>3</v>
      </c>
      <c r="H182" s="164">
        <v>3</v>
      </c>
      <c r="I182" s="164"/>
      <c r="J182" s="133"/>
      <c r="K182" s="135"/>
      <c r="AA182">
        <f>IF(AND('2 Phy'!C182&gt;Tmin, NOT('2 Phy'!$I182="")),'2 Phy'!$I182,0)</f>
        <v>0</v>
      </c>
      <c r="AB182">
        <f>IF(AND('2 Phy'!D182&gt;Tmin, NOT('2 Phy'!$I182="")),'2 Phy'!$I182,0)</f>
        <v>0</v>
      </c>
      <c r="AC182">
        <f>IF(AND('2 Phy'!E182&gt;Tmin, NOT('2 Phy'!$I182="")),'2 Phy'!$I182,0)</f>
        <v>0</v>
      </c>
      <c r="AD182">
        <f>IF(AND('2 Phy'!F182&gt;Tmin, NOT('2 Phy'!$I182="")),'2 Phy'!$I182,0)</f>
        <v>0</v>
      </c>
      <c r="AE182">
        <f>IF(AND('2 Phy'!C182&lt;Tmax, NOT('2 Phy'!$H182="")),'2 Phy'!$H182,4)</f>
        <v>3</v>
      </c>
      <c r="AF182">
        <f>IF(AND('2 Phy'!D182&lt;Tmax, NOT('2 Phy'!$H182="")),'2 Phy'!$H182,4)</f>
        <v>3</v>
      </c>
      <c r="AG182">
        <f>IF(AND('2 Phy'!E182&lt;Tmax, NOT('2 Phy'!$H182="")),'2 Phy'!$H182,4)</f>
        <v>3</v>
      </c>
      <c r="AH182">
        <f>IF(AND('2 Phy'!F182&lt;Tmax, NOT('2 Phy'!$H182="")),'2 Phy'!$H182,4)</f>
        <v>3</v>
      </c>
      <c r="AI182"/>
    </row>
    <row r="183" spans="1:35" ht="13.2" x14ac:dyDescent="0.2">
      <c r="A183" s="164" t="s">
        <v>1839</v>
      </c>
      <c r="B183" s="164" t="s">
        <v>2301</v>
      </c>
      <c r="C183" s="136"/>
      <c r="D183" s="136"/>
      <c r="E183" s="136"/>
      <c r="F183" s="136"/>
      <c r="G183" s="133">
        <v>1</v>
      </c>
      <c r="H183" s="164"/>
      <c r="I183" s="164"/>
      <c r="J183" s="133"/>
      <c r="K183" s="135"/>
      <c r="AA183">
        <f>IF(AND('2 Phy'!C183&gt;Tmin, NOT('2 Phy'!$I183="")),'2 Phy'!$I183,0)</f>
        <v>0</v>
      </c>
      <c r="AB183">
        <f>IF(AND('2 Phy'!D183&gt;Tmin, NOT('2 Phy'!$I183="")),'2 Phy'!$I183,0)</f>
        <v>0</v>
      </c>
      <c r="AC183">
        <f>IF(AND('2 Phy'!E183&gt;Tmin, NOT('2 Phy'!$I183="")),'2 Phy'!$I183,0)</f>
        <v>0</v>
      </c>
      <c r="AD183">
        <f>IF(AND('2 Phy'!F183&gt;Tmin, NOT('2 Phy'!$I183="")),'2 Phy'!$I183,0)</f>
        <v>0</v>
      </c>
      <c r="AE183">
        <f>IF(AND('2 Phy'!C183&lt;Tmax, NOT('2 Phy'!$H183="")),'2 Phy'!$H183,4)</f>
        <v>4</v>
      </c>
      <c r="AF183">
        <f>IF(AND('2 Phy'!D183&lt;Tmax, NOT('2 Phy'!$H183="")),'2 Phy'!$H183,4)</f>
        <v>4</v>
      </c>
      <c r="AG183">
        <f>IF(AND('2 Phy'!E183&lt;Tmax, NOT('2 Phy'!$H183="")),'2 Phy'!$H183,4)</f>
        <v>4</v>
      </c>
      <c r="AH183">
        <f>IF(AND('2 Phy'!F183&lt;Tmax, NOT('2 Phy'!$H183="")),'2 Phy'!$H183,4)</f>
        <v>4</v>
      </c>
      <c r="AI183"/>
    </row>
    <row r="184" spans="1:35" s="213" customFormat="1" ht="13.2" x14ac:dyDescent="0.25">
      <c r="A184" s="164" t="s">
        <v>1840</v>
      </c>
      <c r="B184" s="164" t="s">
        <v>1826</v>
      </c>
      <c r="C184" s="136"/>
      <c r="D184" s="136"/>
      <c r="E184" s="136"/>
      <c r="F184" s="136"/>
      <c r="G184" s="133">
        <v>4</v>
      </c>
      <c r="H184" s="164">
        <v>3</v>
      </c>
      <c r="I184" s="164"/>
      <c r="J184" s="133"/>
      <c r="K184" s="135"/>
      <c r="L184" s="135"/>
      <c r="M184" s="227"/>
      <c r="N184" s="227"/>
      <c r="O184" s="227"/>
      <c r="P184" s="227"/>
      <c r="Q184" s="227"/>
      <c r="R184" s="227"/>
      <c r="S184" s="227"/>
      <c r="T184" s="227"/>
      <c r="U184" s="227"/>
      <c r="V184" s="227"/>
      <c r="W184" s="227"/>
      <c r="X184" s="227"/>
      <c r="Y184" s="227"/>
      <c r="Z184" s="227"/>
      <c r="AA184">
        <f>IF(AND('2 Phy'!C184&gt;Tmin, NOT('2 Phy'!$I184="")),'2 Phy'!$I184,0)</f>
        <v>0</v>
      </c>
      <c r="AB184">
        <f>IF(AND('2 Phy'!D184&gt;Tmin, NOT('2 Phy'!$I184="")),'2 Phy'!$I184,0)</f>
        <v>0</v>
      </c>
      <c r="AC184">
        <f>IF(AND('2 Phy'!E184&gt;Tmin, NOT('2 Phy'!$I184="")),'2 Phy'!$I184,0)</f>
        <v>0</v>
      </c>
      <c r="AD184">
        <f>IF(AND('2 Phy'!F184&gt;Tmin, NOT('2 Phy'!$I184="")),'2 Phy'!$I184,0)</f>
        <v>0</v>
      </c>
      <c r="AE184">
        <f>IF(AND('2 Phy'!C184&lt;Tmax, NOT('2 Phy'!$H184="")),'2 Phy'!$H184,4)</f>
        <v>3</v>
      </c>
      <c r="AF184">
        <f>IF(AND('2 Phy'!D184&lt;Tmax, NOT('2 Phy'!$H184="")),'2 Phy'!$H184,4)</f>
        <v>3</v>
      </c>
      <c r="AG184">
        <f>IF(AND('2 Phy'!E184&lt;Tmax, NOT('2 Phy'!$H184="")),'2 Phy'!$H184,4)</f>
        <v>3</v>
      </c>
      <c r="AH184">
        <f>IF(AND('2 Phy'!F184&lt;Tmax, NOT('2 Phy'!$H184="")),'2 Phy'!$H184,4)</f>
        <v>3</v>
      </c>
      <c r="AI184"/>
    </row>
    <row r="185" spans="1:35" ht="20.399999999999999" x14ac:dyDescent="0.2">
      <c r="A185" s="164" t="s">
        <v>1841</v>
      </c>
      <c r="B185" s="164" t="s">
        <v>1827</v>
      </c>
      <c r="C185" s="136"/>
      <c r="D185" s="136"/>
      <c r="E185" s="136"/>
      <c r="F185" s="136"/>
      <c r="G185" s="133">
        <v>3</v>
      </c>
      <c r="H185" s="164"/>
      <c r="I185" s="164"/>
      <c r="J185" s="133"/>
      <c r="K185" s="135"/>
      <c r="AA185">
        <f>IF(AND('2 Phy'!C185&gt;Tmin, NOT('2 Phy'!$I185="")),'2 Phy'!$I185,0)</f>
        <v>0</v>
      </c>
      <c r="AB185">
        <f>IF(AND('2 Phy'!D185&gt;Tmin, NOT('2 Phy'!$I185="")),'2 Phy'!$I185,0)</f>
        <v>0</v>
      </c>
      <c r="AC185">
        <f>IF(AND('2 Phy'!E185&gt;Tmin, NOT('2 Phy'!$I185="")),'2 Phy'!$I185,0)</f>
        <v>0</v>
      </c>
      <c r="AD185">
        <f>IF(AND('2 Phy'!F185&gt;Tmin, NOT('2 Phy'!$I185="")),'2 Phy'!$I185,0)</f>
        <v>0</v>
      </c>
      <c r="AE185">
        <f>IF(AND('2 Phy'!C185&lt;Tmax, NOT('2 Phy'!$H185="")),'2 Phy'!$H185,4)</f>
        <v>4</v>
      </c>
      <c r="AF185">
        <f>IF(AND('2 Phy'!D185&lt;Tmax, NOT('2 Phy'!$H185="")),'2 Phy'!$H185,4)</f>
        <v>4</v>
      </c>
      <c r="AG185">
        <f>IF(AND('2 Phy'!E185&lt;Tmax, NOT('2 Phy'!$H185="")),'2 Phy'!$H185,4)</f>
        <v>4</v>
      </c>
      <c r="AH185">
        <f>IF(AND('2 Phy'!F185&lt;Tmax, NOT('2 Phy'!$H185="")),'2 Phy'!$H185,4)</f>
        <v>4</v>
      </c>
      <c r="AI185"/>
    </row>
    <row r="186" spans="1:35" s="213" customFormat="1" ht="13.2" x14ac:dyDescent="0.25">
      <c r="A186" s="164" t="s">
        <v>1842</v>
      </c>
      <c r="B186" s="164" t="s">
        <v>237</v>
      </c>
      <c r="C186" s="136"/>
      <c r="D186" s="136"/>
      <c r="E186" s="136"/>
      <c r="F186" s="136"/>
      <c r="G186" s="133">
        <v>3</v>
      </c>
      <c r="H186" s="164">
        <v>3</v>
      </c>
      <c r="I186" s="164"/>
      <c r="J186" s="133"/>
      <c r="K186" s="135"/>
      <c r="L186" s="135"/>
      <c r="M186" s="227"/>
      <c r="N186" s="227"/>
      <c r="O186" s="227"/>
      <c r="P186" s="227"/>
      <c r="Q186" s="227"/>
      <c r="R186" s="227"/>
      <c r="S186" s="227"/>
      <c r="T186" s="227"/>
      <c r="U186" s="227"/>
      <c r="V186" s="227"/>
      <c r="W186" s="227"/>
      <c r="X186" s="227"/>
      <c r="Y186" s="227"/>
      <c r="Z186" s="227"/>
      <c r="AA186">
        <f>IF(AND('2 Phy'!C186&gt;Tmin, NOT('2 Phy'!$I186="")),'2 Phy'!$I186,0)</f>
        <v>0</v>
      </c>
      <c r="AB186">
        <f>IF(AND('2 Phy'!D186&gt;Tmin, NOT('2 Phy'!$I186="")),'2 Phy'!$I186,0)</f>
        <v>0</v>
      </c>
      <c r="AC186">
        <f>IF(AND('2 Phy'!E186&gt;Tmin, NOT('2 Phy'!$I186="")),'2 Phy'!$I186,0)</f>
        <v>0</v>
      </c>
      <c r="AD186">
        <f>IF(AND('2 Phy'!F186&gt;Tmin, NOT('2 Phy'!$I186="")),'2 Phy'!$I186,0)</f>
        <v>0</v>
      </c>
      <c r="AE186">
        <f>IF(AND('2 Phy'!C186&lt;Tmax, NOT('2 Phy'!$H186="")),'2 Phy'!$H186,4)</f>
        <v>3</v>
      </c>
      <c r="AF186">
        <f>IF(AND('2 Phy'!D186&lt;Tmax, NOT('2 Phy'!$H186="")),'2 Phy'!$H186,4)</f>
        <v>3</v>
      </c>
      <c r="AG186">
        <f>IF(AND('2 Phy'!E186&lt;Tmax, NOT('2 Phy'!$H186="")),'2 Phy'!$H186,4)</f>
        <v>3</v>
      </c>
      <c r="AH186">
        <f>IF(AND('2 Phy'!F186&lt;Tmax, NOT('2 Phy'!$H186="")),'2 Phy'!$H186,4)</f>
        <v>3</v>
      </c>
      <c r="AI186"/>
    </row>
    <row r="187" spans="1:35" s="213" customFormat="1" ht="13.2" x14ac:dyDescent="0.25">
      <c r="A187" s="164" t="s">
        <v>4368</v>
      </c>
      <c r="B187" s="164" t="s">
        <v>4651</v>
      </c>
      <c r="C187" s="136"/>
      <c r="D187" s="136"/>
      <c r="E187" s="136"/>
      <c r="F187" s="136"/>
      <c r="G187" s="133"/>
      <c r="H187" s="164"/>
      <c r="I187" s="164"/>
      <c r="J187" s="133"/>
      <c r="K187" s="135"/>
      <c r="L187" s="135"/>
      <c r="M187" s="227"/>
      <c r="N187" s="227"/>
      <c r="O187" s="227"/>
      <c r="P187" s="227"/>
      <c r="Q187" s="227"/>
      <c r="R187" s="227"/>
      <c r="S187" s="227"/>
      <c r="T187" s="227"/>
      <c r="U187" s="227"/>
      <c r="V187" s="227"/>
      <c r="W187" s="227"/>
      <c r="X187" s="227"/>
      <c r="Y187" s="227"/>
      <c r="Z187" s="227"/>
      <c r="AA187"/>
      <c r="AB187"/>
      <c r="AC187"/>
      <c r="AD187"/>
      <c r="AE187"/>
      <c r="AF187"/>
      <c r="AG187"/>
      <c r="AH187"/>
      <c r="AI187"/>
    </row>
    <row r="188" spans="1:35" s="213" customFormat="1" ht="13.2" x14ac:dyDescent="0.25">
      <c r="A188" s="164" t="s">
        <v>4375</v>
      </c>
      <c r="B188" s="164" t="s">
        <v>4369</v>
      </c>
      <c r="C188" s="136"/>
      <c r="D188" s="136"/>
      <c r="E188" s="136"/>
      <c r="F188" s="136"/>
      <c r="G188" s="133">
        <v>4</v>
      </c>
      <c r="H188" s="164"/>
      <c r="I188" s="164"/>
      <c r="J188" s="133"/>
      <c r="K188" s="135"/>
      <c r="L188" s="135"/>
      <c r="M188" s="227"/>
      <c r="N188" s="227"/>
      <c r="O188" s="227"/>
      <c r="P188" s="227"/>
      <c r="Q188" s="227"/>
      <c r="R188" s="227"/>
      <c r="S188" s="227"/>
      <c r="T188" s="227"/>
      <c r="U188" s="227"/>
      <c r="V188" s="227"/>
      <c r="W188" s="227"/>
      <c r="X188" s="227"/>
      <c r="Y188" s="227"/>
      <c r="Z188" s="227"/>
      <c r="AA188">
        <f>IF(AND('2 Phy'!C188&gt;Tmin, NOT('2 Phy'!$I188="")),'2 Phy'!$I188,0)</f>
        <v>0</v>
      </c>
      <c r="AB188">
        <f>IF(AND('2 Phy'!D188&gt;Tmin, NOT('2 Phy'!$I188="")),'2 Phy'!$I188,0)</f>
        <v>0</v>
      </c>
      <c r="AC188">
        <f>IF(AND('2 Phy'!E188&gt;Tmin, NOT('2 Phy'!$I188="")),'2 Phy'!$I188,0)</f>
        <v>0</v>
      </c>
      <c r="AD188">
        <f>IF(AND('2 Phy'!F188&gt;Tmin, NOT('2 Phy'!$I188="")),'2 Phy'!$I188,0)</f>
        <v>0</v>
      </c>
      <c r="AE188">
        <f>IF(AND('2 Phy'!C188&lt;Tmax, NOT('2 Phy'!$H188="")),'2 Phy'!$H188,4)</f>
        <v>4</v>
      </c>
      <c r="AF188">
        <f>IF(AND('2 Phy'!D188&lt;Tmax, NOT('2 Phy'!$H188="")),'2 Phy'!$H188,4)</f>
        <v>4</v>
      </c>
      <c r="AG188">
        <f>IF(AND('2 Phy'!E188&lt;Tmax, NOT('2 Phy'!$H188="")),'2 Phy'!$H188,4)</f>
        <v>4</v>
      </c>
      <c r="AH188">
        <f>IF(AND('2 Phy'!F188&lt;Tmax, NOT('2 Phy'!$H188="")),'2 Phy'!$H188,4)</f>
        <v>4</v>
      </c>
      <c r="AI188"/>
    </row>
    <row r="189" spans="1:35" s="213" customFormat="1" ht="20.399999999999999" x14ac:dyDescent="0.25">
      <c r="A189" s="164" t="s">
        <v>4376</v>
      </c>
      <c r="B189" s="164" t="s">
        <v>6753</v>
      </c>
      <c r="C189" s="136"/>
      <c r="D189" s="136"/>
      <c r="E189" s="136"/>
      <c r="F189" s="136"/>
      <c r="G189" s="133">
        <v>3</v>
      </c>
      <c r="H189" s="164"/>
      <c r="I189" s="164"/>
      <c r="J189" s="133"/>
      <c r="K189" s="135"/>
      <c r="L189" s="135"/>
      <c r="M189" s="227"/>
      <c r="N189" s="227"/>
      <c r="O189" s="227"/>
      <c r="P189" s="227"/>
      <c r="Q189" s="227"/>
      <c r="R189" s="227"/>
      <c r="S189" s="227"/>
      <c r="T189" s="227"/>
      <c r="U189" s="227"/>
      <c r="V189" s="227"/>
      <c r="W189" s="227"/>
      <c r="X189" s="227"/>
      <c r="Y189" s="227"/>
      <c r="Z189" s="227"/>
      <c r="AA189">
        <f>IF(AND('2 Phy'!C189&gt;Tmin, NOT('2 Phy'!$I189="")),'2 Phy'!$I189,0)</f>
        <v>0</v>
      </c>
      <c r="AB189">
        <f>IF(AND('2 Phy'!D189&gt;Tmin, NOT('2 Phy'!$I189="")),'2 Phy'!$I189,0)</f>
        <v>0</v>
      </c>
      <c r="AC189">
        <f>IF(AND('2 Phy'!E189&gt;Tmin, NOT('2 Phy'!$I189="")),'2 Phy'!$I189,0)</f>
        <v>0</v>
      </c>
      <c r="AD189">
        <f>IF(AND('2 Phy'!F189&gt;Tmin, NOT('2 Phy'!$I189="")),'2 Phy'!$I189,0)</f>
        <v>0</v>
      </c>
      <c r="AE189">
        <f>IF(AND('2 Phy'!C189&lt;Tmax, NOT('2 Phy'!$H189="")),'2 Phy'!$H189,4)</f>
        <v>4</v>
      </c>
      <c r="AF189">
        <f>IF(AND('2 Phy'!D189&lt;Tmax, NOT('2 Phy'!$H189="")),'2 Phy'!$H189,4)</f>
        <v>4</v>
      </c>
      <c r="AG189">
        <f>IF(AND('2 Phy'!E189&lt;Tmax, NOT('2 Phy'!$H189="")),'2 Phy'!$H189,4)</f>
        <v>4</v>
      </c>
      <c r="AH189">
        <f>IF(AND('2 Phy'!F189&lt;Tmax, NOT('2 Phy'!$H189="")),'2 Phy'!$H189,4)</f>
        <v>4</v>
      </c>
      <c r="AI189"/>
    </row>
    <row r="190" spans="1:35" s="213" customFormat="1" ht="20.399999999999999" x14ac:dyDescent="0.25">
      <c r="A190" s="164" t="s">
        <v>4377</v>
      </c>
      <c r="B190" s="164" t="s">
        <v>4370</v>
      </c>
      <c r="C190" s="136"/>
      <c r="D190" s="136"/>
      <c r="E190" s="136"/>
      <c r="F190" s="136"/>
      <c r="G190" s="133">
        <v>3</v>
      </c>
      <c r="H190" s="164"/>
      <c r="I190" s="164"/>
      <c r="J190" s="133"/>
      <c r="K190" s="135"/>
      <c r="L190" s="135"/>
      <c r="M190" s="227"/>
      <c r="N190" s="227"/>
      <c r="O190" s="227"/>
      <c r="P190" s="227"/>
      <c r="Q190" s="227"/>
      <c r="R190" s="227"/>
      <c r="S190" s="227"/>
      <c r="T190" s="227"/>
      <c r="U190" s="227"/>
      <c r="V190" s="227"/>
      <c r="W190" s="227"/>
      <c r="X190" s="227"/>
      <c r="Y190" s="227"/>
      <c r="Z190" s="227"/>
      <c r="AA190">
        <f>IF(AND('2 Phy'!C190&gt;Tmin, NOT('2 Phy'!$I190="")),'2 Phy'!$I190,0)</f>
        <v>0</v>
      </c>
      <c r="AB190">
        <f>IF(AND('2 Phy'!D190&gt;Tmin, NOT('2 Phy'!$I190="")),'2 Phy'!$I190,0)</f>
        <v>0</v>
      </c>
      <c r="AC190">
        <f>IF(AND('2 Phy'!E190&gt;Tmin, NOT('2 Phy'!$I190="")),'2 Phy'!$I190,0)</f>
        <v>0</v>
      </c>
      <c r="AD190">
        <f>IF(AND('2 Phy'!F190&gt;Tmin, NOT('2 Phy'!$I190="")),'2 Phy'!$I190,0)</f>
        <v>0</v>
      </c>
      <c r="AE190">
        <f>IF(AND('2 Phy'!C190&lt;Tmax, NOT('2 Phy'!$H190="")),'2 Phy'!$H190,4)</f>
        <v>4</v>
      </c>
      <c r="AF190">
        <f>IF(AND('2 Phy'!D190&lt;Tmax, NOT('2 Phy'!$H190="")),'2 Phy'!$H190,4)</f>
        <v>4</v>
      </c>
      <c r="AG190">
        <f>IF(AND('2 Phy'!E190&lt;Tmax, NOT('2 Phy'!$H190="")),'2 Phy'!$H190,4)</f>
        <v>4</v>
      </c>
      <c r="AH190">
        <f>IF(AND('2 Phy'!F190&lt;Tmax, NOT('2 Phy'!$H190="")),'2 Phy'!$H190,4)</f>
        <v>4</v>
      </c>
      <c r="AI190"/>
    </row>
    <row r="191" spans="1:35" s="213" customFormat="1" ht="20.399999999999999" x14ac:dyDescent="0.25">
      <c r="A191" s="164" t="s">
        <v>4378</v>
      </c>
      <c r="B191" s="164" t="s">
        <v>4371</v>
      </c>
      <c r="C191" s="136"/>
      <c r="D191" s="136"/>
      <c r="E191" s="136"/>
      <c r="F191" s="136"/>
      <c r="G191" s="133">
        <v>2</v>
      </c>
      <c r="H191" s="164"/>
      <c r="I191" s="164"/>
      <c r="J191" s="133"/>
      <c r="K191" s="135"/>
      <c r="L191" s="135"/>
      <c r="M191" s="227"/>
      <c r="N191" s="227"/>
      <c r="O191" s="227"/>
      <c r="P191" s="227"/>
      <c r="Q191" s="227"/>
      <c r="R191" s="227"/>
      <c r="S191" s="227"/>
      <c r="T191" s="227"/>
      <c r="U191" s="227"/>
      <c r="V191" s="227"/>
      <c r="W191" s="227"/>
      <c r="X191" s="227"/>
      <c r="Y191" s="227"/>
      <c r="Z191" s="227"/>
      <c r="AA191">
        <f>IF(AND('2 Phy'!C191&gt;Tmin, NOT('2 Phy'!$I191="")),'2 Phy'!$I191,0)</f>
        <v>0</v>
      </c>
      <c r="AB191">
        <f>IF(AND('2 Phy'!D191&gt;Tmin, NOT('2 Phy'!$I191="")),'2 Phy'!$I191,0)</f>
        <v>0</v>
      </c>
      <c r="AC191">
        <f>IF(AND('2 Phy'!E191&gt;Tmin, NOT('2 Phy'!$I191="")),'2 Phy'!$I191,0)</f>
        <v>0</v>
      </c>
      <c r="AD191">
        <f>IF(AND('2 Phy'!F191&gt;Tmin, NOT('2 Phy'!$I191="")),'2 Phy'!$I191,0)</f>
        <v>0</v>
      </c>
      <c r="AE191">
        <f>IF(AND('2 Phy'!C191&lt;Tmax, NOT('2 Phy'!$H191="")),'2 Phy'!$H191,4)</f>
        <v>4</v>
      </c>
      <c r="AF191">
        <f>IF(AND('2 Phy'!D191&lt;Tmax, NOT('2 Phy'!$H191="")),'2 Phy'!$H191,4)</f>
        <v>4</v>
      </c>
      <c r="AG191">
        <f>IF(AND('2 Phy'!E191&lt;Tmax, NOT('2 Phy'!$H191="")),'2 Phy'!$H191,4)</f>
        <v>4</v>
      </c>
      <c r="AH191">
        <f>IF(AND('2 Phy'!F191&lt;Tmax, NOT('2 Phy'!$H191="")),'2 Phy'!$H191,4)</f>
        <v>4</v>
      </c>
      <c r="AI191"/>
    </row>
    <row r="192" spans="1:35" s="213" customFormat="1" ht="20.399999999999999" x14ac:dyDescent="0.25">
      <c r="A192" s="164" t="s">
        <v>4379</v>
      </c>
      <c r="B192" s="164" t="s">
        <v>4372</v>
      </c>
      <c r="C192" s="136"/>
      <c r="D192" s="136"/>
      <c r="E192" s="136"/>
      <c r="F192" s="136"/>
      <c r="G192" s="133">
        <v>2</v>
      </c>
      <c r="H192" s="164"/>
      <c r="I192" s="164"/>
      <c r="J192" s="133"/>
      <c r="K192" s="135"/>
      <c r="L192" s="135"/>
      <c r="M192" s="227"/>
      <c r="N192" s="227"/>
      <c r="O192" s="227"/>
      <c r="P192" s="227"/>
      <c r="Q192" s="227"/>
      <c r="R192" s="227"/>
      <c r="S192" s="227"/>
      <c r="T192" s="227"/>
      <c r="U192" s="227"/>
      <c r="V192" s="227"/>
      <c r="W192" s="227"/>
      <c r="X192" s="227"/>
      <c r="Y192" s="227"/>
      <c r="Z192" s="227"/>
      <c r="AA192">
        <f>IF(AND('2 Phy'!C192&gt;Tmin, NOT('2 Phy'!$I192="")),'2 Phy'!$I192,0)</f>
        <v>0</v>
      </c>
      <c r="AB192">
        <f>IF(AND('2 Phy'!D192&gt;Tmin, NOT('2 Phy'!$I192="")),'2 Phy'!$I192,0)</f>
        <v>0</v>
      </c>
      <c r="AC192">
        <f>IF(AND('2 Phy'!E192&gt;Tmin, NOT('2 Phy'!$I192="")),'2 Phy'!$I192,0)</f>
        <v>0</v>
      </c>
      <c r="AD192">
        <f>IF(AND('2 Phy'!F192&gt;Tmin, NOT('2 Phy'!$I192="")),'2 Phy'!$I192,0)</f>
        <v>0</v>
      </c>
      <c r="AE192">
        <f>IF(AND('2 Phy'!C192&lt;Tmax, NOT('2 Phy'!$H192="")),'2 Phy'!$H192,4)</f>
        <v>4</v>
      </c>
      <c r="AF192">
        <f>IF(AND('2 Phy'!D192&lt;Tmax, NOT('2 Phy'!$H192="")),'2 Phy'!$H192,4)</f>
        <v>4</v>
      </c>
      <c r="AG192">
        <f>IF(AND('2 Phy'!E192&lt;Tmax, NOT('2 Phy'!$H192="")),'2 Phy'!$H192,4)</f>
        <v>4</v>
      </c>
      <c r="AH192">
        <f>IF(AND('2 Phy'!F192&lt;Tmax, NOT('2 Phy'!$H192="")),'2 Phy'!$H192,4)</f>
        <v>4</v>
      </c>
      <c r="AI192"/>
    </row>
    <row r="193" spans="1:35" s="213" customFormat="1" ht="13.2" x14ac:dyDescent="0.25">
      <c r="A193" s="164" t="s">
        <v>4380</v>
      </c>
      <c r="B193" s="164" t="s">
        <v>4373</v>
      </c>
      <c r="C193" s="136"/>
      <c r="D193" s="136"/>
      <c r="E193" s="136"/>
      <c r="F193" s="136"/>
      <c r="G193" s="133">
        <v>3</v>
      </c>
      <c r="H193" s="164">
        <v>3</v>
      </c>
      <c r="I193" s="164"/>
      <c r="J193" s="133"/>
      <c r="K193" s="135"/>
      <c r="L193" s="135"/>
      <c r="M193" s="227"/>
      <c r="N193" s="227"/>
      <c r="O193" s="227"/>
      <c r="P193" s="227"/>
      <c r="Q193" s="227"/>
      <c r="R193" s="227"/>
      <c r="S193" s="227"/>
      <c r="T193" s="227"/>
      <c r="U193" s="227"/>
      <c r="V193" s="227"/>
      <c r="W193" s="227"/>
      <c r="X193" s="227"/>
      <c r="Y193" s="227"/>
      <c r="Z193" s="227"/>
      <c r="AA193">
        <f>IF(AND('2 Phy'!C193&gt;Tmin, NOT('2 Phy'!$I193="")),'2 Phy'!$I193,0)</f>
        <v>0</v>
      </c>
      <c r="AB193">
        <f>IF(AND('2 Phy'!D193&gt;Tmin, NOT('2 Phy'!$I193="")),'2 Phy'!$I193,0)</f>
        <v>0</v>
      </c>
      <c r="AC193">
        <f>IF(AND('2 Phy'!E193&gt;Tmin, NOT('2 Phy'!$I193="")),'2 Phy'!$I193,0)</f>
        <v>0</v>
      </c>
      <c r="AD193">
        <f>IF(AND('2 Phy'!F193&gt;Tmin, NOT('2 Phy'!$I193="")),'2 Phy'!$I193,0)</f>
        <v>0</v>
      </c>
      <c r="AE193">
        <f>IF(AND('2 Phy'!C193&lt;Tmax, NOT('2 Phy'!$H193="")),'2 Phy'!$H193,4)</f>
        <v>3</v>
      </c>
      <c r="AF193">
        <f>IF(AND('2 Phy'!D193&lt;Tmax, NOT('2 Phy'!$H193="")),'2 Phy'!$H193,4)</f>
        <v>3</v>
      </c>
      <c r="AG193">
        <f>IF(AND('2 Phy'!E193&lt;Tmax, NOT('2 Phy'!$H193="")),'2 Phy'!$H193,4)</f>
        <v>3</v>
      </c>
      <c r="AH193">
        <f>IF(AND('2 Phy'!F193&lt;Tmax, NOT('2 Phy'!$H193="")),'2 Phy'!$H193,4)</f>
        <v>3</v>
      </c>
      <c r="AI193"/>
    </row>
    <row r="194" spans="1:35" s="213" customFormat="1" ht="13.2" x14ac:dyDescent="0.25">
      <c r="A194" s="164" t="s">
        <v>4381</v>
      </c>
      <c r="B194" s="164" t="s">
        <v>4374</v>
      </c>
      <c r="C194" s="136"/>
      <c r="D194" s="136"/>
      <c r="E194" s="136"/>
      <c r="F194" s="136"/>
      <c r="G194" s="133">
        <v>3</v>
      </c>
      <c r="H194" s="164"/>
      <c r="I194" s="164"/>
      <c r="J194" s="133"/>
      <c r="K194" s="135"/>
      <c r="L194" s="135"/>
      <c r="M194" s="227"/>
      <c r="N194" s="227"/>
      <c r="O194" s="227"/>
      <c r="P194" s="227"/>
      <c r="Q194" s="227"/>
      <c r="R194" s="227"/>
      <c r="S194" s="227"/>
      <c r="T194" s="227"/>
      <c r="U194" s="227"/>
      <c r="V194" s="227"/>
      <c r="W194" s="227"/>
      <c r="X194" s="227"/>
      <c r="Y194" s="227"/>
      <c r="Z194" s="227"/>
      <c r="AA194">
        <f>IF(AND('2 Phy'!C194&gt;Tmin, NOT('2 Phy'!$I194="")),'2 Phy'!$I194,0)</f>
        <v>0</v>
      </c>
      <c r="AB194">
        <f>IF(AND('2 Phy'!D194&gt;Tmin, NOT('2 Phy'!$I194="")),'2 Phy'!$I194,0)</f>
        <v>0</v>
      </c>
      <c r="AC194">
        <f>IF(AND('2 Phy'!E194&gt;Tmin, NOT('2 Phy'!$I194="")),'2 Phy'!$I194,0)</f>
        <v>0</v>
      </c>
      <c r="AD194">
        <f>IF(AND('2 Phy'!F194&gt;Tmin, NOT('2 Phy'!$I194="")),'2 Phy'!$I194,0)</f>
        <v>0</v>
      </c>
      <c r="AE194">
        <f>IF(AND('2 Phy'!C194&lt;Tmax, NOT('2 Phy'!$H194="")),'2 Phy'!$H194,4)</f>
        <v>4</v>
      </c>
      <c r="AF194">
        <f>IF(AND('2 Phy'!D194&lt;Tmax, NOT('2 Phy'!$H194="")),'2 Phy'!$H194,4)</f>
        <v>4</v>
      </c>
      <c r="AG194">
        <f>IF(AND('2 Phy'!E194&lt;Tmax, NOT('2 Phy'!$H194="")),'2 Phy'!$H194,4)</f>
        <v>4</v>
      </c>
      <c r="AH194">
        <f>IF(AND('2 Phy'!F194&lt;Tmax, NOT('2 Phy'!$H194="")),'2 Phy'!$H194,4)</f>
        <v>4</v>
      </c>
      <c r="AI194"/>
    </row>
    <row r="195" spans="1:35" ht="13.2" x14ac:dyDescent="0.2">
      <c r="G195" s="131"/>
      <c r="K195" s="135"/>
      <c r="AA195"/>
      <c r="AB195"/>
      <c r="AC195"/>
      <c r="AD195"/>
      <c r="AE195"/>
      <c r="AF195"/>
      <c r="AG195"/>
      <c r="AH195"/>
      <c r="AI195"/>
    </row>
    <row r="196" spans="1:35" ht="13.2" x14ac:dyDescent="0.2">
      <c r="K196" s="135"/>
      <c r="AA196"/>
      <c r="AB196"/>
      <c r="AC196"/>
      <c r="AD196"/>
      <c r="AE196"/>
      <c r="AF196"/>
      <c r="AG196"/>
      <c r="AH196"/>
      <c r="AI196"/>
    </row>
    <row r="197" spans="1:35" ht="13.2" x14ac:dyDescent="0.2">
      <c r="K197" s="135"/>
      <c r="AA197"/>
      <c r="AB197"/>
      <c r="AC197"/>
      <c r="AD197"/>
      <c r="AE197"/>
      <c r="AF197"/>
      <c r="AG197"/>
      <c r="AH197"/>
      <c r="AI197"/>
    </row>
    <row r="198" spans="1:35" ht="13.2" x14ac:dyDescent="0.2">
      <c r="K198" s="135"/>
      <c r="AA198"/>
      <c r="AB198"/>
      <c r="AC198"/>
      <c r="AD198"/>
      <c r="AE198"/>
      <c r="AF198"/>
      <c r="AG198"/>
      <c r="AH198"/>
      <c r="AI198"/>
    </row>
    <row r="199" spans="1:35" ht="13.2" x14ac:dyDescent="0.2">
      <c r="K199" s="135"/>
      <c r="AA199"/>
      <c r="AB199"/>
      <c r="AC199"/>
      <c r="AD199"/>
      <c r="AE199"/>
      <c r="AF199"/>
      <c r="AG199"/>
      <c r="AH199"/>
      <c r="AI199"/>
    </row>
    <row r="200" spans="1:35" ht="13.2" x14ac:dyDescent="0.2">
      <c r="K200" s="135"/>
      <c r="AA200"/>
      <c r="AB200"/>
      <c r="AC200"/>
      <c r="AD200"/>
      <c r="AE200"/>
      <c r="AF200"/>
      <c r="AG200"/>
      <c r="AH200"/>
      <c r="AI200"/>
    </row>
    <row r="201" spans="1:35" ht="13.2" x14ac:dyDescent="0.2">
      <c r="K201" s="135"/>
      <c r="AA201"/>
      <c r="AB201"/>
      <c r="AC201"/>
      <c r="AD201"/>
      <c r="AE201"/>
      <c r="AF201"/>
      <c r="AG201"/>
      <c r="AH201"/>
      <c r="AI201"/>
    </row>
    <row r="202" spans="1:35" ht="13.2" x14ac:dyDescent="0.2">
      <c r="K202" s="135"/>
      <c r="AA202"/>
      <c r="AB202"/>
      <c r="AC202"/>
      <c r="AD202"/>
      <c r="AE202"/>
      <c r="AF202"/>
      <c r="AG202"/>
      <c r="AH202"/>
      <c r="AI202"/>
    </row>
    <row r="203" spans="1:35" ht="13.2" x14ac:dyDescent="0.2">
      <c r="K203" s="135"/>
      <c r="AA203"/>
      <c r="AB203"/>
      <c r="AC203"/>
      <c r="AD203"/>
      <c r="AE203"/>
      <c r="AF203"/>
      <c r="AG203"/>
      <c r="AH203"/>
      <c r="AI203"/>
    </row>
    <row r="204" spans="1:35" ht="13.2" x14ac:dyDescent="0.2">
      <c r="K204" s="135"/>
      <c r="AA204"/>
      <c r="AB204"/>
      <c r="AC204"/>
      <c r="AD204"/>
      <c r="AE204"/>
      <c r="AF204"/>
      <c r="AG204"/>
      <c r="AH204"/>
      <c r="AI204"/>
    </row>
    <row r="205" spans="1:35" ht="13.2" x14ac:dyDescent="0.2">
      <c r="K205" s="135"/>
      <c r="AA205"/>
      <c r="AB205"/>
      <c r="AC205"/>
      <c r="AD205"/>
      <c r="AE205"/>
      <c r="AF205"/>
      <c r="AG205"/>
      <c r="AH205"/>
      <c r="AI205"/>
    </row>
    <row r="206" spans="1:35" ht="13.2" x14ac:dyDescent="0.2">
      <c r="K206" s="135"/>
      <c r="AA206"/>
      <c r="AB206"/>
      <c r="AC206"/>
      <c r="AD206"/>
      <c r="AE206"/>
      <c r="AF206"/>
      <c r="AG206"/>
      <c r="AH206"/>
      <c r="AI206"/>
    </row>
    <row r="207" spans="1:35" ht="13.2" x14ac:dyDescent="0.2">
      <c r="K207" s="135"/>
      <c r="AA207"/>
      <c r="AB207"/>
      <c r="AC207"/>
      <c r="AD207"/>
      <c r="AE207"/>
      <c r="AF207"/>
      <c r="AG207"/>
      <c r="AH207"/>
      <c r="AI207"/>
    </row>
    <row r="208" spans="1:35" ht="13.2" x14ac:dyDescent="0.2">
      <c r="K208" s="135"/>
      <c r="AA208"/>
      <c r="AB208"/>
      <c r="AC208"/>
      <c r="AD208"/>
      <c r="AE208"/>
      <c r="AF208"/>
      <c r="AG208"/>
      <c r="AH208"/>
      <c r="AI208"/>
    </row>
    <row r="209" spans="11:35" ht="13.2" x14ac:dyDescent="0.2">
      <c r="K209" s="135"/>
      <c r="AA209"/>
      <c r="AB209"/>
      <c r="AC209"/>
      <c r="AD209"/>
      <c r="AE209"/>
      <c r="AF209"/>
      <c r="AG209"/>
      <c r="AH209"/>
      <c r="AI209"/>
    </row>
    <row r="210" spans="11:35" ht="13.2" x14ac:dyDescent="0.2">
      <c r="K210" s="135"/>
      <c r="AA210"/>
      <c r="AB210"/>
      <c r="AC210"/>
      <c r="AD210"/>
      <c r="AE210"/>
      <c r="AF210"/>
      <c r="AG210"/>
      <c r="AH210"/>
      <c r="AI210"/>
    </row>
    <row r="211" spans="11:35" ht="13.2" x14ac:dyDescent="0.2">
      <c r="K211" s="135"/>
      <c r="AA211"/>
      <c r="AB211"/>
      <c r="AC211"/>
      <c r="AD211"/>
      <c r="AE211"/>
      <c r="AF211"/>
      <c r="AG211"/>
      <c r="AH211"/>
      <c r="AI211"/>
    </row>
    <row r="212" spans="11:35" ht="13.2" x14ac:dyDescent="0.2">
      <c r="K212" s="135"/>
      <c r="AA212"/>
      <c r="AB212"/>
      <c r="AC212"/>
      <c r="AD212"/>
      <c r="AE212"/>
      <c r="AF212"/>
      <c r="AG212"/>
      <c r="AH212"/>
      <c r="AI212"/>
    </row>
    <row r="213" spans="11:35" ht="13.2" x14ac:dyDescent="0.2">
      <c r="K213" s="135"/>
      <c r="AA213"/>
      <c r="AB213"/>
      <c r="AC213"/>
      <c r="AD213"/>
      <c r="AE213"/>
      <c r="AF213"/>
      <c r="AG213"/>
      <c r="AH213"/>
      <c r="AI213"/>
    </row>
    <row r="214" spans="11:35" ht="13.2" x14ac:dyDescent="0.2">
      <c r="K214" s="135"/>
      <c r="AA214"/>
      <c r="AB214"/>
      <c r="AC214"/>
      <c r="AD214"/>
      <c r="AE214"/>
      <c r="AF214"/>
      <c r="AG214"/>
      <c r="AH214"/>
      <c r="AI214"/>
    </row>
    <row r="215" spans="11:35" ht="13.2" x14ac:dyDescent="0.2">
      <c r="K215" s="135"/>
      <c r="AA215"/>
      <c r="AB215"/>
      <c r="AC215"/>
      <c r="AD215"/>
      <c r="AE215"/>
      <c r="AF215"/>
      <c r="AG215"/>
      <c r="AH215"/>
      <c r="AI215"/>
    </row>
    <row r="216" spans="11:35" ht="13.2" x14ac:dyDescent="0.2">
      <c r="K216" s="135"/>
      <c r="AA216"/>
      <c r="AB216"/>
      <c r="AC216"/>
      <c r="AD216"/>
      <c r="AE216"/>
      <c r="AF216"/>
      <c r="AG216"/>
      <c r="AH216"/>
      <c r="AI216"/>
    </row>
    <row r="217" spans="11:35" ht="13.2" x14ac:dyDescent="0.2">
      <c r="K217" s="135"/>
      <c r="AA217"/>
      <c r="AB217"/>
      <c r="AC217"/>
      <c r="AD217"/>
      <c r="AE217"/>
      <c r="AF217"/>
      <c r="AG217"/>
      <c r="AH217"/>
      <c r="AI217"/>
    </row>
    <row r="218" spans="11:35" ht="13.2" x14ac:dyDescent="0.2">
      <c r="K218" s="135"/>
      <c r="AA218"/>
      <c r="AB218"/>
      <c r="AC218"/>
      <c r="AD218"/>
      <c r="AE218"/>
      <c r="AF218"/>
      <c r="AG218"/>
      <c r="AH218"/>
      <c r="AI218"/>
    </row>
    <row r="219" spans="11:35" ht="13.2" x14ac:dyDescent="0.2">
      <c r="K219" s="135"/>
      <c r="AA219"/>
      <c r="AB219"/>
      <c r="AC219"/>
      <c r="AD219"/>
      <c r="AE219"/>
      <c r="AF219"/>
      <c r="AG219"/>
      <c r="AH219"/>
      <c r="AI219"/>
    </row>
    <row r="220" spans="11:35" ht="13.2" x14ac:dyDescent="0.2">
      <c r="K220" s="135"/>
      <c r="AA220"/>
      <c r="AB220"/>
      <c r="AC220"/>
      <c r="AD220"/>
      <c r="AE220"/>
      <c r="AF220"/>
      <c r="AG220"/>
      <c r="AH220"/>
      <c r="AI220"/>
    </row>
    <row r="221" spans="11:35" ht="13.2" x14ac:dyDescent="0.2">
      <c r="K221" s="135"/>
      <c r="AA221"/>
      <c r="AB221"/>
      <c r="AC221"/>
      <c r="AD221"/>
      <c r="AE221"/>
      <c r="AF221"/>
      <c r="AG221"/>
      <c r="AH221"/>
      <c r="AI221"/>
    </row>
    <row r="222" spans="11:35" ht="13.2" x14ac:dyDescent="0.2">
      <c r="K222" s="135"/>
      <c r="AA222"/>
      <c r="AB222"/>
      <c r="AC222"/>
      <c r="AD222"/>
      <c r="AE222"/>
      <c r="AF222"/>
      <c r="AG222"/>
      <c r="AH222"/>
      <c r="AI222"/>
    </row>
    <row r="223" spans="11:35" ht="13.2" x14ac:dyDescent="0.2">
      <c r="K223" s="135"/>
      <c r="AA223"/>
      <c r="AB223"/>
      <c r="AC223"/>
      <c r="AD223"/>
      <c r="AE223"/>
      <c r="AF223"/>
      <c r="AG223"/>
      <c r="AH223"/>
      <c r="AI223"/>
    </row>
    <row r="224" spans="11:35" ht="13.2" x14ac:dyDescent="0.2">
      <c r="K224" s="135"/>
      <c r="AA224"/>
      <c r="AB224"/>
      <c r="AC224"/>
      <c r="AD224"/>
      <c r="AE224"/>
      <c r="AF224"/>
      <c r="AG224"/>
      <c r="AH224"/>
      <c r="AI224"/>
    </row>
    <row r="225" spans="11:35" ht="13.2" x14ac:dyDescent="0.2">
      <c r="K225" s="135"/>
      <c r="AA225"/>
      <c r="AB225"/>
      <c r="AC225"/>
      <c r="AD225"/>
      <c r="AE225"/>
      <c r="AF225"/>
      <c r="AG225"/>
      <c r="AH225"/>
      <c r="AI225"/>
    </row>
    <row r="226" spans="11:35" ht="13.2" x14ac:dyDescent="0.2">
      <c r="K226" s="135"/>
      <c r="AA226"/>
      <c r="AB226"/>
      <c r="AC226"/>
      <c r="AD226"/>
      <c r="AE226"/>
      <c r="AF226"/>
      <c r="AG226"/>
      <c r="AH226"/>
      <c r="AI226"/>
    </row>
    <row r="227" spans="11:35" ht="13.2" x14ac:dyDescent="0.2">
      <c r="K227" s="135"/>
      <c r="AA227"/>
      <c r="AB227"/>
      <c r="AC227"/>
      <c r="AD227"/>
      <c r="AE227"/>
      <c r="AF227"/>
      <c r="AG227"/>
      <c r="AH227"/>
      <c r="AI227"/>
    </row>
    <row r="228" spans="11:35" ht="13.2" x14ac:dyDescent="0.2">
      <c r="K228" s="135"/>
      <c r="AA228"/>
      <c r="AB228"/>
      <c r="AC228"/>
      <c r="AD228"/>
      <c r="AE228"/>
      <c r="AF228"/>
      <c r="AG228"/>
      <c r="AH228"/>
      <c r="AI228"/>
    </row>
    <row r="229" spans="11:35" ht="13.2" x14ac:dyDescent="0.2">
      <c r="K229" s="135"/>
      <c r="AA229"/>
      <c r="AB229"/>
      <c r="AC229"/>
      <c r="AD229"/>
      <c r="AE229"/>
      <c r="AF229"/>
      <c r="AG229"/>
      <c r="AH229"/>
      <c r="AI229"/>
    </row>
    <row r="230" spans="11:35" ht="13.2" x14ac:dyDescent="0.2">
      <c r="K230" s="135"/>
      <c r="AA230"/>
      <c r="AB230"/>
      <c r="AC230"/>
      <c r="AD230"/>
      <c r="AE230"/>
      <c r="AF230"/>
      <c r="AG230"/>
      <c r="AH230"/>
      <c r="AI230"/>
    </row>
    <row r="231" spans="11:35" ht="13.2" x14ac:dyDescent="0.2">
      <c r="K231" s="135"/>
      <c r="AA231"/>
      <c r="AB231"/>
      <c r="AC231"/>
      <c r="AD231"/>
      <c r="AE231"/>
      <c r="AF231"/>
      <c r="AG231"/>
      <c r="AH231"/>
      <c r="AI231"/>
    </row>
    <row r="232" spans="11:35" ht="13.2" x14ac:dyDescent="0.2">
      <c r="K232" s="135"/>
      <c r="AA232"/>
      <c r="AB232"/>
      <c r="AC232"/>
      <c r="AD232"/>
      <c r="AE232"/>
      <c r="AF232"/>
      <c r="AG232"/>
      <c r="AH232"/>
      <c r="AI232"/>
    </row>
    <row r="233" spans="11:35" ht="13.2" x14ac:dyDescent="0.2">
      <c r="K233" s="135"/>
      <c r="AA233"/>
      <c r="AB233"/>
      <c r="AC233"/>
      <c r="AD233"/>
      <c r="AE233"/>
      <c r="AF233"/>
      <c r="AG233"/>
      <c r="AH233"/>
      <c r="AI233"/>
    </row>
    <row r="234" spans="11:35" ht="13.2" x14ac:dyDescent="0.2">
      <c r="K234" s="135"/>
      <c r="AA234"/>
      <c r="AB234"/>
      <c r="AC234"/>
      <c r="AD234"/>
      <c r="AE234"/>
      <c r="AF234"/>
      <c r="AG234"/>
      <c r="AH234"/>
      <c r="AI234"/>
    </row>
    <row r="235" spans="11:35" ht="13.2" x14ac:dyDescent="0.2">
      <c r="K235" s="135"/>
      <c r="AA235"/>
      <c r="AB235"/>
      <c r="AC235"/>
      <c r="AD235"/>
      <c r="AE235"/>
      <c r="AF235"/>
      <c r="AG235"/>
      <c r="AH235"/>
      <c r="AI235"/>
    </row>
    <row r="236" spans="11:35" ht="13.2" x14ac:dyDescent="0.2">
      <c r="K236" s="135"/>
      <c r="AA236"/>
      <c r="AB236"/>
      <c r="AC236"/>
      <c r="AD236"/>
      <c r="AE236"/>
      <c r="AF236"/>
      <c r="AG236"/>
      <c r="AH236"/>
      <c r="AI236"/>
    </row>
    <row r="237" spans="11:35" ht="13.2" x14ac:dyDescent="0.2">
      <c r="K237" s="135"/>
      <c r="AA237"/>
      <c r="AB237"/>
      <c r="AC237"/>
      <c r="AD237"/>
      <c r="AE237"/>
      <c r="AF237"/>
      <c r="AG237"/>
      <c r="AH237"/>
      <c r="AI237"/>
    </row>
    <row r="238" spans="11:35" ht="13.2" x14ac:dyDescent="0.2">
      <c r="K238" s="135"/>
      <c r="AA238"/>
      <c r="AB238"/>
      <c r="AC238"/>
      <c r="AD238"/>
      <c r="AE238"/>
      <c r="AF238"/>
      <c r="AG238"/>
      <c r="AH238"/>
      <c r="AI238"/>
    </row>
    <row r="239" spans="11:35" ht="13.2" x14ac:dyDescent="0.2">
      <c r="K239" s="135"/>
      <c r="AA239"/>
      <c r="AB239"/>
      <c r="AC239"/>
      <c r="AD239"/>
      <c r="AE239"/>
      <c r="AF239"/>
      <c r="AG239"/>
      <c r="AH239"/>
      <c r="AI239"/>
    </row>
    <row r="240" spans="11:35" ht="13.2" x14ac:dyDescent="0.2">
      <c r="K240" s="135"/>
      <c r="AA240"/>
      <c r="AB240"/>
      <c r="AC240"/>
      <c r="AD240"/>
      <c r="AE240"/>
      <c r="AF240"/>
      <c r="AG240"/>
      <c r="AH240"/>
      <c r="AI240"/>
    </row>
    <row r="241" spans="11:35" ht="13.2" x14ac:dyDescent="0.2">
      <c r="K241" s="135"/>
      <c r="AA241"/>
      <c r="AB241"/>
      <c r="AC241"/>
      <c r="AD241"/>
      <c r="AE241"/>
      <c r="AF241"/>
      <c r="AG241"/>
      <c r="AH241"/>
      <c r="AI241"/>
    </row>
    <row r="242" spans="11:35" ht="13.2" x14ac:dyDescent="0.2">
      <c r="K242" s="135"/>
      <c r="AA242"/>
      <c r="AB242"/>
      <c r="AC242"/>
      <c r="AD242"/>
      <c r="AE242"/>
      <c r="AF242"/>
      <c r="AG242"/>
      <c r="AH242"/>
      <c r="AI242"/>
    </row>
    <row r="243" spans="11:35" ht="13.2" x14ac:dyDescent="0.2">
      <c r="K243" s="135"/>
      <c r="AA243"/>
      <c r="AB243"/>
      <c r="AC243"/>
      <c r="AD243"/>
      <c r="AE243"/>
      <c r="AF243"/>
      <c r="AG243"/>
      <c r="AH243"/>
      <c r="AI243"/>
    </row>
    <row r="244" spans="11:35" ht="13.2" x14ac:dyDescent="0.2">
      <c r="K244" s="135"/>
      <c r="AA244"/>
      <c r="AB244"/>
      <c r="AC244"/>
      <c r="AD244"/>
      <c r="AE244"/>
      <c r="AF244"/>
      <c r="AG244"/>
      <c r="AH244"/>
      <c r="AI244"/>
    </row>
    <row r="245" spans="11:35" ht="13.2" x14ac:dyDescent="0.2">
      <c r="K245" s="135"/>
      <c r="AA245"/>
      <c r="AB245"/>
      <c r="AC245"/>
      <c r="AD245"/>
      <c r="AE245"/>
      <c r="AF245"/>
      <c r="AG245"/>
      <c r="AH245"/>
      <c r="AI245"/>
    </row>
    <row r="246" spans="11:35" ht="13.2" x14ac:dyDescent="0.2">
      <c r="K246" s="135"/>
      <c r="AA246"/>
      <c r="AB246"/>
      <c r="AC246"/>
      <c r="AD246"/>
      <c r="AE246"/>
      <c r="AF246"/>
      <c r="AG246"/>
      <c r="AH246"/>
      <c r="AI246"/>
    </row>
    <row r="247" spans="11:35" ht="13.2" x14ac:dyDescent="0.2">
      <c r="K247" s="135"/>
      <c r="AA247"/>
      <c r="AB247"/>
      <c r="AC247"/>
      <c r="AD247"/>
      <c r="AE247"/>
      <c r="AF247"/>
      <c r="AG247"/>
      <c r="AH247"/>
      <c r="AI247"/>
    </row>
    <row r="248" spans="11:35" ht="13.2" x14ac:dyDescent="0.2">
      <c r="K248" s="135"/>
      <c r="AA248"/>
      <c r="AB248"/>
      <c r="AC248"/>
      <c r="AD248"/>
      <c r="AE248"/>
      <c r="AF248"/>
      <c r="AG248"/>
      <c r="AH248"/>
      <c r="AI248"/>
    </row>
    <row r="249" spans="11:35" ht="13.2" x14ac:dyDescent="0.2">
      <c r="K249" s="135"/>
      <c r="AA249"/>
      <c r="AB249"/>
      <c r="AC249"/>
      <c r="AD249"/>
      <c r="AE249"/>
      <c r="AF249"/>
      <c r="AG249"/>
      <c r="AH249"/>
      <c r="AI249"/>
    </row>
    <row r="250" spans="11:35" ht="13.2" x14ac:dyDescent="0.2">
      <c r="K250" s="135"/>
      <c r="AA250"/>
      <c r="AB250"/>
      <c r="AC250"/>
      <c r="AD250"/>
      <c r="AE250"/>
      <c r="AF250"/>
      <c r="AG250"/>
      <c r="AH250"/>
      <c r="AI250"/>
    </row>
    <row r="251" spans="11:35" ht="13.2" x14ac:dyDescent="0.2">
      <c r="K251" s="135"/>
      <c r="AA251"/>
      <c r="AB251"/>
      <c r="AC251"/>
      <c r="AD251"/>
      <c r="AE251"/>
      <c r="AF251"/>
      <c r="AG251"/>
      <c r="AH251"/>
      <c r="AI251"/>
    </row>
    <row r="252" spans="11:35" ht="13.2" x14ac:dyDescent="0.2">
      <c r="K252" s="135"/>
      <c r="AA252"/>
      <c r="AB252"/>
      <c r="AC252"/>
      <c r="AD252"/>
      <c r="AE252"/>
      <c r="AF252"/>
      <c r="AG252"/>
      <c r="AH252"/>
      <c r="AI252"/>
    </row>
    <row r="253" spans="11:35" ht="13.2" x14ac:dyDescent="0.2">
      <c r="K253" s="135"/>
      <c r="AA253"/>
      <c r="AB253"/>
      <c r="AC253"/>
      <c r="AD253"/>
      <c r="AE253"/>
      <c r="AF253"/>
      <c r="AG253"/>
      <c r="AH253"/>
      <c r="AI253"/>
    </row>
    <row r="254" spans="11:35" ht="13.2" x14ac:dyDescent="0.2">
      <c r="K254" s="135"/>
      <c r="AA254"/>
      <c r="AB254"/>
      <c r="AC254"/>
      <c r="AD254"/>
      <c r="AE254"/>
      <c r="AF254"/>
      <c r="AG254"/>
      <c r="AH254"/>
      <c r="AI254"/>
    </row>
    <row r="255" spans="11:35" ht="13.2" x14ac:dyDescent="0.2">
      <c r="K255" s="135"/>
      <c r="AA255"/>
      <c r="AB255"/>
      <c r="AC255"/>
      <c r="AD255"/>
      <c r="AE255"/>
      <c r="AF255"/>
      <c r="AG255"/>
      <c r="AH255"/>
      <c r="AI255"/>
    </row>
    <row r="256" spans="11:35" ht="13.2" x14ac:dyDescent="0.2">
      <c r="K256" s="135"/>
      <c r="AA256"/>
      <c r="AB256"/>
      <c r="AC256"/>
      <c r="AD256"/>
      <c r="AE256"/>
      <c r="AF256"/>
      <c r="AG256"/>
      <c r="AH256"/>
      <c r="AI256"/>
    </row>
    <row r="257" spans="11:35" ht="13.2" x14ac:dyDescent="0.2">
      <c r="K257" s="135"/>
      <c r="AA257"/>
      <c r="AB257"/>
      <c r="AC257"/>
      <c r="AD257"/>
      <c r="AE257"/>
      <c r="AF257"/>
      <c r="AG257"/>
      <c r="AH257"/>
      <c r="AI257"/>
    </row>
    <row r="258" spans="11:35" ht="13.2" x14ac:dyDescent="0.2">
      <c r="K258" s="135"/>
      <c r="AA258"/>
      <c r="AB258"/>
      <c r="AC258"/>
      <c r="AD258"/>
      <c r="AE258"/>
      <c r="AF258"/>
      <c r="AG258"/>
      <c r="AH258"/>
      <c r="AI258"/>
    </row>
    <row r="259" spans="11:35" ht="13.2" x14ac:dyDescent="0.2">
      <c r="K259" s="135"/>
      <c r="AA259"/>
      <c r="AB259"/>
      <c r="AC259"/>
      <c r="AD259"/>
      <c r="AE259"/>
      <c r="AF259"/>
      <c r="AG259"/>
      <c r="AH259"/>
      <c r="AI259"/>
    </row>
    <row r="260" spans="11:35" ht="13.2" x14ac:dyDescent="0.2">
      <c r="K260" s="135"/>
      <c r="AA260"/>
      <c r="AB260"/>
      <c r="AC260"/>
      <c r="AD260"/>
      <c r="AE260"/>
      <c r="AF260"/>
      <c r="AG260"/>
      <c r="AH260"/>
      <c r="AI260"/>
    </row>
    <row r="261" spans="11:35" ht="13.2" x14ac:dyDescent="0.2">
      <c r="K261" s="135"/>
      <c r="AA261"/>
      <c r="AB261"/>
      <c r="AC261"/>
      <c r="AD261"/>
      <c r="AE261"/>
      <c r="AF261"/>
      <c r="AG261"/>
      <c r="AH261"/>
      <c r="AI261"/>
    </row>
    <row r="262" spans="11:35" ht="13.2" x14ac:dyDescent="0.2">
      <c r="K262" s="135"/>
      <c r="AA262"/>
      <c r="AB262"/>
      <c r="AC262"/>
      <c r="AD262"/>
      <c r="AE262"/>
      <c r="AF262"/>
      <c r="AG262"/>
      <c r="AH262"/>
      <c r="AI262"/>
    </row>
    <row r="263" spans="11:35" ht="13.2" x14ac:dyDescent="0.2">
      <c r="K263" s="135"/>
      <c r="AA263"/>
      <c r="AB263"/>
      <c r="AC263"/>
      <c r="AD263"/>
      <c r="AE263"/>
      <c r="AF263"/>
      <c r="AG263"/>
      <c r="AH263"/>
      <c r="AI263"/>
    </row>
    <row r="264" spans="11:35" ht="13.2" x14ac:dyDescent="0.2">
      <c r="K264" s="135"/>
      <c r="AA264"/>
      <c r="AB264"/>
      <c r="AC264"/>
      <c r="AD264"/>
      <c r="AE264"/>
      <c r="AF264"/>
      <c r="AG264"/>
      <c r="AH264"/>
      <c r="AI264"/>
    </row>
    <row r="265" spans="11:35" ht="13.2" x14ac:dyDescent="0.2">
      <c r="K265" s="135"/>
      <c r="AA265"/>
      <c r="AB265"/>
      <c r="AC265"/>
      <c r="AD265"/>
      <c r="AE265"/>
      <c r="AF265"/>
      <c r="AG265"/>
      <c r="AH265"/>
      <c r="AI265"/>
    </row>
    <row r="266" spans="11:35" ht="13.2" x14ac:dyDescent="0.2">
      <c r="K266" s="135"/>
      <c r="AA266"/>
      <c r="AB266"/>
      <c r="AC266"/>
      <c r="AD266"/>
      <c r="AE266"/>
      <c r="AF266"/>
      <c r="AG266"/>
      <c r="AH266"/>
      <c r="AI266"/>
    </row>
    <row r="267" spans="11:35" ht="13.2" x14ac:dyDescent="0.2">
      <c r="K267" s="135"/>
      <c r="AA267"/>
      <c r="AB267"/>
      <c r="AC267"/>
      <c r="AD267"/>
      <c r="AE267"/>
      <c r="AF267"/>
      <c r="AG267"/>
      <c r="AH267"/>
      <c r="AI267"/>
    </row>
    <row r="268" spans="11:35" ht="13.2" x14ac:dyDescent="0.2">
      <c r="K268" s="135"/>
      <c r="AA268"/>
      <c r="AB268"/>
      <c r="AC268"/>
      <c r="AD268"/>
      <c r="AE268"/>
      <c r="AF268"/>
      <c r="AG268"/>
      <c r="AH268"/>
      <c r="AI268"/>
    </row>
    <row r="269" spans="11:35" ht="13.2" x14ac:dyDescent="0.2">
      <c r="K269" s="135"/>
      <c r="AA269"/>
      <c r="AB269"/>
      <c r="AC269"/>
      <c r="AD269"/>
      <c r="AE269"/>
      <c r="AF269"/>
      <c r="AG269"/>
      <c r="AH269"/>
      <c r="AI269"/>
    </row>
    <row r="270" spans="11:35" ht="13.2" x14ac:dyDescent="0.2">
      <c r="K270" s="135"/>
      <c r="AA270"/>
      <c r="AB270"/>
      <c r="AC270"/>
      <c r="AD270"/>
      <c r="AE270"/>
      <c r="AF270"/>
      <c r="AG270"/>
      <c r="AH270"/>
      <c r="AI270"/>
    </row>
    <row r="271" spans="11:35" ht="13.2" x14ac:dyDescent="0.2">
      <c r="K271" s="135"/>
      <c r="AA271"/>
      <c r="AB271"/>
      <c r="AC271"/>
      <c r="AD271"/>
      <c r="AE271"/>
      <c r="AF271"/>
      <c r="AG271"/>
      <c r="AH271"/>
      <c r="AI271"/>
    </row>
    <row r="272" spans="11:35" ht="13.2" x14ac:dyDescent="0.2">
      <c r="K272" s="135"/>
      <c r="AA272"/>
      <c r="AB272"/>
      <c r="AC272"/>
      <c r="AD272"/>
      <c r="AE272"/>
      <c r="AF272"/>
      <c r="AG272"/>
      <c r="AH272"/>
      <c r="AI272"/>
    </row>
    <row r="273" spans="11:35" ht="13.2" x14ac:dyDescent="0.2">
      <c r="K273" s="135"/>
      <c r="AA273"/>
      <c r="AB273"/>
      <c r="AC273"/>
      <c r="AD273"/>
      <c r="AE273"/>
      <c r="AF273"/>
      <c r="AG273"/>
      <c r="AH273"/>
      <c r="AI273"/>
    </row>
    <row r="274" spans="11:35" ht="13.2" x14ac:dyDescent="0.2">
      <c r="K274" s="135"/>
      <c r="AA274"/>
      <c r="AB274"/>
      <c r="AC274"/>
      <c r="AD274"/>
      <c r="AE274"/>
      <c r="AF274"/>
      <c r="AG274"/>
      <c r="AH274"/>
      <c r="AI274"/>
    </row>
    <row r="275" spans="11:35" ht="13.2" x14ac:dyDescent="0.2">
      <c r="K275" s="135"/>
      <c r="AA275"/>
      <c r="AB275"/>
      <c r="AC275"/>
      <c r="AD275"/>
      <c r="AE275"/>
      <c r="AF275"/>
      <c r="AG275"/>
      <c r="AH275"/>
      <c r="AI275"/>
    </row>
    <row r="276" spans="11:35" ht="13.2" x14ac:dyDescent="0.2">
      <c r="K276" s="135"/>
      <c r="AA276"/>
      <c r="AB276"/>
      <c r="AC276"/>
      <c r="AD276"/>
      <c r="AE276"/>
      <c r="AF276"/>
      <c r="AG276"/>
      <c r="AH276"/>
      <c r="AI276"/>
    </row>
    <row r="277" spans="11:35" ht="13.2" x14ac:dyDescent="0.2">
      <c r="K277" s="135"/>
      <c r="AA277"/>
      <c r="AB277"/>
      <c r="AC277"/>
      <c r="AD277"/>
      <c r="AE277"/>
      <c r="AF277"/>
      <c r="AG277"/>
      <c r="AH277"/>
      <c r="AI277"/>
    </row>
    <row r="278" spans="11:35" ht="13.2" x14ac:dyDescent="0.2">
      <c r="K278" s="135"/>
      <c r="AA278"/>
      <c r="AB278"/>
      <c r="AC278"/>
      <c r="AD278"/>
      <c r="AE278"/>
      <c r="AF278"/>
      <c r="AG278"/>
      <c r="AH278"/>
      <c r="AI278"/>
    </row>
    <row r="279" spans="11:35" ht="13.2" x14ac:dyDescent="0.2">
      <c r="K279" s="135"/>
      <c r="AA279"/>
      <c r="AB279"/>
      <c r="AC279"/>
      <c r="AD279"/>
      <c r="AE279"/>
      <c r="AF279"/>
      <c r="AG279"/>
      <c r="AH279"/>
      <c r="AI279"/>
    </row>
    <row r="280" spans="11:35" ht="13.2" x14ac:dyDescent="0.2">
      <c r="K280" s="135"/>
      <c r="AA280"/>
      <c r="AB280"/>
      <c r="AC280"/>
      <c r="AD280"/>
      <c r="AE280"/>
      <c r="AF280"/>
      <c r="AG280"/>
      <c r="AH280"/>
      <c r="AI280"/>
    </row>
    <row r="281" spans="11:35" ht="13.2" x14ac:dyDescent="0.2">
      <c r="K281" s="135"/>
      <c r="AA281"/>
      <c r="AB281"/>
      <c r="AC281"/>
      <c r="AD281"/>
      <c r="AE281"/>
      <c r="AF281"/>
      <c r="AG281"/>
      <c r="AH281"/>
      <c r="AI281"/>
    </row>
    <row r="282" spans="11:35" ht="13.2" x14ac:dyDescent="0.2">
      <c r="AA282"/>
      <c r="AB282"/>
      <c r="AC282"/>
      <c r="AD282"/>
      <c r="AE282"/>
      <c r="AF282"/>
      <c r="AG282"/>
      <c r="AH282"/>
      <c r="AI282"/>
    </row>
    <row r="283" spans="11:35" ht="13.2" x14ac:dyDescent="0.2">
      <c r="AA283"/>
      <c r="AB283"/>
      <c r="AC283"/>
      <c r="AD283"/>
      <c r="AE283"/>
      <c r="AF283"/>
      <c r="AG283"/>
      <c r="AH283"/>
      <c r="AI283"/>
    </row>
    <row r="284" spans="11:35" ht="13.2" x14ac:dyDescent="0.2">
      <c r="AA284"/>
      <c r="AB284"/>
      <c r="AC284"/>
      <c r="AD284"/>
      <c r="AE284"/>
      <c r="AF284"/>
      <c r="AG284"/>
      <c r="AH284"/>
      <c r="AI284"/>
    </row>
    <row r="285" spans="11:35" ht="13.2" x14ac:dyDescent="0.2">
      <c r="AA285"/>
      <c r="AB285"/>
      <c r="AC285"/>
      <c r="AD285"/>
      <c r="AE285"/>
      <c r="AF285"/>
      <c r="AG285"/>
      <c r="AH285"/>
      <c r="AI285"/>
    </row>
    <row r="286" spans="11:35" ht="13.2" x14ac:dyDescent="0.2">
      <c r="AA286"/>
      <c r="AB286"/>
      <c r="AC286"/>
      <c r="AD286"/>
      <c r="AE286"/>
      <c r="AF286"/>
      <c r="AG286"/>
      <c r="AH286"/>
      <c r="AI286"/>
    </row>
    <row r="287" spans="11:35" ht="13.2" x14ac:dyDescent="0.2">
      <c r="AA287"/>
      <c r="AB287"/>
      <c r="AC287"/>
      <c r="AD287"/>
      <c r="AE287"/>
      <c r="AF287"/>
      <c r="AG287"/>
      <c r="AH287"/>
      <c r="AI287"/>
    </row>
    <row r="288" spans="11:35" ht="13.2" x14ac:dyDescent="0.2">
      <c r="AA288"/>
      <c r="AB288"/>
      <c r="AC288"/>
      <c r="AD288"/>
      <c r="AE288"/>
      <c r="AF288"/>
      <c r="AG288"/>
      <c r="AH288"/>
      <c r="AI288"/>
    </row>
    <row r="289" spans="27:35" ht="13.2" x14ac:dyDescent="0.2">
      <c r="AA289"/>
      <c r="AB289"/>
      <c r="AC289"/>
      <c r="AD289"/>
      <c r="AE289"/>
      <c r="AF289"/>
      <c r="AG289"/>
      <c r="AH289"/>
      <c r="AI289"/>
    </row>
    <row r="290" spans="27:35" ht="13.2" x14ac:dyDescent="0.2">
      <c r="AA290"/>
      <c r="AB290"/>
      <c r="AC290"/>
      <c r="AD290"/>
      <c r="AE290"/>
      <c r="AF290"/>
      <c r="AG290"/>
      <c r="AH290"/>
      <c r="AI290"/>
    </row>
    <row r="291" spans="27:35" ht="13.2" x14ac:dyDescent="0.2">
      <c r="AA291"/>
      <c r="AB291"/>
      <c r="AC291"/>
      <c r="AD291"/>
      <c r="AE291"/>
      <c r="AF291"/>
      <c r="AG291"/>
      <c r="AH291"/>
      <c r="AI291"/>
    </row>
    <row r="292" spans="27:35" ht="13.2" x14ac:dyDescent="0.2">
      <c r="AA292"/>
      <c r="AB292"/>
      <c r="AC292"/>
      <c r="AD292"/>
      <c r="AE292"/>
      <c r="AF292"/>
      <c r="AG292"/>
      <c r="AH292"/>
      <c r="AI292"/>
    </row>
    <row r="293" spans="27:35" ht="13.2" x14ac:dyDescent="0.2">
      <c r="AA293"/>
      <c r="AB293"/>
      <c r="AC293"/>
      <c r="AD293"/>
      <c r="AE293"/>
      <c r="AF293"/>
      <c r="AG293"/>
      <c r="AH293"/>
      <c r="AI293"/>
    </row>
    <row r="294" spans="27:35" ht="13.2" x14ac:dyDescent="0.2">
      <c r="AA294"/>
      <c r="AB294"/>
      <c r="AC294"/>
      <c r="AD294"/>
      <c r="AE294"/>
      <c r="AF294"/>
      <c r="AG294"/>
      <c r="AH294"/>
      <c r="AI294"/>
    </row>
    <row r="295" spans="27:35" ht="13.2" x14ac:dyDescent="0.2">
      <c r="AA295"/>
      <c r="AB295"/>
      <c r="AC295"/>
      <c r="AD295"/>
      <c r="AE295"/>
      <c r="AF295"/>
      <c r="AG295"/>
      <c r="AH295"/>
      <c r="AI295"/>
    </row>
    <row r="296" spans="27:35" ht="13.2" x14ac:dyDescent="0.2">
      <c r="AA296"/>
      <c r="AB296"/>
      <c r="AC296"/>
      <c r="AD296"/>
      <c r="AE296"/>
      <c r="AF296"/>
      <c r="AG296"/>
      <c r="AH296"/>
      <c r="AI296"/>
    </row>
    <row r="297" spans="27:35" ht="13.2" x14ac:dyDescent="0.2">
      <c r="AA297"/>
      <c r="AB297"/>
      <c r="AC297"/>
      <c r="AD297"/>
      <c r="AE297"/>
      <c r="AF297"/>
      <c r="AG297"/>
      <c r="AH297"/>
      <c r="AI297"/>
    </row>
    <row r="298" spans="27:35" ht="13.2" x14ac:dyDescent="0.2">
      <c r="AA298"/>
      <c r="AB298"/>
      <c r="AC298"/>
      <c r="AD298"/>
      <c r="AE298"/>
      <c r="AF298"/>
      <c r="AG298"/>
      <c r="AH298"/>
      <c r="AI298"/>
    </row>
    <row r="299" spans="27:35" ht="13.2" x14ac:dyDescent="0.2">
      <c r="AA299"/>
      <c r="AB299"/>
      <c r="AC299"/>
      <c r="AD299"/>
      <c r="AE299"/>
      <c r="AF299"/>
      <c r="AG299"/>
      <c r="AH299"/>
      <c r="AI299"/>
    </row>
    <row r="300" spans="27:35" ht="13.2" x14ac:dyDescent="0.2">
      <c r="AA300"/>
      <c r="AB300"/>
      <c r="AC300"/>
      <c r="AD300"/>
      <c r="AE300"/>
      <c r="AF300"/>
      <c r="AG300"/>
      <c r="AH300"/>
      <c r="AI300"/>
    </row>
    <row r="301" spans="27:35" ht="13.2" x14ac:dyDescent="0.2">
      <c r="AA301"/>
      <c r="AB301"/>
      <c r="AC301"/>
      <c r="AD301"/>
      <c r="AE301"/>
      <c r="AF301"/>
      <c r="AG301"/>
      <c r="AH301"/>
      <c r="AI301"/>
    </row>
    <row r="302" spans="27:35" ht="13.2" x14ac:dyDescent="0.2">
      <c r="AA302"/>
      <c r="AB302"/>
      <c r="AC302"/>
      <c r="AD302"/>
      <c r="AE302"/>
      <c r="AF302"/>
      <c r="AG302"/>
      <c r="AH302"/>
      <c r="AI302"/>
    </row>
    <row r="303" spans="27:35" ht="13.2" x14ac:dyDescent="0.2">
      <c r="AA303"/>
      <c r="AB303"/>
      <c r="AC303"/>
      <c r="AD303"/>
      <c r="AE303"/>
      <c r="AF303"/>
      <c r="AG303"/>
      <c r="AH303"/>
      <c r="AI303"/>
    </row>
    <row r="304" spans="27:35" ht="13.2" x14ac:dyDescent="0.2">
      <c r="AA304"/>
      <c r="AB304"/>
      <c r="AC304"/>
      <c r="AD304"/>
      <c r="AE304"/>
      <c r="AF304"/>
      <c r="AG304"/>
      <c r="AH304"/>
      <c r="AI304"/>
    </row>
    <row r="305" spans="27:35" ht="13.2" x14ac:dyDescent="0.2">
      <c r="AA305"/>
      <c r="AB305"/>
      <c r="AC305"/>
      <c r="AD305"/>
      <c r="AE305"/>
      <c r="AF305"/>
      <c r="AG305"/>
      <c r="AH305"/>
      <c r="AI305"/>
    </row>
    <row r="306" spans="27:35" ht="13.2" x14ac:dyDescent="0.2">
      <c r="AA306"/>
      <c r="AB306"/>
      <c r="AC306"/>
      <c r="AD306"/>
      <c r="AE306"/>
      <c r="AF306"/>
      <c r="AG306"/>
      <c r="AH306"/>
      <c r="AI306"/>
    </row>
    <row r="307" spans="27:35" ht="13.2" x14ac:dyDescent="0.2">
      <c r="AA307"/>
      <c r="AB307"/>
      <c r="AC307"/>
      <c r="AD307"/>
      <c r="AE307"/>
      <c r="AF307"/>
      <c r="AG307"/>
      <c r="AH307"/>
      <c r="AI307"/>
    </row>
    <row r="308" spans="27:35" ht="13.2" x14ac:dyDescent="0.2">
      <c r="AA308"/>
      <c r="AB308"/>
      <c r="AC308"/>
      <c r="AD308"/>
      <c r="AE308"/>
      <c r="AF308"/>
      <c r="AG308"/>
      <c r="AH308"/>
      <c r="AI308"/>
    </row>
    <row r="309" spans="27:35" ht="13.2" x14ac:dyDescent="0.2">
      <c r="AA309"/>
      <c r="AB309"/>
      <c r="AC309"/>
      <c r="AD309"/>
      <c r="AE309"/>
      <c r="AF309"/>
      <c r="AG309"/>
      <c r="AH309"/>
      <c r="AI309"/>
    </row>
    <row r="310" spans="27:35" ht="13.2" x14ac:dyDescent="0.2">
      <c r="AA310"/>
      <c r="AB310"/>
      <c r="AC310"/>
      <c r="AD310"/>
      <c r="AE310"/>
      <c r="AF310"/>
      <c r="AG310"/>
      <c r="AH310"/>
      <c r="AI310"/>
    </row>
    <row r="311" spans="27:35" ht="13.2" x14ac:dyDescent="0.2">
      <c r="AA311"/>
      <c r="AB311"/>
      <c r="AC311"/>
      <c r="AD311"/>
      <c r="AE311"/>
      <c r="AF311"/>
      <c r="AG311"/>
      <c r="AH311"/>
      <c r="AI311"/>
    </row>
    <row r="312" spans="27:35" ht="13.2" x14ac:dyDescent="0.2">
      <c r="AA312"/>
      <c r="AB312"/>
      <c r="AC312"/>
      <c r="AD312"/>
      <c r="AE312"/>
      <c r="AF312"/>
      <c r="AG312"/>
      <c r="AH312"/>
      <c r="AI312"/>
    </row>
    <row r="313" spans="27:35" ht="13.2" x14ac:dyDescent="0.2">
      <c r="AA313"/>
      <c r="AB313"/>
      <c r="AC313"/>
      <c r="AD313"/>
      <c r="AE313"/>
      <c r="AF313"/>
      <c r="AG313"/>
      <c r="AH313"/>
      <c r="AI313"/>
    </row>
    <row r="314" spans="27:35" ht="13.2" x14ac:dyDescent="0.2">
      <c r="AA314"/>
      <c r="AB314"/>
      <c r="AC314"/>
      <c r="AD314"/>
      <c r="AE314"/>
      <c r="AF314"/>
      <c r="AG314"/>
      <c r="AH314"/>
      <c r="AI314"/>
    </row>
    <row r="315" spans="27:35" ht="13.2" x14ac:dyDescent="0.2">
      <c r="AA315"/>
      <c r="AB315"/>
      <c r="AC315"/>
      <c r="AD315"/>
      <c r="AE315"/>
      <c r="AF315"/>
      <c r="AG315"/>
      <c r="AH315"/>
      <c r="AI315"/>
    </row>
    <row r="316" spans="27:35" ht="13.2" x14ac:dyDescent="0.2">
      <c r="AA316"/>
      <c r="AB316"/>
      <c r="AC316"/>
      <c r="AD316"/>
      <c r="AE316"/>
      <c r="AF316"/>
      <c r="AG316"/>
      <c r="AH316"/>
      <c r="AI316"/>
    </row>
    <row r="317" spans="27:35" ht="13.2" x14ac:dyDescent="0.2">
      <c r="AA317"/>
      <c r="AB317"/>
      <c r="AC317"/>
      <c r="AD317"/>
      <c r="AE317"/>
      <c r="AF317"/>
      <c r="AG317"/>
      <c r="AH317"/>
      <c r="AI317"/>
    </row>
    <row r="318" spans="27:35" ht="13.2" x14ac:dyDescent="0.2">
      <c r="AA318"/>
      <c r="AB318"/>
      <c r="AC318"/>
      <c r="AD318"/>
      <c r="AE318"/>
      <c r="AF318"/>
      <c r="AG318"/>
      <c r="AH318"/>
      <c r="AI318"/>
    </row>
    <row r="319" spans="27:35" ht="13.2" x14ac:dyDescent="0.2">
      <c r="AA319"/>
      <c r="AB319"/>
      <c r="AC319"/>
      <c r="AD319"/>
      <c r="AE319"/>
      <c r="AF319"/>
      <c r="AG319"/>
      <c r="AH319"/>
      <c r="AI319"/>
    </row>
    <row r="320" spans="27:35" ht="13.2" x14ac:dyDescent="0.2">
      <c r="AA320"/>
      <c r="AB320"/>
      <c r="AC320"/>
      <c r="AD320"/>
      <c r="AE320"/>
      <c r="AF320"/>
      <c r="AG320"/>
      <c r="AH320"/>
      <c r="AI320"/>
    </row>
    <row r="321" spans="27:35" ht="13.2" x14ac:dyDescent="0.2">
      <c r="AA321"/>
      <c r="AB321"/>
      <c r="AC321"/>
      <c r="AD321"/>
      <c r="AE321"/>
      <c r="AF321"/>
      <c r="AG321"/>
      <c r="AH321"/>
      <c r="AI321"/>
    </row>
    <row r="322" spans="27:35" ht="13.2" x14ac:dyDescent="0.2">
      <c r="AA322"/>
      <c r="AB322"/>
      <c r="AC322"/>
      <c r="AD322"/>
      <c r="AE322"/>
      <c r="AF322"/>
      <c r="AG322"/>
      <c r="AH322"/>
      <c r="AI322"/>
    </row>
    <row r="323" spans="27:35" ht="13.2" x14ac:dyDescent="0.2">
      <c r="AA323"/>
      <c r="AB323"/>
      <c r="AC323"/>
      <c r="AD323"/>
      <c r="AE323"/>
      <c r="AF323"/>
      <c r="AG323"/>
      <c r="AH323"/>
      <c r="AI323"/>
    </row>
    <row r="324" spans="27:35" ht="13.2" x14ac:dyDescent="0.2">
      <c r="AA324"/>
      <c r="AB324"/>
      <c r="AC324"/>
      <c r="AD324"/>
      <c r="AE324"/>
      <c r="AF324"/>
      <c r="AG324"/>
      <c r="AH324"/>
      <c r="AI324"/>
    </row>
    <row r="325" spans="27:35" ht="13.2" x14ac:dyDescent="0.2">
      <c r="AA325"/>
      <c r="AB325"/>
      <c r="AC325"/>
      <c r="AD325"/>
      <c r="AE325"/>
      <c r="AF325"/>
      <c r="AG325"/>
      <c r="AH325"/>
      <c r="AI325"/>
    </row>
    <row r="326" spans="27:35" ht="13.2" x14ac:dyDescent="0.2">
      <c r="AA326"/>
      <c r="AB326"/>
      <c r="AC326"/>
      <c r="AD326"/>
      <c r="AE326"/>
      <c r="AF326"/>
      <c r="AG326"/>
      <c r="AH326"/>
      <c r="AI326"/>
    </row>
    <row r="327" spans="27:35" ht="13.2" x14ac:dyDescent="0.2">
      <c r="AA327"/>
      <c r="AB327"/>
      <c r="AC327"/>
      <c r="AD327"/>
      <c r="AE327"/>
      <c r="AF327"/>
      <c r="AG327"/>
      <c r="AH327"/>
      <c r="AI327"/>
    </row>
    <row r="328" spans="27:35" ht="13.2" x14ac:dyDescent="0.2">
      <c r="AA328"/>
      <c r="AB328"/>
      <c r="AC328"/>
      <c r="AD328"/>
      <c r="AE328"/>
      <c r="AF328"/>
      <c r="AG328"/>
      <c r="AH328"/>
      <c r="AI328"/>
    </row>
    <row r="329" spans="27:35" ht="13.2" x14ac:dyDescent="0.2">
      <c r="AA329"/>
      <c r="AB329"/>
      <c r="AC329"/>
      <c r="AD329"/>
      <c r="AE329"/>
      <c r="AF329"/>
      <c r="AG329"/>
      <c r="AH329"/>
      <c r="AI329"/>
    </row>
    <row r="330" spans="27:35" ht="13.2" x14ac:dyDescent="0.2">
      <c r="AA330"/>
      <c r="AB330"/>
      <c r="AC330"/>
      <c r="AD330"/>
      <c r="AE330"/>
      <c r="AF330"/>
      <c r="AG330"/>
      <c r="AH330"/>
      <c r="AI330"/>
    </row>
    <row r="331" spans="27:35" ht="13.2" x14ac:dyDescent="0.2">
      <c r="AA331"/>
      <c r="AB331"/>
      <c r="AC331"/>
      <c r="AD331"/>
      <c r="AE331"/>
      <c r="AF331"/>
      <c r="AG331"/>
      <c r="AH331"/>
      <c r="AI331"/>
    </row>
    <row r="332" spans="27:35" ht="13.2" x14ac:dyDescent="0.2">
      <c r="AA332"/>
      <c r="AB332"/>
      <c r="AC332"/>
      <c r="AD332"/>
      <c r="AE332"/>
      <c r="AF332"/>
      <c r="AG332"/>
      <c r="AH332"/>
      <c r="AI332"/>
    </row>
    <row r="333" spans="27:35" ht="13.2" x14ac:dyDescent="0.2">
      <c r="AA333"/>
      <c r="AB333"/>
      <c r="AC333"/>
      <c r="AD333"/>
      <c r="AE333"/>
      <c r="AF333"/>
      <c r="AG333"/>
      <c r="AH333"/>
      <c r="AI333"/>
    </row>
    <row r="334" spans="27:35" ht="13.2" x14ac:dyDescent="0.2">
      <c r="AA334"/>
      <c r="AB334"/>
      <c r="AC334"/>
      <c r="AD334"/>
      <c r="AE334"/>
      <c r="AF334"/>
      <c r="AG334"/>
      <c r="AH334"/>
      <c r="AI334"/>
    </row>
    <row r="335" spans="27:35" ht="13.2" x14ac:dyDescent="0.2">
      <c r="AA335"/>
      <c r="AB335"/>
      <c r="AC335"/>
      <c r="AD335"/>
      <c r="AE335"/>
      <c r="AF335"/>
      <c r="AG335"/>
      <c r="AH335"/>
      <c r="AI335"/>
    </row>
    <row r="336" spans="27:35" ht="13.2" x14ac:dyDescent="0.2">
      <c r="AA336"/>
      <c r="AB336"/>
      <c r="AC336"/>
      <c r="AD336"/>
      <c r="AE336"/>
      <c r="AF336"/>
      <c r="AG336"/>
      <c r="AH336"/>
      <c r="AI336"/>
    </row>
    <row r="337" spans="27:35" ht="13.2" x14ac:dyDescent="0.2">
      <c r="AA337"/>
      <c r="AB337"/>
      <c r="AC337"/>
      <c r="AD337"/>
      <c r="AE337"/>
      <c r="AF337"/>
      <c r="AG337"/>
      <c r="AH337"/>
      <c r="AI337"/>
    </row>
    <row r="338" spans="27:35" ht="13.2" x14ac:dyDescent="0.2">
      <c r="AA338"/>
      <c r="AB338"/>
      <c r="AC338"/>
      <c r="AD338"/>
      <c r="AE338"/>
      <c r="AF338"/>
      <c r="AG338"/>
      <c r="AH338"/>
      <c r="AI338"/>
    </row>
    <row r="339" spans="27:35" ht="13.2" x14ac:dyDescent="0.2">
      <c r="AA339"/>
      <c r="AB339"/>
      <c r="AC339"/>
      <c r="AD339"/>
      <c r="AE339"/>
      <c r="AF339"/>
      <c r="AG339"/>
      <c r="AH339"/>
      <c r="AI339"/>
    </row>
    <row r="340" spans="27:35" ht="13.2" x14ac:dyDescent="0.2">
      <c r="AA340"/>
      <c r="AB340"/>
      <c r="AC340"/>
      <c r="AD340"/>
      <c r="AE340"/>
      <c r="AF340"/>
      <c r="AG340"/>
      <c r="AH340"/>
      <c r="AI340"/>
    </row>
    <row r="341" spans="27:35" ht="13.2" x14ac:dyDescent="0.2">
      <c r="AA341"/>
      <c r="AB341"/>
      <c r="AC341"/>
      <c r="AD341"/>
      <c r="AE341"/>
      <c r="AF341"/>
      <c r="AG341"/>
      <c r="AH341"/>
      <c r="AI341"/>
    </row>
    <row r="342" spans="27:35" ht="13.2" x14ac:dyDescent="0.2">
      <c r="AA342"/>
      <c r="AB342"/>
      <c r="AC342"/>
      <c r="AD342"/>
      <c r="AE342"/>
      <c r="AF342"/>
      <c r="AG342"/>
      <c r="AH342"/>
      <c r="AI342"/>
    </row>
    <row r="343" spans="27:35" ht="13.2" x14ac:dyDescent="0.2">
      <c r="AA343"/>
      <c r="AB343"/>
      <c r="AC343"/>
      <c r="AD343"/>
      <c r="AE343"/>
      <c r="AF343"/>
      <c r="AG343"/>
      <c r="AH343"/>
      <c r="AI343"/>
    </row>
    <row r="344" spans="27:35" ht="13.2" x14ac:dyDescent="0.2">
      <c r="AA344"/>
      <c r="AB344"/>
      <c r="AC344"/>
      <c r="AD344"/>
      <c r="AE344"/>
      <c r="AF344"/>
      <c r="AG344"/>
      <c r="AH344"/>
      <c r="AI344"/>
    </row>
    <row r="345" spans="27:35" ht="13.2" x14ac:dyDescent="0.2">
      <c r="AA345"/>
      <c r="AB345"/>
      <c r="AC345"/>
      <c r="AD345"/>
      <c r="AE345"/>
      <c r="AF345"/>
      <c r="AG345"/>
      <c r="AH345"/>
      <c r="AI345"/>
    </row>
    <row r="346" spans="27:35" ht="13.2" x14ac:dyDescent="0.2">
      <c r="AA346"/>
      <c r="AB346"/>
      <c r="AC346"/>
      <c r="AD346"/>
      <c r="AE346"/>
      <c r="AF346"/>
      <c r="AG346"/>
      <c r="AH346"/>
      <c r="AI346"/>
    </row>
    <row r="347" spans="27:35" ht="13.2" x14ac:dyDescent="0.2">
      <c r="AA347"/>
      <c r="AB347"/>
      <c r="AC347"/>
      <c r="AD347"/>
      <c r="AE347"/>
      <c r="AF347"/>
      <c r="AG347"/>
      <c r="AH347"/>
      <c r="AI347"/>
    </row>
    <row r="348" spans="27:35" ht="13.2" x14ac:dyDescent="0.2">
      <c r="AA348"/>
      <c r="AB348"/>
      <c r="AC348"/>
      <c r="AD348"/>
      <c r="AE348"/>
      <c r="AF348"/>
      <c r="AG348"/>
      <c r="AH348"/>
      <c r="AI348"/>
    </row>
    <row r="349" spans="27:35" ht="13.2" x14ac:dyDescent="0.2">
      <c r="AA349"/>
      <c r="AB349"/>
      <c r="AC349"/>
      <c r="AD349"/>
      <c r="AE349"/>
      <c r="AF349"/>
      <c r="AG349"/>
      <c r="AH349"/>
      <c r="AI349"/>
    </row>
    <row r="350" spans="27:35" ht="13.2" x14ac:dyDescent="0.2">
      <c r="AA350"/>
      <c r="AB350"/>
      <c r="AC350"/>
      <c r="AD350"/>
      <c r="AE350"/>
      <c r="AF350"/>
      <c r="AG350"/>
      <c r="AH350"/>
      <c r="AI350"/>
    </row>
    <row r="351" spans="27:35" ht="13.2" x14ac:dyDescent="0.2">
      <c r="AA351"/>
      <c r="AB351"/>
      <c r="AC351"/>
      <c r="AD351"/>
      <c r="AE351"/>
      <c r="AF351"/>
      <c r="AG351"/>
      <c r="AH351"/>
      <c r="AI351"/>
    </row>
    <row r="352" spans="27:35" ht="13.2" x14ac:dyDescent="0.2">
      <c r="AA352"/>
      <c r="AB352"/>
      <c r="AC352"/>
      <c r="AD352"/>
      <c r="AE352"/>
      <c r="AF352"/>
      <c r="AG352"/>
      <c r="AH352"/>
      <c r="AI352"/>
    </row>
    <row r="353" spans="27:35" ht="13.2" x14ac:dyDescent="0.2">
      <c r="AA353"/>
      <c r="AB353"/>
      <c r="AC353"/>
      <c r="AD353"/>
      <c r="AE353"/>
      <c r="AF353"/>
      <c r="AG353"/>
      <c r="AH353"/>
      <c r="AI353"/>
    </row>
    <row r="354" spans="27:35" ht="13.2" x14ac:dyDescent="0.2">
      <c r="AA354"/>
      <c r="AB354"/>
      <c r="AC354"/>
      <c r="AD354"/>
      <c r="AE354"/>
      <c r="AF354"/>
      <c r="AG354"/>
      <c r="AH354"/>
      <c r="AI354"/>
    </row>
    <row r="355" spans="27:35" ht="13.2" x14ac:dyDescent="0.2">
      <c r="AA355"/>
      <c r="AB355"/>
      <c r="AC355"/>
      <c r="AD355"/>
      <c r="AE355"/>
      <c r="AF355"/>
      <c r="AG355"/>
      <c r="AH355"/>
      <c r="AI355"/>
    </row>
    <row r="356" spans="27:35" ht="13.2" x14ac:dyDescent="0.2">
      <c r="AA356"/>
      <c r="AB356"/>
      <c r="AC356"/>
      <c r="AD356"/>
      <c r="AE356"/>
      <c r="AF356"/>
      <c r="AG356"/>
      <c r="AH356"/>
      <c r="AI356"/>
    </row>
    <row r="357" spans="27:35" ht="13.2" x14ac:dyDescent="0.2">
      <c r="AA357"/>
      <c r="AB357"/>
      <c r="AC357"/>
      <c r="AD357"/>
      <c r="AE357"/>
      <c r="AF357"/>
      <c r="AG357"/>
      <c r="AH357"/>
      <c r="AI357"/>
    </row>
    <row r="358" spans="27:35" ht="13.2" x14ac:dyDescent="0.2">
      <c r="AA358"/>
      <c r="AB358"/>
      <c r="AC358"/>
      <c r="AD358"/>
      <c r="AE358"/>
      <c r="AF358"/>
      <c r="AG358"/>
      <c r="AH358"/>
      <c r="AI358"/>
    </row>
    <row r="359" spans="27:35" ht="13.2" x14ac:dyDescent="0.2">
      <c r="AA359"/>
      <c r="AB359"/>
      <c r="AC359"/>
      <c r="AD359"/>
      <c r="AE359"/>
      <c r="AF359"/>
      <c r="AG359"/>
      <c r="AH359"/>
      <c r="AI359"/>
    </row>
    <row r="360" spans="27:35" ht="13.2" x14ac:dyDescent="0.2">
      <c r="AA360"/>
      <c r="AB360"/>
      <c r="AC360"/>
      <c r="AD360"/>
      <c r="AE360"/>
      <c r="AF360"/>
      <c r="AG360"/>
      <c r="AH360"/>
      <c r="AI360"/>
    </row>
    <row r="361" spans="27:35" ht="13.2" x14ac:dyDescent="0.2">
      <c r="AA361"/>
      <c r="AB361"/>
      <c r="AC361"/>
      <c r="AD361"/>
      <c r="AE361"/>
      <c r="AF361"/>
      <c r="AG361"/>
      <c r="AH361"/>
      <c r="AI361"/>
    </row>
    <row r="362" spans="27:35" ht="13.2" x14ac:dyDescent="0.2">
      <c r="AA362"/>
      <c r="AB362"/>
      <c r="AC362"/>
      <c r="AD362"/>
      <c r="AE362"/>
      <c r="AF362"/>
      <c r="AG362"/>
      <c r="AH362"/>
      <c r="AI362"/>
    </row>
    <row r="363" spans="27:35" ht="13.2" x14ac:dyDescent="0.2">
      <c r="AA363"/>
      <c r="AB363"/>
      <c r="AC363"/>
      <c r="AD363"/>
      <c r="AE363"/>
      <c r="AF363"/>
      <c r="AG363"/>
      <c r="AH363"/>
      <c r="AI363"/>
    </row>
    <row r="364" spans="27:35" ht="13.2" x14ac:dyDescent="0.2">
      <c r="AA364"/>
      <c r="AB364"/>
      <c r="AC364"/>
      <c r="AD364"/>
      <c r="AE364"/>
      <c r="AF364"/>
      <c r="AG364"/>
      <c r="AH364"/>
      <c r="AI364"/>
    </row>
    <row r="365" spans="27:35" ht="13.2" x14ac:dyDescent="0.2">
      <c r="AA365"/>
      <c r="AB365"/>
      <c r="AC365"/>
      <c r="AD365"/>
      <c r="AE365"/>
      <c r="AF365"/>
      <c r="AG365"/>
      <c r="AH365"/>
      <c r="AI365"/>
    </row>
    <row r="366" spans="27:35" ht="13.2" x14ac:dyDescent="0.2">
      <c r="AA366"/>
      <c r="AB366"/>
      <c r="AC366"/>
      <c r="AD366"/>
      <c r="AE366"/>
      <c r="AF366"/>
      <c r="AG366"/>
      <c r="AH366"/>
      <c r="AI366"/>
    </row>
    <row r="367" spans="27:35" ht="13.2" x14ac:dyDescent="0.2">
      <c r="AA367"/>
      <c r="AB367"/>
      <c r="AC367"/>
      <c r="AD367"/>
      <c r="AE367"/>
      <c r="AF367"/>
      <c r="AG367"/>
      <c r="AH367"/>
      <c r="AI367"/>
    </row>
    <row r="368" spans="27:35" ht="13.2" x14ac:dyDescent="0.2">
      <c r="AA368"/>
      <c r="AB368"/>
      <c r="AC368"/>
      <c r="AD368"/>
      <c r="AE368"/>
      <c r="AF368"/>
      <c r="AG368"/>
      <c r="AH368"/>
      <c r="AI368"/>
    </row>
    <row r="369" spans="27:35" ht="13.2" x14ac:dyDescent="0.2">
      <c r="AA369"/>
      <c r="AB369"/>
      <c r="AC369"/>
      <c r="AD369"/>
      <c r="AE369"/>
      <c r="AF369"/>
      <c r="AG369"/>
      <c r="AH369"/>
      <c r="AI369"/>
    </row>
    <row r="370" spans="27:35" ht="13.2" x14ac:dyDescent="0.2">
      <c r="AA370"/>
      <c r="AB370"/>
      <c r="AC370"/>
      <c r="AD370"/>
      <c r="AE370"/>
      <c r="AF370"/>
      <c r="AG370"/>
      <c r="AH370"/>
      <c r="AI370"/>
    </row>
    <row r="371" spans="27:35" ht="13.2" x14ac:dyDescent="0.2">
      <c r="AA371"/>
      <c r="AB371"/>
      <c r="AC371"/>
      <c r="AD371"/>
      <c r="AE371"/>
      <c r="AF371"/>
      <c r="AG371"/>
      <c r="AH371"/>
      <c r="AI371"/>
    </row>
    <row r="372" spans="27:35" ht="13.2" x14ac:dyDescent="0.2">
      <c r="AA372"/>
      <c r="AB372"/>
      <c r="AC372"/>
      <c r="AD372"/>
      <c r="AE372"/>
      <c r="AF372"/>
      <c r="AG372"/>
      <c r="AH372"/>
      <c r="AI372"/>
    </row>
    <row r="373" spans="27:35" ht="13.2" x14ac:dyDescent="0.2">
      <c r="AA373"/>
      <c r="AB373"/>
      <c r="AC373"/>
      <c r="AD373"/>
      <c r="AE373"/>
      <c r="AF373"/>
      <c r="AG373"/>
      <c r="AH373"/>
      <c r="AI373"/>
    </row>
    <row r="374" spans="27:35" ht="13.2" x14ac:dyDescent="0.2">
      <c r="AA374"/>
      <c r="AB374"/>
      <c r="AC374"/>
      <c r="AD374"/>
      <c r="AE374"/>
      <c r="AF374"/>
      <c r="AG374"/>
      <c r="AH374"/>
      <c r="AI374"/>
    </row>
    <row r="375" spans="27:35" ht="13.2" x14ac:dyDescent="0.2">
      <c r="AA375"/>
      <c r="AB375"/>
      <c r="AC375"/>
      <c r="AD375"/>
      <c r="AE375"/>
      <c r="AF375"/>
      <c r="AG375"/>
      <c r="AH375"/>
      <c r="AI375"/>
    </row>
    <row r="376" spans="27:35" ht="13.2" x14ac:dyDescent="0.2">
      <c r="AA376"/>
      <c r="AB376"/>
      <c r="AC376"/>
      <c r="AD376"/>
      <c r="AE376"/>
      <c r="AF376"/>
      <c r="AG376"/>
      <c r="AH376"/>
      <c r="AI376"/>
    </row>
    <row r="377" spans="27:35" ht="13.2" x14ac:dyDescent="0.2">
      <c r="AA377"/>
      <c r="AB377"/>
      <c r="AC377"/>
      <c r="AD377"/>
      <c r="AE377"/>
      <c r="AF377"/>
      <c r="AG377"/>
      <c r="AH377"/>
      <c r="AI377"/>
    </row>
    <row r="378" spans="27:35" ht="13.2" x14ac:dyDescent="0.2">
      <c r="AA378"/>
      <c r="AB378"/>
      <c r="AC378"/>
      <c r="AD378"/>
      <c r="AE378"/>
      <c r="AF378"/>
      <c r="AG378"/>
      <c r="AH378"/>
      <c r="AI378"/>
    </row>
    <row r="379" spans="27:35" ht="13.2" x14ac:dyDescent="0.2">
      <c r="AA379"/>
      <c r="AB379"/>
      <c r="AC379"/>
      <c r="AD379"/>
      <c r="AE379"/>
      <c r="AF379"/>
      <c r="AG379"/>
      <c r="AH379"/>
      <c r="AI379"/>
    </row>
    <row r="380" spans="27:35" ht="13.2" x14ac:dyDescent="0.2">
      <c r="AA380"/>
      <c r="AB380"/>
      <c r="AC380"/>
      <c r="AD380"/>
      <c r="AE380"/>
      <c r="AF380"/>
      <c r="AG380"/>
      <c r="AH380"/>
      <c r="AI380"/>
    </row>
    <row r="381" spans="27:35" ht="13.2" x14ac:dyDescent="0.2">
      <c r="AA381"/>
      <c r="AB381"/>
      <c r="AC381"/>
      <c r="AD381"/>
      <c r="AE381"/>
      <c r="AF381"/>
      <c r="AG381"/>
      <c r="AH381"/>
      <c r="AI381"/>
    </row>
    <row r="382" spans="27:35" ht="13.2" x14ac:dyDescent="0.2">
      <c r="AA382"/>
      <c r="AB382"/>
      <c r="AC382"/>
      <c r="AD382"/>
      <c r="AE382"/>
      <c r="AF382"/>
      <c r="AG382"/>
      <c r="AH382"/>
      <c r="AI382"/>
    </row>
    <row r="383" spans="27:35" ht="13.2" x14ac:dyDescent="0.2">
      <c r="AA383"/>
      <c r="AB383"/>
      <c r="AC383"/>
      <c r="AD383"/>
      <c r="AE383"/>
      <c r="AF383"/>
      <c r="AG383"/>
      <c r="AH383"/>
      <c r="AI383"/>
    </row>
    <row r="384" spans="27:35" ht="13.2" x14ac:dyDescent="0.2">
      <c r="AA384"/>
      <c r="AB384"/>
      <c r="AC384"/>
      <c r="AD384"/>
      <c r="AE384"/>
      <c r="AF384"/>
      <c r="AG384"/>
      <c r="AH384"/>
      <c r="AI384"/>
    </row>
    <row r="385" spans="27:35" ht="13.2" x14ac:dyDescent="0.2">
      <c r="AA385"/>
      <c r="AB385"/>
      <c r="AC385"/>
      <c r="AD385"/>
      <c r="AE385"/>
      <c r="AF385"/>
      <c r="AG385"/>
      <c r="AH385"/>
      <c r="AI385"/>
    </row>
    <row r="386" spans="27:35" ht="13.2" x14ac:dyDescent="0.2">
      <c r="AA386"/>
      <c r="AB386"/>
      <c r="AC386"/>
      <c r="AD386"/>
      <c r="AE386"/>
      <c r="AF386"/>
      <c r="AG386"/>
      <c r="AH386"/>
      <c r="AI386"/>
    </row>
    <row r="387" spans="27:35" ht="13.2" x14ac:dyDescent="0.2">
      <c r="AA387"/>
      <c r="AB387"/>
      <c r="AC387"/>
      <c r="AD387"/>
      <c r="AE387"/>
      <c r="AF387"/>
      <c r="AG387"/>
      <c r="AH387"/>
      <c r="AI387"/>
    </row>
    <row r="388" spans="27:35" ht="13.2" x14ac:dyDescent="0.2">
      <c r="AA388"/>
      <c r="AB388"/>
      <c r="AC388"/>
      <c r="AD388"/>
      <c r="AE388"/>
      <c r="AF388"/>
      <c r="AG388"/>
      <c r="AH388"/>
      <c r="AI388"/>
    </row>
    <row r="389" spans="27:35" ht="13.2" x14ac:dyDescent="0.2">
      <c r="AA389"/>
      <c r="AB389"/>
      <c r="AC389"/>
      <c r="AD389"/>
      <c r="AE389"/>
      <c r="AF389"/>
      <c r="AG389"/>
      <c r="AH389"/>
      <c r="AI389"/>
    </row>
    <row r="390" spans="27:35" ht="13.2" x14ac:dyDescent="0.2">
      <c r="AA390"/>
      <c r="AB390"/>
      <c r="AC390"/>
      <c r="AD390"/>
      <c r="AE390"/>
      <c r="AF390"/>
      <c r="AG390"/>
      <c r="AH390"/>
      <c r="AI390"/>
    </row>
    <row r="391" spans="27:35" ht="13.2" x14ac:dyDescent="0.2">
      <c r="AA391"/>
      <c r="AB391"/>
      <c r="AC391"/>
      <c r="AD391"/>
      <c r="AE391"/>
      <c r="AF391"/>
      <c r="AG391"/>
      <c r="AH391"/>
      <c r="AI391"/>
    </row>
    <row r="392" spans="27:35" ht="13.2" x14ac:dyDescent="0.2">
      <c r="AA392"/>
      <c r="AB392"/>
      <c r="AC392"/>
      <c r="AD392"/>
      <c r="AE392"/>
      <c r="AF392"/>
      <c r="AG392"/>
      <c r="AH392"/>
      <c r="AI392"/>
    </row>
    <row r="393" spans="27:35" ht="13.2" x14ac:dyDescent="0.2">
      <c r="AA393"/>
      <c r="AB393"/>
      <c r="AC393"/>
      <c r="AD393"/>
      <c r="AE393"/>
      <c r="AF393"/>
      <c r="AG393"/>
      <c r="AH393"/>
      <c r="AI393"/>
    </row>
    <row r="394" spans="27:35" ht="13.2" x14ac:dyDescent="0.2">
      <c r="AA394"/>
      <c r="AB394"/>
      <c r="AC394"/>
      <c r="AD394"/>
      <c r="AE394"/>
      <c r="AF394"/>
      <c r="AG394"/>
      <c r="AH394"/>
      <c r="AI394"/>
    </row>
    <row r="395" spans="27:35" ht="13.2" x14ac:dyDescent="0.2">
      <c r="AA395"/>
      <c r="AB395"/>
      <c r="AC395"/>
      <c r="AD395"/>
      <c r="AE395"/>
      <c r="AF395"/>
      <c r="AG395"/>
      <c r="AH395"/>
      <c r="AI395"/>
    </row>
    <row r="396" spans="27:35" ht="13.2" x14ac:dyDescent="0.2">
      <c r="AA396"/>
      <c r="AB396"/>
      <c r="AC396"/>
      <c r="AD396"/>
      <c r="AE396"/>
      <c r="AF396"/>
      <c r="AG396"/>
      <c r="AH396"/>
      <c r="AI396"/>
    </row>
    <row r="397" spans="27:35" ht="13.2" x14ac:dyDescent="0.2">
      <c r="AA397"/>
      <c r="AB397"/>
      <c r="AC397"/>
      <c r="AD397"/>
      <c r="AE397"/>
      <c r="AF397"/>
      <c r="AG397"/>
      <c r="AH397"/>
      <c r="AI397"/>
    </row>
    <row r="398" spans="27:35" ht="13.2" x14ac:dyDescent="0.2">
      <c r="AA398"/>
      <c r="AB398"/>
      <c r="AC398"/>
      <c r="AD398"/>
      <c r="AE398"/>
      <c r="AF398"/>
      <c r="AG398"/>
      <c r="AH398"/>
      <c r="AI398"/>
    </row>
    <row r="399" spans="27:35" ht="13.2" x14ac:dyDescent="0.2">
      <c r="AA399"/>
      <c r="AB399"/>
      <c r="AC399"/>
      <c r="AD399"/>
      <c r="AE399"/>
      <c r="AF399"/>
      <c r="AG399"/>
      <c r="AH399"/>
      <c r="AI399"/>
    </row>
    <row r="400" spans="27:35" ht="13.2" x14ac:dyDescent="0.2">
      <c r="AA400"/>
      <c r="AB400"/>
      <c r="AC400"/>
      <c r="AD400"/>
      <c r="AE400"/>
      <c r="AF400"/>
      <c r="AG400"/>
      <c r="AH400"/>
      <c r="AI400"/>
    </row>
  </sheetData>
  <sheetProtection sheet="1" objects="1" scenarios="1" formatCells="0" formatColumns="0" formatRows="0"/>
  <phoneticPr fontId="6" type="noConversion"/>
  <conditionalFormatting sqref="L52:L60 L62:L68 L101:L102 L105:L108 L115:L130 L184 L166:L172 L186:L194">
    <cfRule type="expression" dxfId="266" priority="303" stopIfTrue="1">
      <formula>AND(NOT($K52=""),$K$1=1)</formula>
    </cfRule>
  </conditionalFormatting>
  <conditionalFormatting sqref="L84:L89 L93:L94">
    <cfRule type="expression" dxfId="265" priority="301" stopIfTrue="1">
      <formula>AND(NOT($K84=""),$K$1=1)</formula>
    </cfRule>
  </conditionalFormatting>
  <conditionalFormatting sqref="L96:L100">
    <cfRule type="expression" dxfId="264" priority="391" stopIfTrue="1">
      <formula>AND(NOT($J96=""),$K$1=1)</formula>
    </cfRule>
  </conditionalFormatting>
  <conditionalFormatting sqref="A5:B5 B7 D5:F7 C5:C8 A9:F10 C11 A12:F19 D21:F59 A21:B59 C20:C75 C82 D61:F84 A61:B64 A100:F194 A6:A7 A67:B84 A65:A66 H100:J194 H61:J84 H21:J59 H12:J19 H9:J10 H5:J7">
    <cfRule type="expression" dxfId="263" priority="54">
      <formula>AND(NOT($J5=""),$J$1=1)</formula>
    </cfRule>
    <cfRule type="expression" dxfId="262" priority="56">
      <formula>LEN($A5)=2</formula>
    </cfRule>
  </conditionalFormatting>
  <conditionalFormatting sqref="A5:B5 B7 D5:F7 C5:C8 A15:B19 D15:F19 C25 A53 C52:C53 D21:F59 C55:C59 C62:C63 A64:B64 D61:F84 A79:B84 A100:F194 A6:A7 A65 H100:J194 H61:J84 H21:J59 H15:J19 H5:J7">
    <cfRule type="expression" dxfId="261" priority="55">
      <formula>LEN($A5)=4</formula>
    </cfRule>
  </conditionalFormatting>
  <conditionalFormatting sqref="A8:B8 A11:B11 D11:F11 D8:F8 H8:J8 H11:J11">
    <cfRule type="expression" dxfId="260" priority="53">
      <formula>LEN($A8)=4</formula>
    </cfRule>
  </conditionalFormatting>
  <conditionalFormatting sqref="D20:F20 H20:J20">
    <cfRule type="expression" dxfId="259" priority="52">
      <formula>LEN($A20)=4</formula>
    </cfRule>
  </conditionalFormatting>
  <conditionalFormatting sqref="D60:F60 H60:J60">
    <cfRule type="expression" dxfId="258" priority="51">
      <formula>LEN($A60)=4</formula>
    </cfRule>
  </conditionalFormatting>
  <conditionalFormatting sqref="C12:C13 C15:C19">
    <cfRule type="expression" dxfId="257" priority="46">
      <formula>LEN($A12)=4</formula>
    </cfRule>
  </conditionalFormatting>
  <conditionalFormatting sqref="A12:B12 A13 D12:F13 H12:J13">
    <cfRule type="expression" dxfId="256" priority="50">
      <formula>LEN($A12)=4</formula>
    </cfRule>
  </conditionalFormatting>
  <conditionalFormatting sqref="A54:B55 A56 A21:B52">
    <cfRule type="expression" dxfId="255" priority="49">
      <formula>LEN($A21)=4</formula>
    </cfRule>
  </conditionalFormatting>
  <conditionalFormatting sqref="A61:B62 A63 A67:B77 A66 A78">
    <cfRule type="expression" dxfId="254" priority="48">
      <formula>LEN($A61)=4</formula>
    </cfRule>
  </conditionalFormatting>
  <conditionalFormatting sqref="C20:C24 C60:C61 C11 C54 C64 C26:C51">
    <cfRule type="expression" dxfId="253" priority="47">
      <formula>LEN($A11)=4</formula>
    </cfRule>
  </conditionalFormatting>
  <conditionalFormatting sqref="C65:C75">
    <cfRule type="expression" dxfId="252" priority="45">
      <formula>LEN($A65)=4</formula>
    </cfRule>
  </conditionalFormatting>
  <conditionalFormatting sqref="C83:C84">
    <cfRule type="expression" dxfId="251" priority="44">
      <formula>LEN($A80)=4</formula>
    </cfRule>
  </conditionalFormatting>
  <conditionalFormatting sqref="C83:C84">
    <cfRule type="expression" dxfId="250" priority="57">
      <formula>AND(NOT($J80=""),$J$1=1)</formula>
    </cfRule>
    <cfRule type="expression" dxfId="249" priority="58">
      <formula>LEN($A80)=2</formula>
    </cfRule>
  </conditionalFormatting>
  <conditionalFormatting sqref="C82">
    <cfRule type="expression" dxfId="248" priority="43">
      <formula>LEN($A82)=4</formula>
    </cfRule>
  </conditionalFormatting>
  <conditionalFormatting sqref="B6">
    <cfRule type="expression" dxfId="247" priority="40">
      <formula>AND(NOT($J6=""),$J$1=1)</formula>
    </cfRule>
    <cfRule type="expression" dxfId="246" priority="42">
      <formula>LEN($A6)=2</formula>
    </cfRule>
  </conditionalFormatting>
  <conditionalFormatting sqref="B6">
    <cfRule type="expression" dxfId="245" priority="41">
      <formula>LEN($A6)=4</formula>
    </cfRule>
  </conditionalFormatting>
  <conditionalFormatting sqref="B13">
    <cfRule type="expression" dxfId="244" priority="39">
      <formula>LEN($A13)=4</formula>
    </cfRule>
  </conditionalFormatting>
  <conditionalFormatting sqref="B53">
    <cfRule type="expression" dxfId="243" priority="38">
      <formula>LEN($A53)=4</formula>
    </cfRule>
  </conditionalFormatting>
  <conditionalFormatting sqref="B56">
    <cfRule type="expression" dxfId="242" priority="37">
      <formula>LEN($A56)=4</formula>
    </cfRule>
  </conditionalFormatting>
  <conditionalFormatting sqref="B63">
    <cfRule type="expression" dxfId="241" priority="36">
      <formula>LEN($A63)=4</formula>
    </cfRule>
  </conditionalFormatting>
  <conditionalFormatting sqref="B78">
    <cfRule type="expression" dxfId="240" priority="35">
      <formula>LEN($A78)=4</formula>
    </cfRule>
  </conditionalFormatting>
  <conditionalFormatting sqref="A14:F14 I14:J14">
    <cfRule type="expression" dxfId="239" priority="34">
      <formula>LEN($A14)=4</formula>
    </cfRule>
  </conditionalFormatting>
  <conditionalFormatting sqref="H14">
    <cfRule type="expression" dxfId="238" priority="33">
      <formula>LEN($A14)=4</formula>
    </cfRule>
  </conditionalFormatting>
  <conditionalFormatting sqref="A9 D9:F10 H9:I10">
    <cfRule type="expression" dxfId="237" priority="32">
      <formula>LEN($A9)=4</formula>
    </cfRule>
  </conditionalFormatting>
  <conditionalFormatting sqref="C9:C10">
    <cfRule type="expression" dxfId="236" priority="31">
      <formula>LEN($A9)=4</formula>
    </cfRule>
  </conditionalFormatting>
  <conditionalFormatting sqref="J9:J10">
    <cfRule type="expression" dxfId="235" priority="30">
      <formula>LEN($A9)=4</formula>
    </cfRule>
  </conditionalFormatting>
  <conditionalFormatting sqref="B9">
    <cfRule type="expression" dxfId="234" priority="29">
      <formula>LEN($A9)=4</formula>
    </cfRule>
  </conditionalFormatting>
  <conditionalFormatting sqref="A10">
    <cfRule type="expression" dxfId="233" priority="28">
      <formula>LEN($A10)=4</formula>
    </cfRule>
  </conditionalFormatting>
  <conditionalFormatting sqref="B10">
    <cfRule type="expression" dxfId="232" priority="27">
      <formula>LEN($A10)=4</formula>
    </cfRule>
  </conditionalFormatting>
  <conditionalFormatting sqref="A57:B57">
    <cfRule type="expression" dxfId="231" priority="26">
      <formula>LEN($A57)=4</formula>
    </cfRule>
  </conditionalFormatting>
  <conditionalFormatting sqref="B58">
    <cfRule type="expression" dxfId="230" priority="25">
      <formula>LEN($A58)=4</formula>
    </cfRule>
  </conditionalFormatting>
  <conditionalFormatting sqref="A58">
    <cfRule type="expression" dxfId="229" priority="24">
      <formula>LEN($A58)=4</formula>
    </cfRule>
  </conditionalFormatting>
  <conditionalFormatting sqref="A59">
    <cfRule type="expression" dxfId="228" priority="23">
      <formula>LEN($A59)=4</formula>
    </cfRule>
  </conditionalFormatting>
  <conditionalFormatting sqref="B59">
    <cfRule type="expression" dxfId="227" priority="22">
      <formula>LEN($A59)=4</formula>
    </cfRule>
  </conditionalFormatting>
  <conditionalFormatting sqref="C79:C81">
    <cfRule type="expression" dxfId="226" priority="59">
      <formula>LEN(#REF!)=4</formula>
    </cfRule>
  </conditionalFormatting>
  <conditionalFormatting sqref="C79:C81">
    <cfRule type="expression" dxfId="225" priority="60">
      <formula>AND(NOT(#REF!=""),$J$1=1)</formula>
    </cfRule>
    <cfRule type="expression" dxfId="224" priority="61">
      <formula>LEN(#REF!)=2</formula>
    </cfRule>
  </conditionalFormatting>
  <conditionalFormatting sqref="C77:C78">
    <cfRule type="expression" dxfId="223" priority="20">
      <formula>AND(NOT($J77=""),$J$1=1)</formula>
    </cfRule>
    <cfRule type="expression" dxfId="222" priority="21">
      <formula>LEN($A77)=2</formula>
    </cfRule>
  </conditionalFormatting>
  <conditionalFormatting sqref="C77:C78">
    <cfRule type="expression" dxfId="221" priority="19">
      <formula>LEN($A77)=4</formula>
    </cfRule>
  </conditionalFormatting>
  <conditionalFormatting sqref="B65:B66">
    <cfRule type="expression" dxfId="220" priority="17">
      <formula>AND(NOT($J65=""),$J$1=1)</formula>
    </cfRule>
    <cfRule type="expression" dxfId="219" priority="18">
      <formula>LEN($A65)=2</formula>
    </cfRule>
  </conditionalFormatting>
  <conditionalFormatting sqref="B65:B66">
    <cfRule type="expression" dxfId="218" priority="16">
      <formula>LEN($A65)=4</formula>
    </cfRule>
  </conditionalFormatting>
  <conditionalFormatting sqref="A85:F99 H85:J99">
    <cfRule type="expression" dxfId="217" priority="13">
      <formula>AND(NOT($J85=""),$J$1=1)</formula>
    </cfRule>
    <cfRule type="expression" dxfId="216" priority="15">
      <formula>LEN($A85)=2</formula>
    </cfRule>
  </conditionalFormatting>
  <conditionalFormatting sqref="A85:F99 H85:J99">
    <cfRule type="expression" dxfId="215" priority="14">
      <formula>LEN($A85)=4</formula>
    </cfRule>
  </conditionalFormatting>
  <conditionalFormatting sqref="G5:G7 G9:G10 G12:G19 G21:G59 G61:G84 G100:G194">
    <cfRule type="expression" dxfId="214" priority="10">
      <formula>AND(NOT($J5=""),$J$1=1)</formula>
    </cfRule>
    <cfRule type="expression" dxfId="213" priority="12">
      <formula>LEN($A5)=2</formula>
    </cfRule>
  </conditionalFormatting>
  <conditionalFormatting sqref="G5:G7 G15:G19 G21:G59 G61:G84 G100:G194">
    <cfRule type="expression" dxfId="212" priority="11">
      <formula>LEN($A5)=4</formula>
    </cfRule>
  </conditionalFormatting>
  <conditionalFormatting sqref="G11 G8">
    <cfRule type="expression" dxfId="211" priority="9">
      <formula>LEN($A8)=4</formula>
    </cfRule>
  </conditionalFormatting>
  <conditionalFormatting sqref="G20">
    <cfRule type="expression" dxfId="210" priority="8">
      <formula>LEN($A20)=4</formula>
    </cfRule>
  </conditionalFormatting>
  <conditionalFormatting sqref="G60">
    <cfRule type="expression" dxfId="209" priority="7">
      <formula>LEN($A60)=4</formula>
    </cfRule>
  </conditionalFormatting>
  <conditionalFormatting sqref="G12:G13">
    <cfRule type="expression" dxfId="208" priority="6">
      <formula>LEN($A12)=4</formula>
    </cfRule>
  </conditionalFormatting>
  <conditionalFormatting sqref="G14">
    <cfRule type="expression" dxfId="207" priority="5">
      <formula>LEN($A14)=4</formula>
    </cfRule>
  </conditionalFormatting>
  <conditionalFormatting sqref="G9:G10">
    <cfRule type="expression" dxfId="206" priority="4">
      <formula>LEN($A9)=4</formula>
    </cfRule>
  </conditionalFormatting>
  <conditionalFormatting sqref="G85:G99">
    <cfRule type="expression" dxfId="205" priority="1">
      <formula>AND(NOT($J85=""),$J$1=1)</formula>
    </cfRule>
    <cfRule type="expression" dxfId="204" priority="3">
      <formula>LEN($A85)=2</formula>
    </cfRule>
  </conditionalFormatting>
  <conditionalFormatting sqref="G85:G99">
    <cfRule type="expression" dxfId="203" priority="2">
      <formula>LEN($A85)=4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tabColor rgb="FFFF0000"/>
  </sheetPr>
  <dimension ref="A1:AI410"/>
  <sheetViews>
    <sheetView tabSelected="1" topLeftCell="B1" zoomScaleNormal="100" workbookViewId="0">
      <pane ySplit="2" topLeftCell="A12" activePane="bottomLeft" state="frozen"/>
      <selection activeCell="A2" sqref="A2"/>
      <selection pane="bottomLeft" activeCell="G19" sqref="G19"/>
    </sheetView>
  </sheetViews>
  <sheetFormatPr baseColWidth="10" defaultColWidth="11.44140625" defaultRowHeight="13.2" x14ac:dyDescent="0.25"/>
  <cols>
    <col min="1" max="1" width="10.109375" style="514" customWidth="1"/>
    <col min="2" max="2" width="83.6640625" style="134" customWidth="1"/>
    <col min="3" max="6" width="4.33203125" style="1173" customWidth="1"/>
    <col min="7" max="9" width="4.109375" style="1181" customWidth="1"/>
    <col min="10" max="10" width="14.33203125" style="133" customWidth="1"/>
    <col min="11" max="11" width="23.6640625" style="225" customWidth="1"/>
    <col min="12" max="12" width="11.33203125" style="213" customWidth="1"/>
    <col min="13" max="26" width="11.44140625" style="134"/>
    <col min="27" max="27" width="7.88671875" style="135" hidden="1" customWidth="1"/>
    <col min="28" max="28" width="7.88671875" style="303" hidden="1" customWidth="1"/>
    <col min="29" max="34" width="7.88671875" style="213" hidden="1" customWidth="1"/>
    <col min="35" max="16384" width="11.44140625" style="134"/>
  </cols>
  <sheetData>
    <row r="1" spans="1:35" ht="15.6" x14ac:dyDescent="0.3">
      <c r="A1" s="1276" t="s">
        <v>825</v>
      </c>
      <c r="B1" s="1276"/>
      <c r="C1" s="1132">
        <v>1</v>
      </c>
      <c r="D1" s="1133" t="str">
        <f>"variante"&amp;IF(C1&gt;1,"s","")</f>
        <v>variante</v>
      </c>
      <c r="E1" s="1132"/>
      <c r="F1" s="1132"/>
      <c r="G1" s="1180"/>
      <c r="H1" s="1180"/>
      <c r="I1" s="1180"/>
      <c r="J1" s="1134">
        <f>'Score ISO'!E2</f>
        <v>1</v>
      </c>
      <c r="AA1" s="301"/>
      <c r="AB1" s="213"/>
    </row>
    <row r="2" spans="1:35" s="326" customFormat="1" x14ac:dyDescent="0.25">
      <c r="A2" s="519" t="s">
        <v>523</v>
      </c>
      <c r="B2" s="324" t="s">
        <v>399</v>
      </c>
      <c r="C2" s="1171" t="s">
        <v>400</v>
      </c>
      <c r="D2" s="1171" t="s">
        <v>401</v>
      </c>
      <c r="E2" s="1171" t="s">
        <v>402</v>
      </c>
      <c r="F2" s="1171" t="s">
        <v>403</v>
      </c>
      <c r="G2" s="325" t="s">
        <v>569</v>
      </c>
      <c r="H2" s="325" t="s">
        <v>404</v>
      </c>
      <c r="I2" s="325" t="s">
        <v>479</v>
      </c>
      <c r="J2" s="1135" t="s">
        <v>6846</v>
      </c>
      <c r="K2" s="522" t="s">
        <v>602</v>
      </c>
      <c r="AA2" s="523" t="s">
        <v>1409</v>
      </c>
      <c r="AB2" s="523" t="s">
        <v>1410</v>
      </c>
      <c r="AC2" s="523" t="s">
        <v>1411</v>
      </c>
      <c r="AD2" s="523" t="s">
        <v>1412</v>
      </c>
      <c r="AE2" s="523" t="s">
        <v>1413</v>
      </c>
      <c r="AF2" s="523" t="s">
        <v>1414</v>
      </c>
      <c r="AG2" s="523" t="s">
        <v>1415</v>
      </c>
      <c r="AH2" s="523" t="s">
        <v>1416</v>
      </c>
    </row>
    <row r="3" spans="1:35" x14ac:dyDescent="0.25">
      <c r="A3" s="1128" t="s">
        <v>826</v>
      </c>
      <c r="B3" s="1129" t="s">
        <v>731</v>
      </c>
      <c r="C3" s="1136"/>
      <c r="D3" s="1136"/>
      <c r="E3" s="1136"/>
      <c r="F3" s="1115"/>
      <c r="G3" s="132"/>
      <c r="H3" s="132"/>
      <c r="I3" s="132"/>
      <c r="K3" s="164"/>
      <c r="M3" s="128"/>
    </row>
    <row r="4" spans="1:35" x14ac:dyDescent="0.25">
      <c r="A4" s="164" t="s">
        <v>728</v>
      </c>
      <c r="B4" s="164" t="s">
        <v>7</v>
      </c>
      <c r="C4" s="136"/>
      <c r="D4" s="136"/>
      <c r="E4" s="136"/>
      <c r="F4" s="136"/>
      <c r="G4" s="133"/>
      <c r="H4" s="133"/>
      <c r="I4" s="133"/>
      <c r="AA4"/>
      <c r="AB4"/>
      <c r="AC4"/>
      <c r="AD4"/>
      <c r="AE4"/>
      <c r="AF4"/>
      <c r="AG4"/>
      <c r="AH4"/>
      <c r="AI4"/>
    </row>
    <row r="5" spans="1:35" ht="20.399999999999999" x14ac:dyDescent="0.25">
      <c r="A5" s="164" t="s">
        <v>827</v>
      </c>
      <c r="B5" s="164" t="s">
        <v>7220</v>
      </c>
      <c r="C5" s="136"/>
      <c r="D5" s="136"/>
      <c r="E5" s="136"/>
      <c r="F5" s="136"/>
      <c r="G5" s="133">
        <v>4</v>
      </c>
      <c r="H5" s="133"/>
      <c r="I5" s="133"/>
      <c r="J5" s="133" t="s">
        <v>6997</v>
      </c>
      <c r="AA5">
        <f>IF(AND('3 Sys'!C5&gt;Tmin, NOT('3 Sys'!$I5="")),'3 Sys'!$I5,0)</f>
        <v>0</v>
      </c>
      <c r="AB5">
        <f>IF(AND('3 Sys'!D5&gt;Tmin, NOT('3 Sys'!$I5="")),'3 Sys'!$I5,0)</f>
        <v>0</v>
      </c>
      <c r="AC5">
        <f>IF(AND('3 Sys'!E5&gt;Tmin, NOT('3 Sys'!$I5="")),'3 Sys'!$I5,0)</f>
        <v>0</v>
      </c>
      <c r="AD5">
        <f>IF(AND('3 Sys'!F5&gt;Tmin, NOT('3 Sys'!$I5="")),'3 Sys'!$I5,0)</f>
        <v>0</v>
      </c>
      <c r="AE5">
        <f>IF(AND('3 Sys'!C5&lt;Tmax, NOT('3 Sys'!$H5="")),'3 Sys'!$H5,4)</f>
        <v>4</v>
      </c>
      <c r="AF5">
        <f>IF(AND('3 Sys'!D5&lt;Tmax, NOT('3 Sys'!$H5="")),'3 Sys'!$H5,4)</f>
        <v>4</v>
      </c>
      <c r="AG5">
        <f>IF(AND('3 Sys'!E5&lt;Tmax, NOT('3 Sys'!$H5="")),'3 Sys'!$H5,4)</f>
        <v>4</v>
      </c>
      <c r="AH5">
        <f>IF(AND('3 Sys'!F5&lt;Tmax, NOT('3 Sys'!$H5="")),'3 Sys'!$H5,4)</f>
        <v>4</v>
      </c>
      <c r="AI5"/>
    </row>
    <row r="6" spans="1:35" ht="20.399999999999999" x14ac:dyDescent="0.25">
      <c r="A6" s="164" t="s">
        <v>828</v>
      </c>
      <c r="B6" s="164" t="s">
        <v>7221</v>
      </c>
      <c r="C6" s="136"/>
      <c r="D6" s="136"/>
      <c r="E6" s="136"/>
      <c r="F6" s="136"/>
      <c r="G6" s="133">
        <v>4</v>
      </c>
      <c r="H6" s="133"/>
      <c r="I6" s="133"/>
      <c r="J6" s="133" t="s">
        <v>6997</v>
      </c>
      <c r="AA6">
        <f>IF(AND('3 Sys'!C6&gt;Tmin, NOT('3 Sys'!$I6="")),'3 Sys'!$I6,0)</f>
        <v>0</v>
      </c>
      <c r="AB6">
        <f>IF(AND('3 Sys'!D6&gt;Tmin, NOT('3 Sys'!$I6="")),'3 Sys'!$I6,0)</f>
        <v>0</v>
      </c>
      <c r="AC6">
        <f>IF(AND('3 Sys'!E6&gt;Tmin, NOT('3 Sys'!$I6="")),'3 Sys'!$I6,0)</f>
        <v>0</v>
      </c>
      <c r="AD6">
        <f>IF(AND('3 Sys'!F6&gt;Tmin, NOT('3 Sys'!$I6="")),'3 Sys'!$I6,0)</f>
        <v>0</v>
      </c>
      <c r="AE6">
        <f>IF(AND('3 Sys'!C6&lt;Tmax, NOT('3 Sys'!$H6="")),'3 Sys'!$H6,4)</f>
        <v>4</v>
      </c>
      <c r="AF6">
        <f>IF(AND('3 Sys'!D6&lt;Tmax, NOT('3 Sys'!$H6="")),'3 Sys'!$H6,4)</f>
        <v>4</v>
      </c>
      <c r="AG6">
        <f>IF(AND('3 Sys'!E6&lt;Tmax, NOT('3 Sys'!$H6="")),'3 Sys'!$H6,4)</f>
        <v>4</v>
      </c>
      <c r="AH6">
        <f>IF(AND('3 Sys'!F6&lt;Tmax, NOT('3 Sys'!$H6="")),'3 Sys'!$H6,4)</f>
        <v>4</v>
      </c>
      <c r="AI6"/>
    </row>
    <row r="7" spans="1:35" ht="16.5" customHeight="1" x14ac:dyDescent="0.25">
      <c r="A7" s="164" t="s">
        <v>829</v>
      </c>
      <c r="B7" s="164" t="s">
        <v>7222</v>
      </c>
      <c r="C7" s="136"/>
      <c r="D7" s="136"/>
      <c r="E7" s="136"/>
      <c r="F7" s="136"/>
      <c r="G7" s="133">
        <v>4</v>
      </c>
      <c r="H7" s="133">
        <v>2</v>
      </c>
      <c r="I7" s="133"/>
      <c r="J7" s="133" t="s">
        <v>6997</v>
      </c>
      <c r="AA7">
        <f>IF(AND('3 Sys'!C7&gt;Tmin, NOT('3 Sys'!$I7="")),'3 Sys'!$I7,0)</f>
        <v>0</v>
      </c>
      <c r="AB7">
        <f>IF(AND('3 Sys'!D7&gt;Tmin, NOT('3 Sys'!$I7="")),'3 Sys'!$I7,0)</f>
        <v>0</v>
      </c>
      <c r="AC7">
        <f>IF(AND('3 Sys'!E7&gt;Tmin, NOT('3 Sys'!$I7="")),'3 Sys'!$I7,0)</f>
        <v>0</v>
      </c>
      <c r="AD7">
        <f>IF(AND('3 Sys'!F7&gt;Tmin, NOT('3 Sys'!$I7="")),'3 Sys'!$I7,0)</f>
        <v>0</v>
      </c>
      <c r="AE7">
        <f>IF(AND('3 Sys'!C7&lt;Tmax, NOT('3 Sys'!$H7="")),'3 Sys'!$H7,4)</f>
        <v>2</v>
      </c>
      <c r="AF7">
        <f>IF(AND('3 Sys'!D7&lt;Tmax, NOT('3 Sys'!$H7="")),'3 Sys'!$H7,4)</f>
        <v>2</v>
      </c>
      <c r="AG7">
        <f>IF(AND('3 Sys'!E7&lt;Tmax, NOT('3 Sys'!$H7="")),'3 Sys'!$H7,4)</f>
        <v>2</v>
      </c>
      <c r="AH7">
        <f>IF(AND('3 Sys'!F7&lt;Tmax, NOT('3 Sys'!$H7="")),'3 Sys'!$H7,4)</f>
        <v>2</v>
      </c>
      <c r="AI7"/>
    </row>
    <row r="8" spans="1:35" ht="20.399999999999999" x14ac:dyDescent="0.25">
      <c r="A8" s="164" t="s">
        <v>830</v>
      </c>
      <c r="B8" s="164" t="s">
        <v>7223</v>
      </c>
      <c r="C8" s="136"/>
      <c r="D8" s="136"/>
      <c r="E8" s="136"/>
      <c r="F8" s="136"/>
      <c r="G8" s="133">
        <v>2</v>
      </c>
      <c r="H8" s="133"/>
      <c r="I8" s="133"/>
      <c r="J8" s="133" t="s">
        <v>126</v>
      </c>
      <c r="AA8">
        <f>IF(AND('3 Sys'!C8&gt;Tmin, NOT('3 Sys'!$I8="")),'3 Sys'!$I8,0)</f>
        <v>0</v>
      </c>
      <c r="AB8">
        <f>IF(AND('3 Sys'!D8&gt;Tmin, NOT('3 Sys'!$I8="")),'3 Sys'!$I8,0)</f>
        <v>0</v>
      </c>
      <c r="AC8">
        <f>IF(AND('3 Sys'!E8&gt;Tmin, NOT('3 Sys'!$I8="")),'3 Sys'!$I8,0)</f>
        <v>0</v>
      </c>
      <c r="AD8">
        <f>IF(AND('3 Sys'!F8&gt;Tmin, NOT('3 Sys'!$I8="")),'3 Sys'!$I8,0)</f>
        <v>0</v>
      </c>
      <c r="AE8">
        <f>IF(AND('3 Sys'!C8&lt;Tmax, NOT('3 Sys'!$H8="")),'3 Sys'!$H8,4)</f>
        <v>4</v>
      </c>
      <c r="AF8">
        <f>IF(AND('3 Sys'!D8&lt;Tmax, NOT('3 Sys'!$H8="")),'3 Sys'!$H8,4)</f>
        <v>4</v>
      </c>
      <c r="AG8">
        <f>IF(AND('3 Sys'!E8&lt;Tmax, NOT('3 Sys'!$H8="")),'3 Sys'!$H8,4)</f>
        <v>4</v>
      </c>
      <c r="AH8">
        <f>IF(AND('3 Sys'!F8&lt;Tmax, NOT('3 Sys'!$H8="")),'3 Sys'!$H8,4)</f>
        <v>4</v>
      </c>
      <c r="AI8"/>
    </row>
    <row r="9" spans="1:35" ht="20.399999999999999" x14ac:dyDescent="0.25">
      <c r="A9" s="164" t="s">
        <v>831</v>
      </c>
      <c r="B9" s="164" t="s">
        <v>7224</v>
      </c>
      <c r="C9" s="136"/>
      <c r="D9" s="136"/>
      <c r="E9" s="136"/>
      <c r="F9" s="136"/>
      <c r="G9" s="133">
        <v>4</v>
      </c>
      <c r="H9" s="133"/>
      <c r="I9" s="133"/>
      <c r="J9" s="133" t="s">
        <v>126</v>
      </c>
      <c r="AA9">
        <f>IF(AND('3 Sys'!C9&gt;Tmin, NOT('3 Sys'!$I9="")),'3 Sys'!$I9,0)</f>
        <v>0</v>
      </c>
      <c r="AB9">
        <f>IF(AND('3 Sys'!D9&gt;Tmin, NOT('3 Sys'!$I9="")),'3 Sys'!$I9,0)</f>
        <v>0</v>
      </c>
      <c r="AC9">
        <f>IF(AND('3 Sys'!E9&gt;Tmin, NOT('3 Sys'!$I9="")),'3 Sys'!$I9,0)</f>
        <v>0</v>
      </c>
      <c r="AD9">
        <f>IF(AND('3 Sys'!F9&gt;Tmin, NOT('3 Sys'!$I9="")),'3 Sys'!$I9,0)</f>
        <v>0</v>
      </c>
      <c r="AE9">
        <f>IF(AND('3 Sys'!C9&lt;Tmax, NOT('3 Sys'!$H9="")),'3 Sys'!$H9,4)</f>
        <v>4</v>
      </c>
      <c r="AF9">
        <f>IF(AND('3 Sys'!D9&lt;Tmax, NOT('3 Sys'!$H9="")),'3 Sys'!$H9,4)</f>
        <v>4</v>
      </c>
      <c r="AG9">
        <f>IF(AND('3 Sys'!E9&lt;Tmax, NOT('3 Sys'!$H9="")),'3 Sys'!$H9,4)</f>
        <v>4</v>
      </c>
      <c r="AH9">
        <f>IF(AND('3 Sys'!F9&lt;Tmax, NOT('3 Sys'!$H9="")),'3 Sys'!$H9,4)</f>
        <v>4</v>
      </c>
      <c r="AI9"/>
    </row>
    <row r="10" spans="1:35" s="213" customFormat="1" x14ac:dyDescent="0.25">
      <c r="A10" s="164" t="s">
        <v>629</v>
      </c>
      <c r="B10" s="164" t="s">
        <v>832</v>
      </c>
      <c r="C10" s="136"/>
      <c r="D10" s="136"/>
      <c r="E10" s="136"/>
      <c r="F10" s="136"/>
      <c r="G10" s="133"/>
      <c r="H10" s="133"/>
      <c r="I10" s="133"/>
      <c r="J10" s="133"/>
      <c r="K10" s="225"/>
      <c r="AA10"/>
      <c r="AB10"/>
      <c r="AC10"/>
      <c r="AD10"/>
      <c r="AE10"/>
      <c r="AF10"/>
      <c r="AG10"/>
      <c r="AH10"/>
      <c r="AI10"/>
    </row>
    <row r="11" spans="1:35" s="213" customFormat="1" ht="48.75" customHeight="1" x14ac:dyDescent="0.25">
      <c r="A11" s="164" t="s">
        <v>833</v>
      </c>
      <c r="B11" s="164" t="s">
        <v>2302</v>
      </c>
      <c r="C11" s="136">
        <v>0</v>
      </c>
      <c r="D11" s="136"/>
      <c r="E11" s="136"/>
      <c r="F11" s="136"/>
      <c r="G11" s="133">
        <v>4</v>
      </c>
      <c r="H11" s="133"/>
      <c r="I11" s="133"/>
      <c r="J11" s="133" t="s">
        <v>6999</v>
      </c>
      <c r="K11" s="225" t="s">
        <v>7516</v>
      </c>
      <c r="AA11">
        <f>IF(AND('3 Sys'!C11&gt;Tmin, NOT('3 Sys'!$I11="")),'3 Sys'!$I11,0)</f>
        <v>0</v>
      </c>
      <c r="AB11">
        <f>IF(AND('3 Sys'!D11&gt;Tmin, NOT('3 Sys'!$I11="")),'3 Sys'!$I11,0)</f>
        <v>0</v>
      </c>
      <c r="AC11">
        <f>IF(AND('3 Sys'!E11&gt;Tmin, NOT('3 Sys'!$I11="")),'3 Sys'!$I11,0)</f>
        <v>0</v>
      </c>
      <c r="AD11">
        <f>IF(AND('3 Sys'!F11&gt;Tmin, NOT('3 Sys'!$I11="")),'3 Sys'!$I11,0)</f>
        <v>0</v>
      </c>
      <c r="AE11">
        <f>IF(AND('3 Sys'!C11&lt;Tmax, NOT('3 Sys'!$H11="")),'3 Sys'!$H11,4)</f>
        <v>4</v>
      </c>
      <c r="AF11">
        <f>IF(AND('3 Sys'!D11&lt;Tmax, NOT('3 Sys'!$H11="")),'3 Sys'!$H11,4)</f>
        <v>4</v>
      </c>
      <c r="AG11">
        <f>IF(AND('3 Sys'!E11&lt;Tmax, NOT('3 Sys'!$H11="")),'3 Sys'!$H11,4)</f>
        <v>4</v>
      </c>
      <c r="AH11">
        <f>IF(AND('3 Sys'!F11&lt;Tmax, NOT('3 Sys'!$H11="")),'3 Sys'!$H11,4)</f>
        <v>4</v>
      </c>
      <c r="AI11"/>
    </row>
    <row r="12" spans="1:35" s="213" customFormat="1" x14ac:dyDescent="0.25">
      <c r="A12" s="164" t="s">
        <v>834</v>
      </c>
      <c r="B12" s="164" t="s">
        <v>7225</v>
      </c>
      <c r="C12" s="136">
        <v>0</v>
      </c>
      <c r="D12" s="136"/>
      <c r="E12" s="136"/>
      <c r="F12" s="136"/>
      <c r="G12" s="133">
        <v>2</v>
      </c>
      <c r="H12" s="133"/>
      <c r="I12" s="133"/>
      <c r="J12" s="133" t="s">
        <v>6999</v>
      </c>
      <c r="K12" s="225" t="s">
        <v>7538</v>
      </c>
      <c r="AA12">
        <f>IF(AND('3 Sys'!C12&gt;Tmin, NOT('3 Sys'!$I12="")),'3 Sys'!$I12,0)</f>
        <v>0</v>
      </c>
      <c r="AB12">
        <f>IF(AND('3 Sys'!D12&gt;Tmin, NOT('3 Sys'!$I12="")),'3 Sys'!$I12,0)</f>
        <v>0</v>
      </c>
      <c r="AC12">
        <f>IF(AND('3 Sys'!E12&gt;Tmin, NOT('3 Sys'!$I12="")),'3 Sys'!$I12,0)</f>
        <v>0</v>
      </c>
      <c r="AD12">
        <f>IF(AND('3 Sys'!F12&gt;Tmin, NOT('3 Sys'!$I12="")),'3 Sys'!$I12,0)</f>
        <v>0</v>
      </c>
      <c r="AE12">
        <f>IF(AND('3 Sys'!C12&lt;Tmax, NOT('3 Sys'!$H12="")),'3 Sys'!$H12,4)</f>
        <v>4</v>
      </c>
      <c r="AF12">
        <f>IF(AND('3 Sys'!D12&lt;Tmax, NOT('3 Sys'!$H12="")),'3 Sys'!$H12,4)</f>
        <v>4</v>
      </c>
      <c r="AG12">
        <f>IF(AND('3 Sys'!E12&lt;Tmax, NOT('3 Sys'!$H12="")),'3 Sys'!$H12,4)</f>
        <v>4</v>
      </c>
      <c r="AH12">
        <f>IF(AND('3 Sys'!F12&lt;Tmax, NOT('3 Sys'!$H12="")),'3 Sys'!$H12,4)</f>
        <v>4</v>
      </c>
      <c r="AI12"/>
    </row>
    <row r="13" spans="1:35" s="213" customFormat="1" ht="15.75" customHeight="1" x14ac:dyDescent="0.25">
      <c r="A13" s="164" t="s">
        <v>835</v>
      </c>
      <c r="B13" s="164" t="s">
        <v>7226</v>
      </c>
      <c r="C13" s="136">
        <v>0</v>
      </c>
      <c r="D13" s="136"/>
      <c r="E13" s="136"/>
      <c r="F13" s="136"/>
      <c r="G13" s="133">
        <v>2</v>
      </c>
      <c r="H13" s="133"/>
      <c r="I13" s="133"/>
      <c r="J13" s="133" t="s">
        <v>6999</v>
      </c>
      <c r="K13" s="225" t="s">
        <v>7494</v>
      </c>
      <c r="AA13">
        <f>IF(AND('3 Sys'!C13&gt;Tmin, NOT('3 Sys'!$I13="")),'3 Sys'!$I13,0)</f>
        <v>0</v>
      </c>
      <c r="AB13">
        <f>IF(AND('3 Sys'!D13&gt;Tmin, NOT('3 Sys'!$I13="")),'3 Sys'!$I13,0)</f>
        <v>0</v>
      </c>
      <c r="AC13">
        <f>IF(AND('3 Sys'!E13&gt;Tmin, NOT('3 Sys'!$I13="")),'3 Sys'!$I13,0)</f>
        <v>0</v>
      </c>
      <c r="AD13">
        <f>IF(AND('3 Sys'!F13&gt;Tmin, NOT('3 Sys'!$I13="")),'3 Sys'!$I13,0)</f>
        <v>0</v>
      </c>
      <c r="AE13">
        <f>IF(AND('3 Sys'!C13&lt;Tmax, NOT('3 Sys'!$H13="")),'3 Sys'!$H13,4)</f>
        <v>4</v>
      </c>
      <c r="AF13">
        <f>IF(AND('3 Sys'!D13&lt;Tmax, NOT('3 Sys'!$H13="")),'3 Sys'!$H13,4)</f>
        <v>4</v>
      </c>
      <c r="AG13">
        <f>IF(AND('3 Sys'!E13&lt;Tmax, NOT('3 Sys'!$H13="")),'3 Sys'!$H13,4)</f>
        <v>4</v>
      </c>
      <c r="AH13">
        <f>IF(AND('3 Sys'!F13&lt;Tmax, NOT('3 Sys'!$H13="")),'3 Sys'!$H13,4)</f>
        <v>4</v>
      </c>
      <c r="AI13"/>
    </row>
    <row r="14" spans="1:35" s="213" customFormat="1" ht="39.6" x14ac:dyDescent="0.25">
      <c r="A14" s="164" t="s">
        <v>836</v>
      </c>
      <c r="B14" s="164" t="s">
        <v>7227</v>
      </c>
      <c r="C14" s="136">
        <v>0</v>
      </c>
      <c r="D14" s="136"/>
      <c r="E14" s="136"/>
      <c r="F14" s="136"/>
      <c r="G14" s="133">
        <v>2</v>
      </c>
      <c r="H14" s="133"/>
      <c r="I14" s="133"/>
      <c r="J14" s="133" t="s">
        <v>7005</v>
      </c>
      <c r="K14" s="225" t="s">
        <v>7539</v>
      </c>
      <c r="AA14">
        <f>IF(AND('3 Sys'!C14&gt;Tmin, NOT('3 Sys'!$I14="")),'3 Sys'!$I14,0)</f>
        <v>0</v>
      </c>
      <c r="AB14">
        <f>IF(AND('3 Sys'!D14&gt;Tmin, NOT('3 Sys'!$I14="")),'3 Sys'!$I14,0)</f>
        <v>0</v>
      </c>
      <c r="AC14">
        <f>IF(AND('3 Sys'!E14&gt;Tmin, NOT('3 Sys'!$I14="")),'3 Sys'!$I14,0)</f>
        <v>0</v>
      </c>
      <c r="AD14">
        <f>IF(AND('3 Sys'!F14&gt;Tmin, NOT('3 Sys'!$I14="")),'3 Sys'!$I14,0)</f>
        <v>0</v>
      </c>
      <c r="AE14">
        <f>IF(AND('3 Sys'!C14&lt;Tmax, NOT('3 Sys'!$H14="")),'3 Sys'!$H14,4)</f>
        <v>4</v>
      </c>
      <c r="AF14">
        <f>IF(AND('3 Sys'!D14&lt;Tmax, NOT('3 Sys'!$H14="")),'3 Sys'!$H14,4)</f>
        <v>4</v>
      </c>
      <c r="AG14">
        <f>IF(AND('3 Sys'!E14&lt;Tmax, NOT('3 Sys'!$H14="")),'3 Sys'!$H14,4)</f>
        <v>4</v>
      </c>
      <c r="AH14">
        <f>IF(AND('3 Sys'!F14&lt;Tmax, NOT('3 Sys'!$H14="")),'3 Sys'!$H14,4)</f>
        <v>4</v>
      </c>
      <c r="AI14"/>
    </row>
    <row r="15" spans="1:35" s="213" customFormat="1" ht="16.5" customHeight="1" x14ac:dyDescent="0.25">
      <c r="A15" s="164" t="s">
        <v>838</v>
      </c>
      <c r="B15" s="164" t="s">
        <v>7228</v>
      </c>
      <c r="C15" s="136">
        <v>0</v>
      </c>
      <c r="D15" s="136"/>
      <c r="E15" s="136"/>
      <c r="F15" s="136"/>
      <c r="G15" s="133">
        <v>4</v>
      </c>
      <c r="H15" s="133"/>
      <c r="I15" s="133"/>
      <c r="J15" s="133" t="s">
        <v>7005</v>
      </c>
      <c r="K15" s="225" t="s">
        <v>7494</v>
      </c>
      <c r="AA15">
        <f>IF(AND('3 Sys'!C15&gt;Tmin, NOT('3 Sys'!$I15="")),'3 Sys'!$I15,0)</f>
        <v>0</v>
      </c>
      <c r="AB15">
        <f>IF(AND('3 Sys'!D15&gt;Tmin, NOT('3 Sys'!$I15="")),'3 Sys'!$I15,0)</f>
        <v>0</v>
      </c>
      <c r="AC15">
        <f>IF(AND('3 Sys'!E15&gt;Tmin, NOT('3 Sys'!$I15="")),'3 Sys'!$I15,0)</f>
        <v>0</v>
      </c>
      <c r="AD15">
        <f>IF(AND('3 Sys'!F15&gt;Tmin, NOT('3 Sys'!$I15="")),'3 Sys'!$I15,0)</f>
        <v>0</v>
      </c>
      <c r="AE15">
        <f>IF(AND('3 Sys'!C15&lt;Tmax, NOT('3 Sys'!$H15="")),'3 Sys'!$H15,4)</f>
        <v>4</v>
      </c>
      <c r="AF15">
        <f>IF(AND('3 Sys'!D15&lt;Tmax, NOT('3 Sys'!$H15="")),'3 Sys'!$H15,4)</f>
        <v>4</v>
      </c>
      <c r="AG15">
        <f>IF(AND('3 Sys'!E15&lt;Tmax, NOT('3 Sys'!$H15="")),'3 Sys'!$H15,4)</f>
        <v>4</v>
      </c>
      <c r="AH15">
        <f>IF(AND('3 Sys'!F15&lt;Tmax, NOT('3 Sys'!$H15="")),'3 Sys'!$H15,4)</f>
        <v>4</v>
      </c>
      <c r="AI15"/>
    </row>
    <row r="16" spans="1:35" s="213" customFormat="1" ht="39.6" x14ac:dyDescent="0.25">
      <c r="A16" s="164" t="s">
        <v>839</v>
      </c>
      <c r="B16" s="164" t="s">
        <v>2303</v>
      </c>
      <c r="C16" s="136">
        <v>0</v>
      </c>
      <c r="D16" s="136"/>
      <c r="E16" s="136"/>
      <c r="F16" s="136"/>
      <c r="G16" s="133">
        <v>2</v>
      </c>
      <c r="H16" s="133"/>
      <c r="I16" s="133"/>
      <c r="J16" s="133"/>
      <c r="K16" s="225" t="s">
        <v>7539</v>
      </c>
      <c r="AA16">
        <f>IF(AND('3 Sys'!C16&gt;Tmin, NOT('3 Sys'!$I16="")),'3 Sys'!$I16,0)</f>
        <v>0</v>
      </c>
      <c r="AB16">
        <f>IF(AND('3 Sys'!D16&gt;Tmin, NOT('3 Sys'!$I16="")),'3 Sys'!$I16,0)</f>
        <v>0</v>
      </c>
      <c r="AC16">
        <f>IF(AND('3 Sys'!E16&gt;Tmin, NOT('3 Sys'!$I16="")),'3 Sys'!$I16,0)</f>
        <v>0</v>
      </c>
      <c r="AD16">
        <f>IF(AND('3 Sys'!F16&gt;Tmin, NOT('3 Sys'!$I16="")),'3 Sys'!$I16,0)</f>
        <v>0</v>
      </c>
      <c r="AE16">
        <f>IF(AND('3 Sys'!C16&lt;Tmax, NOT('3 Sys'!$H16="")),'3 Sys'!$H16,4)</f>
        <v>4</v>
      </c>
      <c r="AF16">
        <f>IF(AND('3 Sys'!D16&lt;Tmax, NOT('3 Sys'!$H16="")),'3 Sys'!$H16,4)</f>
        <v>4</v>
      </c>
      <c r="AG16">
        <f>IF(AND('3 Sys'!E16&lt;Tmax, NOT('3 Sys'!$H16="")),'3 Sys'!$H16,4)</f>
        <v>4</v>
      </c>
      <c r="AH16">
        <f>IF(AND('3 Sys'!F16&lt;Tmax, NOT('3 Sys'!$H16="")),'3 Sys'!$H16,4)</f>
        <v>4</v>
      </c>
      <c r="AI16"/>
    </row>
    <row r="17" spans="1:35" s="213" customFormat="1" ht="40.799999999999997" x14ac:dyDescent="0.25">
      <c r="A17" s="164" t="s">
        <v>840</v>
      </c>
      <c r="B17" s="164" t="s">
        <v>2304</v>
      </c>
      <c r="C17" s="136">
        <v>0</v>
      </c>
      <c r="D17" s="136"/>
      <c r="E17" s="136"/>
      <c r="F17" s="136"/>
      <c r="G17" s="133">
        <v>4</v>
      </c>
      <c r="H17" s="133">
        <v>3</v>
      </c>
      <c r="I17" s="133"/>
      <c r="J17" s="133"/>
      <c r="K17" s="225" t="s">
        <v>7516</v>
      </c>
      <c r="AA17">
        <f>IF(AND('3 Sys'!C17&gt;Tmin, NOT('3 Sys'!$I17="")),'3 Sys'!$I17,0)</f>
        <v>0</v>
      </c>
      <c r="AB17">
        <f>IF(AND('3 Sys'!D17&gt;Tmin, NOT('3 Sys'!$I17="")),'3 Sys'!$I17,0)</f>
        <v>0</v>
      </c>
      <c r="AC17">
        <f>IF(AND('3 Sys'!E17&gt;Tmin, NOT('3 Sys'!$I17="")),'3 Sys'!$I17,0)</f>
        <v>0</v>
      </c>
      <c r="AD17">
        <f>IF(AND('3 Sys'!F17&gt;Tmin, NOT('3 Sys'!$I17="")),'3 Sys'!$I17,0)</f>
        <v>0</v>
      </c>
      <c r="AE17">
        <f>IF(AND('3 Sys'!C17&lt;Tmax, NOT('3 Sys'!$H17="")),'3 Sys'!$H17,4)</f>
        <v>3</v>
      </c>
      <c r="AF17">
        <f>IF(AND('3 Sys'!D17&lt;Tmax, NOT('3 Sys'!$H17="")),'3 Sys'!$H17,4)</f>
        <v>3</v>
      </c>
      <c r="AG17">
        <f>IF(AND('3 Sys'!E17&lt;Tmax, NOT('3 Sys'!$H17="")),'3 Sys'!$H17,4)</f>
        <v>3</v>
      </c>
      <c r="AH17">
        <f>IF(AND('3 Sys'!F17&lt;Tmax, NOT('3 Sys'!$H17="")),'3 Sys'!$H17,4)</f>
        <v>3</v>
      </c>
      <c r="AI17"/>
    </row>
    <row r="18" spans="1:35" s="213" customFormat="1" ht="26.4" x14ac:dyDescent="0.25">
      <c r="A18" s="164" t="s">
        <v>842</v>
      </c>
      <c r="B18" s="164" t="s">
        <v>837</v>
      </c>
      <c r="C18" s="136">
        <v>0</v>
      </c>
      <c r="D18" s="136"/>
      <c r="E18" s="136"/>
      <c r="F18" s="136"/>
      <c r="G18" s="133">
        <v>2</v>
      </c>
      <c r="H18" s="133"/>
      <c r="I18" s="133"/>
      <c r="J18" s="133"/>
      <c r="K18" s="225" t="s">
        <v>7515</v>
      </c>
      <c r="AA18">
        <f>IF(AND('3 Sys'!C18&gt;Tmin, NOT('3 Sys'!$I18="")),'3 Sys'!$I18,0)</f>
        <v>0</v>
      </c>
      <c r="AB18">
        <f>IF(AND('3 Sys'!D18&gt;Tmin, NOT('3 Sys'!$I18="")),'3 Sys'!$I18,0)</f>
        <v>0</v>
      </c>
      <c r="AC18">
        <f>IF(AND('3 Sys'!E18&gt;Tmin, NOT('3 Sys'!$I18="")),'3 Sys'!$I18,0)</f>
        <v>0</v>
      </c>
      <c r="AD18">
        <f>IF(AND('3 Sys'!F18&gt;Tmin, NOT('3 Sys'!$I18="")),'3 Sys'!$I18,0)</f>
        <v>0</v>
      </c>
      <c r="AE18">
        <f>IF(AND('3 Sys'!C18&lt;Tmax, NOT('3 Sys'!$H18="")),'3 Sys'!$H18,4)</f>
        <v>4</v>
      </c>
      <c r="AF18">
        <f>IF(AND('3 Sys'!D18&lt;Tmax, NOT('3 Sys'!$H18="")),'3 Sys'!$H18,4)</f>
        <v>4</v>
      </c>
      <c r="AG18">
        <f>IF(AND('3 Sys'!E18&lt;Tmax, NOT('3 Sys'!$H18="")),'3 Sys'!$H18,4)</f>
        <v>4</v>
      </c>
      <c r="AH18">
        <f>IF(AND('3 Sys'!F18&lt;Tmax, NOT('3 Sys'!$H18="")),'3 Sys'!$H18,4)</f>
        <v>4</v>
      </c>
      <c r="AI18"/>
    </row>
    <row r="19" spans="1:35" s="213" customFormat="1" ht="61.2" x14ac:dyDescent="0.25">
      <c r="A19" s="164" t="s">
        <v>844</v>
      </c>
      <c r="B19" s="164" t="s">
        <v>184</v>
      </c>
      <c r="C19" s="136">
        <v>0</v>
      </c>
      <c r="D19" s="136"/>
      <c r="E19" s="136"/>
      <c r="F19" s="136"/>
      <c r="G19" s="133">
        <v>4</v>
      </c>
      <c r="H19" s="133">
        <v>2</v>
      </c>
      <c r="I19" s="133">
        <v>3</v>
      </c>
      <c r="J19" s="133"/>
      <c r="K19" s="225" t="s">
        <v>7516</v>
      </c>
      <c r="AA19">
        <f>IF(AND('3 Sys'!C19&gt;Tmin, NOT('3 Sys'!$I19="")),'3 Sys'!$I19,0)</f>
        <v>0</v>
      </c>
      <c r="AB19">
        <f>IF(AND('3 Sys'!D19&gt;Tmin, NOT('3 Sys'!$I19="")),'3 Sys'!$I19,0)</f>
        <v>0</v>
      </c>
      <c r="AC19">
        <f>IF(AND('3 Sys'!E19&gt;Tmin, NOT('3 Sys'!$I19="")),'3 Sys'!$I19,0)</f>
        <v>0</v>
      </c>
      <c r="AD19">
        <f>IF(AND('3 Sys'!F19&gt;Tmin, NOT('3 Sys'!$I19="")),'3 Sys'!$I19,0)</f>
        <v>0</v>
      </c>
      <c r="AE19">
        <f>IF(AND('3 Sys'!C19&lt;Tmax, NOT('3 Sys'!$H19="")),'3 Sys'!$H19,4)</f>
        <v>2</v>
      </c>
      <c r="AF19">
        <f>IF(AND('3 Sys'!D19&lt;Tmax, NOT('3 Sys'!$H19="")),'3 Sys'!$H19,4)</f>
        <v>2</v>
      </c>
      <c r="AG19">
        <f>IF(AND('3 Sys'!E19&lt;Tmax, NOT('3 Sys'!$H19="")),'3 Sys'!$H19,4)</f>
        <v>2</v>
      </c>
      <c r="AH19">
        <f>IF(AND('3 Sys'!F19&lt;Tmax, NOT('3 Sys'!$H19="")),'3 Sys'!$H19,4)</f>
        <v>2</v>
      </c>
      <c r="AI19"/>
    </row>
    <row r="20" spans="1:35" s="213" customFormat="1" ht="40.799999999999997" x14ac:dyDescent="0.25">
      <c r="A20" s="164" t="s">
        <v>845</v>
      </c>
      <c r="B20" s="164" t="s">
        <v>185</v>
      </c>
      <c r="C20" s="136">
        <v>0</v>
      </c>
      <c r="D20" s="136"/>
      <c r="E20" s="136"/>
      <c r="F20" s="136"/>
      <c r="G20" s="133">
        <v>4</v>
      </c>
      <c r="H20" s="133"/>
      <c r="I20" s="133"/>
      <c r="J20" s="133"/>
      <c r="K20" s="225" t="s">
        <v>7494</v>
      </c>
      <c r="AA20">
        <f>IF(AND('3 Sys'!C20&gt;Tmin, NOT('3 Sys'!$I20="")),'3 Sys'!$I20,0)</f>
        <v>0</v>
      </c>
      <c r="AB20">
        <f>IF(AND('3 Sys'!D20&gt;Tmin, NOT('3 Sys'!$I20="")),'3 Sys'!$I20,0)</f>
        <v>0</v>
      </c>
      <c r="AC20">
        <f>IF(AND('3 Sys'!E20&gt;Tmin, NOT('3 Sys'!$I20="")),'3 Sys'!$I20,0)</f>
        <v>0</v>
      </c>
      <c r="AD20">
        <f>IF(AND('3 Sys'!F20&gt;Tmin, NOT('3 Sys'!$I20="")),'3 Sys'!$I20,0)</f>
        <v>0</v>
      </c>
      <c r="AE20">
        <f>IF(AND('3 Sys'!C20&lt;Tmax, NOT('3 Sys'!$H20="")),'3 Sys'!$H20,4)</f>
        <v>4</v>
      </c>
      <c r="AF20">
        <f>IF(AND('3 Sys'!D20&lt;Tmax, NOT('3 Sys'!$H20="")),'3 Sys'!$H20,4)</f>
        <v>4</v>
      </c>
      <c r="AG20">
        <f>IF(AND('3 Sys'!E20&lt;Tmax, NOT('3 Sys'!$H20="")),'3 Sys'!$H20,4)</f>
        <v>4</v>
      </c>
      <c r="AH20">
        <f>IF(AND('3 Sys'!F20&lt;Tmax, NOT('3 Sys'!$H20="")),'3 Sys'!$H20,4)</f>
        <v>4</v>
      </c>
      <c r="AI20"/>
    </row>
    <row r="21" spans="1:35" s="213" customFormat="1" ht="20.399999999999999" x14ac:dyDescent="0.25">
      <c r="A21" s="164" t="s">
        <v>7229</v>
      </c>
      <c r="B21" s="164" t="s">
        <v>841</v>
      </c>
      <c r="C21" s="136">
        <v>0</v>
      </c>
      <c r="D21" s="136"/>
      <c r="E21" s="136"/>
      <c r="F21" s="136"/>
      <c r="G21" s="133">
        <v>4</v>
      </c>
      <c r="H21" s="133">
        <v>3</v>
      </c>
      <c r="I21" s="133"/>
      <c r="J21" s="133"/>
      <c r="K21" s="225" t="s">
        <v>7494</v>
      </c>
      <c r="AA21">
        <f>IF(AND('3 Sys'!C21&gt;Tmin, NOT('3 Sys'!$I21="")),'3 Sys'!$I21,0)</f>
        <v>0</v>
      </c>
      <c r="AB21">
        <f>IF(AND('3 Sys'!D21&gt;Tmin, NOT('3 Sys'!$I21="")),'3 Sys'!$I21,0)</f>
        <v>0</v>
      </c>
      <c r="AC21">
        <f>IF(AND('3 Sys'!E21&gt;Tmin, NOT('3 Sys'!$I21="")),'3 Sys'!$I21,0)</f>
        <v>0</v>
      </c>
      <c r="AD21">
        <f>IF(AND('3 Sys'!F21&gt;Tmin, NOT('3 Sys'!$I21="")),'3 Sys'!$I21,0)</f>
        <v>0</v>
      </c>
      <c r="AE21">
        <f>IF(AND('3 Sys'!C21&lt;Tmax, NOT('3 Sys'!$H21="")),'3 Sys'!$H21,4)</f>
        <v>3</v>
      </c>
      <c r="AF21">
        <f>IF(AND('3 Sys'!D21&lt;Tmax, NOT('3 Sys'!$H21="")),'3 Sys'!$H21,4)</f>
        <v>3</v>
      </c>
      <c r="AG21">
        <f>IF(AND('3 Sys'!E21&lt;Tmax, NOT('3 Sys'!$H21="")),'3 Sys'!$H21,4)</f>
        <v>3</v>
      </c>
      <c r="AH21">
        <f>IF(AND('3 Sys'!F21&lt;Tmax, NOT('3 Sys'!$H21="")),'3 Sys'!$H21,4)</f>
        <v>3</v>
      </c>
      <c r="AI21"/>
    </row>
    <row r="22" spans="1:35" s="213" customFormat="1" x14ac:dyDescent="0.25">
      <c r="A22" s="164" t="s">
        <v>7230</v>
      </c>
      <c r="B22" s="164" t="s">
        <v>843</v>
      </c>
      <c r="C22" s="136">
        <v>0</v>
      </c>
      <c r="D22" s="136"/>
      <c r="E22" s="136"/>
      <c r="F22" s="136"/>
      <c r="G22" s="133">
        <v>4</v>
      </c>
      <c r="H22" s="133"/>
      <c r="I22" s="133"/>
      <c r="J22" s="133"/>
      <c r="K22" s="225" t="s">
        <v>7494</v>
      </c>
      <c r="AA22">
        <f>IF(AND('3 Sys'!C22&gt;Tmin, NOT('3 Sys'!$I22="")),'3 Sys'!$I22,0)</f>
        <v>0</v>
      </c>
      <c r="AB22">
        <f>IF(AND('3 Sys'!D22&gt;Tmin, NOT('3 Sys'!$I22="")),'3 Sys'!$I22,0)</f>
        <v>0</v>
      </c>
      <c r="AC22">
        <f>IF(AND('3 Sys'!E22&gt;Tmin, NOT('3 Sys'!$I22="")),'3 Sys'!$I22,0)</f>
        <v>0</v>
      </c>
      <c r="AD22">
        <f>IF(AND('3 Sys'!F22&gt;Tmin, NOT('3 Sys'!$I22="")),'3 Sys'!$I22,0)</f>
        <v>0</v>
      </c>
      <c r="AE22">
        <f>IF(AND('3 Sys'!C22&lt;Tmax, NOT('3 Sys'!$H22="")),'3 Sys'!$H22,4)</f>
        <v>4</v>
      </c>
      <c r="AF22">
        <f>IF(AND('3 Sys'!D22&lt;Tmax, NOT('3 Sys'!$H22="")),'3 Sys'!$H22,4)</f>
        <v>4</v>
      </c>
      <c r="AG22">
        <f>IF(AND('3 Sys'!E22&lt;Tmax, NOT('3 Sys'!$H22="")),'3 Sys'!$H22,4)</f>
        <v>4</v>
      </c>
      <c r="AH22">
        <f>IF(AND('3 Sys'!F22&lt;Tmax, NOT('3 Sys'!$H22="")),'3 Sys'!$H22,4)</f>
        <v>4</v>
      </c>
      <c r="AI22"/>
    </row>
    <row r="23" spans="1:35" s="213" customFormat="1" ht="26.4" x14ac:dyDescent="0.25">
      <c r="A23" s="164" t="s">
        <v>7231</v>
      </c>
      <c r="B23" s="164" t="s">
        <v>381</v>
      </c>
      <c r="C23" s="136">
        <v>0</v>
      </c>
      <c r="D23" s="136"/>
      <c r="E23" s="136"/>
      <c r="F23" s="136"/>
      <c r="G23" s="133">
        <v>2</v>
      </c>
      <c r="H23" s="133"/>
      <c r="I23" s="133"/>
      <c r="J23" s="133"/>
      <c r="K23" s="225" t="s">
        <v>7515</v>
      </c>
      <c r="AA23">
        <f>IF(AND('3 Sys'!C23&gt;Tmin, NOT('3 Sys'!$I23="")),'3 Sys'!$I23,0)</f>
        <v>0</v>
      </c>
      <c r="AB23">
        <f>IF(AND('3 Sys'!D23&gt;Tmin, NOT('3 Sys'!$I23="")),'3 Sys'!$I23,0)</f>
        <v>0</v>
      </c>
      <c r="AC23">
        <f>IF(AND('3 Sys'!E23&gt;Tmin, NOT('3 Sys'!$I23="")),'3 Sys'!$I23,0)</f>
        <v>0</v>
      </c>
      <c r="AD23">
        <f>IF(AND('3 Sys'!F23&gt;Tmin, NOT('3 Sys'!$I23="")),'3 Sys'!$I23,0)</f>
        <v>0</v>
      </c>
      <c r="AE23">
        <f>IF(AND('3 Sys'!C23&lt;Tmax, NOT('3 Sys'!$H23="")),'3 Sys'!$H23,4)</f>
        <v>4</v>
      </c>
      <c r="AF23">
        <f>IF(AND('3 Sys'!D23&lt;Tmax, NOT('3 Sys'!$H23="")),'3 Sys'!$H23,4)</f>
        <v>4</v>
      </c>
      <c r="AG23">
        <f>IF(AND('3 Sys'!E23&lt;Tmax, NOT('3 Sys'!$H23="")),'3 Sys'!$H23,4)</f>
        <v>4</v>
      </c>
      <c r="AH23">
        <f>IF(AND('3 Sys'!F23&lt;Tmax, NOT('3 Sys'!$H23="")),'3 Sys'!$H23,4)</f>
        <v>4</v>
      </c>
      <c r="AI23"/>
    </row>
    <row r="24" spans="1:35" s="213" customFormat="1" ht="20.399999999999999" x14ac:dyDescent="0.25">
      <c r="A24" s="164" t="s">
        <v>7232</v>
      </c>
      <c r="B24" s="164" t="s">
        <v>382</v>
      </c>
      <c r="C24" s="136">
        <v>0</v>
      </c>
      <c r="D24" s="136"/>
      <c r="E24" s="136"/>
      <c r="F24" s="136"/>
      <c r="G24" s="133">
        <v>1</v>
      </c>
      <c r="H24" s="133">
        <v>2</v>
      </c>
      <c r="I24" s="133"/>
      <c r="J24" s="133"/>
      <c r="K24" s="225" t="s">
        <v>7494</v>
      </c>
      <c r="AA24">
        <f>IF(AND('3 Sys'!C24&gt;Tmin, NOT('3 Sys'!$I24="")),'3 Sys'!$I24,0)</f>
        <v>0</v>
      </c>
      <c r="AB24">
        <f>IF(AND('3 Sys'!D24&gt;Tmin, NOT('3 Sys'!$I24="")),'3 Sys'!$I24,0)</f>
        <v>0</v>
      </c>
      <c r="AC24">
        <f>IF(AND('3 Sys'!E24&gt;Tmin, NOT('3 Sys'!$I24="")),'3 Sys'!$I24,0)</f>
        <v>0</v>
      </c>
      <c r="AD24">
        <f>IF(AND('3 Sys'!F24&gt;Tmin, NOT('3 Sys'!$I24="")),'3 Sys'!$I24,0)</f>
        <v>0</v>
      </c>
      <c r="AE24">
        <f>IF(AND('3 Sys'!C24&lt;Tmax, NOT('3 Sys'!$H24="")),'3 Sys'!$H24,4)</f>
        <v>2</v>
      </c>
      <c r="AF24">
        <f>IF(AND('3 Sys'!D24&lt;Tmax, NOT('3 Sys'!$H24="")),'3 Sys'!$H24,4)</f>
        <v>2</v>
      </c>
      <c r="AG24">
        <f>IF(AND('3 Sys'!E24&lt;Tmax, NOT('3 Sys'!$H24="")),'3 Sys'!$H24,4)</f>
        <v>2</v>
      </c>
      <c r="AH24">
        <f>IF(AND('3 Sys'!F24&lt;Tmax, NOT('3 Sys'!$H24="")),'3 Sys'!$H24,4)</f>
        <v>2</v>
      </c>
      <c r="AI24"/>
    </row>
    <row r="25" spans="1:35" s="213" customFormat="1" x14ac:dyDescent="0.25">
      <c r="A25" s="164" t="s">
        <v>729</v>
      </c>
      <c r="B25" s="164" t="s">
        <v>7003</v>
      </c>
      <c r="C25" s="136"/>
      <c r="D25" s="136"/>
      <c r="E25" s="136"/>
      <c r="F25" s="136"/>
      <c r="G25" s="133"/>
      <c r="H25" s="133"/>
      <c r="I25" s="133"/>
      <c r="J25" s="133"/>
      <c r="K25" s="225"/>
      <c r="AA25"/>
      <c r="AB25"/>
      <c r="AC25"/>
      <c r="AD25"/>
      <c r="AE25"/>
      <c r="AF25"/>
      <c r="AG25"/>
      <c r="AH25"/>
      <c r="AI25"/>
    </row>
    <row r="26" spans="1:35" s="213" customFormat="1" ht="39.6" x14ac:dyDescent="0.25">
      <c r="A26" s="164" t="s">
        <v>846</v>
      </c>
      <c r="B26" s="164" t="s">
        <v>7233</v>
      </c>
      <c r="C26" s="136">
        <v>0</v>
      </c>
      <c r="D26" s="136"/>
      <c r="E26" s="136"/>
      <c r="F26" s="136"/>
      <c r="G26" s="133">
        <v>4</v>
      </c>
      <c r="H26" s="133"/>
      <c r="I26" s="133"/>
      <c r="J26" s="133" t="s">
        <v>7002</v>
      </c>
      <c r="K26" s="225" t="s">
        <v>7499</v>
      </c>
      <c r="AA26">
        <f>IF(AND('3 Sys'!C26&gt;Tmin, NOT('3 Sys'!$I26="")),'3 Sys'!$I26,0)</f>
        <v>0</v>
      </c>
      <c r="AB26">
        <f>IF(AND('3 Sys'!D26&gt;Tmin, NOT('3 Sys'!$I26="")),'3 Sys'!$I26,0)</f>
        <v>0</v>
      </c>
      <c r="AC26">
        <f>IF(AND('3 Sys'!E26&gt;Tmin, NOT('3 Sys'!$I26="")),'3 Sys'!$I26,0)</f>
        <v>0</v>
      </c>
      <c r="AD26">
        <f>IF(AND('3 Sys'!F26&gt;Tmin, NOT('3 Sys'!$I26="")),'3 Sys'!$I26,0)</f>
        <v>0</v>
      </c>
      <c r="AE26">
        <f>IF(AND('3 Sys'!C26&lt;Tmax, NOT('3 Sys'!$H26="")),'3 Sys'!$H26,4)</f>
        <v>4</v>
      </c>
      <c r="AF26">
        <f>IF(AND('3 Sys'!D26&lt;Tmax, NOT('3 Sys'!$H26="")),'3 Sys'!$H26,4)</f>
        <v>4</v>
      </c>
      <c r="AG26">
        <f>IF(AND('3 Sys'!E26&lt;Tmax, NOT('3 Sys'!$H26="")),'3 Sys'!$H26,4)</f>
        <v>4</v>
      </c>
      <c r="AH26">
        <f>IF(AND('3 Sys'!F26&lt;Tmax, NOT('3 Sys'!$H26="")),'3 Sys'!$H26,4)</f>
        <v>4</v>
      </c>
      <c r="AI26"/>
    </row>
    <row r="27" spans="1:35" s="213" customFormat="1" ht="20.399999999999999" x14ac:dyDescent="0.25">
      <c r="A27" s="164" t="s">
        <v>847</v>
      </c>
      <c r="B27" s="164" t="s">
        <v>7234</v>
      </c>
      <c r="C27" s="136">
        <v>0</v>
      </c>
      <c r="D27" s="136"/>
      <c r="E27" s="136"/>
      <c r="F27" s="136"/>
      <c r="G27" s="133">
        <v>4</v>
      </c>
      <c r="H27" s="133">
        <v>3</v>
      </c>
      <c r="I27" s="133"/>
      <c r="J27" s="133" t="s">
        <v>7002</v>
      </c>
      <c r="K27" s="225" t="s">
        <v>7494</v>
      </c>
      <c r="AA27">
        <f>IF(AND('3 Sys'!C27&gt;Tmin, NOT('3 Sys'!$I27="")),'3 Sys'!$I27,0)</f>
        <v>0</v>
      </c>
      <c r="AB27">
        <f>IF(AND('3 Sys'!D27&gt;Tmin, NOT('3 Sys'!$I27="")),'3 Sys'!$I27,0)</f>
        <v>0</v>
      </c>
      <c r="AC27">
        <f>IF(AND('3 Sys'!E27&gt;Tmin, NOT('3 Sys'!$I27="")),'3 Sys'!$I27,0)</f>
        <v>0</v>
      </c>
      <c r="AD27">
        <f>IF(AND('3 Sys'!F27&gt;Tmin, NOT('3 Sys'!$I27="")),'3 Sys'!$I27,0)</f>
        <v>0</v>
      </c>
      <c r="AE27">
        <f>IF(AND('3 Sys'!C27&lt;Tmax, NOT('3 Sys'!$H27="")),'3 Sys'!$H27,4)</f>
        <v>3</v>
      </c>
      <c r="AF27">
        <f>IF(AND('3 Sys'!D27&lt;Tmax, NOT('3 Sys'!$H27="")),'3 Sys'!$H27,4)</f>
        <v>3</v>
      </c>
      <c r="AG27">
        <f>IF(AND('3 Sys'!E27&lt;Tmax, NOT('3 Sys'!$H27="")),'3 Sys'!$H27,4)</f>
        <v>3</v>
      </c>
      <c r="AH27">
        <f>IF(AND('3 Sys'!F27&lt;Tmax, NOT('3 Sys'!$H27="")),'3 Sys'!$H27,4)</f>
        <v>3</v>
      </c>
      <c r="AI27"/>
    </row>
    <row r="28" spans="1:35" s="213" customFormat="1" x14ac:dyDescent="0.25">
      <c r="A28" s="164" t="s">
        <v>628</v>
      </c>
      <c r="B28" s="164" t="s">
        <v>848</v>
      </c>
      <c r="C28" s="136"/>
      <c r="D28" s="136"/>
      <c r="E28" s="136"/>
      <c r="F28" s="136"/>
      <c r="G28" s="133"/>
      <c r="H28" s="133"/>
      <c r="I28" s="133"/>
      <c r="J28" s="133"/>
      <c r="K28" s="225"/>
      <c r="AA28"/>
      <c r="AB28"/>
      <c r="AC28"/>
      <c r="AD28"/>
      <c r="AE28"/>
      <c r="AF28"/>
      <c r="AG28"/>
      <c r="AH28"/>
      <c r="AI28"/>
    </row>
    <row r="29" spans="1:35" s="213" customFormat="1" ht="20.399999999999999" x14ac:dyDescent="0.25">
      <c r="A29" s="164" t="s">
        <v>849</v>
      </c>
      <c r="B29" s="164" t="s">
        <v>850</v>
      </c>
      <c r="C29" s="136"/>
      <c r="D29" s="136"/>
      <c r="E29" s="136"/>
      <c r="F29" s="136"/>
      <c r="G29" s="133">
        <v>1</v>
      </c>
      <c r="H29" s="133">
        <v>2</v>
      </c>
      <c r="I29" s="133"/>
      <c r="J29" s="133"/>
      <c r="K29" s="225"/>
      <c r="AA29">
        <f>IF(AND('3 Sys'!C29&gt;Tmin, NOT('3 Sys'!$I29="")),'3 Sys'!$I29,0)</f>
        <v>0</v>
      </c>
      <c r="AB29">
        <f>IF(AND('3 Sys'!D29&gt;Tmin, NOT('3 Sys'!$I29="")),'3 Sys'!$I29,0)</f>
        <v>0</v>
      </c>
      <c r="AC29">
        <f>IF(AND('3 Sys'!E29&gt;Tmin, NOT('3 Sys'!$I29="")),'3 Sys'!$I29,0)</f>
        <v>0</v>
      </c>
      <c r="AD29">
        <f>IF(AND('3 Sys'!F29&gt;Tmin, NOT('3 Sys'!$I29="")),'3 Sys'!$I29,0)</f>
        <v>0</v>
      </c>
      <c r="AE29">
        <f>IF(AND('3 Sys'!C29&lt;Tmax, NOT('3 Sys'!$H29="")),'3 Sys'!$H29,4)</f>
        <v>2</v>
      </c>
      <c r="AF29">
        <f>IF(AND('3 Sys'!D29&lt;Tmax, NOT('3 Sys'!$H29="")),'3 Sys'!$H29,4)</f>
        <v>2</v>
      </c>
      <c r="AG29">
        <f>IF(AND('3 Sys'!E29&lt;Tmax, NOT('3 Sys'!$H29="")),'3 Sys'!$H29,4)</f>
        <v>2</v>
      </c>
      <c r="AH29">
        <f>IF(AND('3 Sys'!F29&lt;Tmax, NOT('3 Sys'!$H29="")),'3 Sys'!$H29,4)</f>
        <v>2</v>
      </c>
      <c r="AI29"/>
    </row>
    <row r="30" spans="1:35" s="213" customFormat="1" ht="20.399999999999999" x14ac:dyDescent="0.25">
      <c r="A30" s="164" t="s">
        <v>851</v>
      </c>
      <c r="B30" s="164" t="s">
        <v>852</v>
      </c>
      <c r="C30" s="136"/>
      <c r="D30" s="136"/>
      <c r="E30" s="136"/>
      <c r="F30" s="136"/>
      <c r="G30" s="133">
        <v>4</v>
      </c>
      <c r="H30" s="133"/>
      <c r="I30" s="133"/>
      <c r="J30" s="133"/>
      <c r="K30" s="225"/>
      <c r="AA30">
        <f>IF(AND('3 Sys'!C30&gt;Tmin, NOT('3 Sys'!$I30="")),'3 Sys'!$I30,0)</f>
        <v>0</v>
      </c>
      <c r="AB30">
        <f>IF(AND('3 Sys'!D30&gt;Tmin, NOT('3 Sys'!$I30="")),'3 Sys'!$I30,0)</f>
        <v>0</v>
      </c>
      <c r="AC30">
        <f>IF(AND('3 Sys'!E30&gt;Tmin, NOT('3 Sys'!$I30="")),'3 Sys'!$I30,0)</f>
        <v>0</v>
      </c>
      <c r="AD30">
        <f>IF(AND('3 Sys'!F30&gt;Tmin, NOT('3 Sys'!$I30="")),'3 Sys'!$I30,0)</f>
        <v>0</v>
      </c>
      <c r="AE30">
        <f>IF(AND('3 Sys'!C30&lt;Tmax, NOT('3 Sys'!$H30="")),'3 Sys'!$H30,4)</f>
        <v>4</v>
      </c>
      <c r="AF30">
        <f>IF(AND('3 Sys'!D30&lt;Tmax, NOT('3 Sys'!$H30="")),'3 Sys'!$H30,4)</f>
        <v>4</v>
      </c>
      <c r="AG30">
        <f>IF(AND('3 Sys'!E30&lt;Tmax, NOT('3 Sys'!$H30="")),'3 Sys'!$H30,4)</f>
        <v>4</v>
      </c>
      <c r="AH30">
        <f>IF(AND('3 Sys'!F30&lt;Tmax, NOT('3 Sys'!$H30="")),'3 Sys'!$H30,4)</f>
        <v>4</v>
      </c>
      <c r="AI30"/>
    </row>
    <row r="31" spans="1:35" s="213" customFormat="1" ht="20.399999999999999" x14ac:dyDescent="0.25">
      <c r="A31" s="164" t="s">
        <v>853</v>
      </c>
      <c r="B31" s="164" t="s">
        <v>2305</v>
      </c>
      <c r="C31" s="136"/>
      <c r="D31" s="136"/>
      <c r="E31" s="136"/>
      <c r="F31" s="136"/>
      <c r="G31" s="133">
        <v>4</v>
      </c>
      <c r="H31" s="133"/>
      <c r="I31" s="133"/>
      <c r="J31" s="133"/>
      <c r="K31" s="225"/>
      <c r="AA31">
        <f>IF(AND('3 Sys'!C31&gt;Tmin, NOT('3 Sys'!$I31="")),'3 Sys'!$I31,0)</f>
        <v>0</v>
      </c>
      <c r="AB31">
        <f>IF(AND('3 Sys'!D31&gt;Tmin, NOT('3 Sys'!$I31="")),'3 Sys'!$I31,0)</f>
        <v>0</v>
      </c>
      <c r="AC31">
        <f>IF(AND('3 Sys'!E31&gt;Tmin, NOT('3 Sys'!$I31="")),'3 Sys'!$I31,0)</f>
        <v>0</v>
      </c>
      <c r="AD31">
        <f>IF(AND('3 Sys'!F31&gt;Tmin, NOT('3 Sys'!$I31="")),'3 Sys'!$I31,0)</f>
        <v>0</v>
      </c>
      <c r="AE31">
        <f>IF(AND('3 Sys'!C31&lt;Tmax, NOT('3 Sys'!$H31="")),'3 Sys'!$H31,4)</f>
        <v>4</v>
      </c>
      <c r="AF31">
        <f>IF(AND('3 Sys'!D31&lt;Tmax, NOT('3 Sys'!$H31="")),'3 Sys'!$H31,4)</f>
        <v>4</v>
      </c>
      <c r="AG31">
        <f>IF(AND('3 Sys'!E31&lt;Tmax, NOT('3 Sys'!$H31="")),'3 Sys'!$H31,4)</f>
        <v>4</v>
      </c>
      <c r="AH31">
        <f>IF(AND('3 Sys'!F31&lt;Tmax, NOT('3 Sys'!$H31="")),'3 Sys'!$H31,4)</f>
        <v>4</v>
      </c>
      <c r="AI31"/>
    </row>
    <row r="32" spans="1:35" s="213" customFormat="1" x14ac:dyDescent="0.25">
      <c r="A32" s="164" t="s">
        <v>854</v>
      </c>
      <c r="B32" s="164" t="s">
        <v>855</v>
      </c>
      <c r="C32" s="136"/>
      <c r="D32" s="136"/>
      <c r="E32" s="136"/>
      <c r="F32" s="136"/>
      <c r="G32" s="133">
        <v>4</v>
      </c>
      <c r="H32" s="133"/>
      <c r="I32" s="133"/>
      <c r="J32" s="133"/>
      <c r="K32" s="225"/>
      <c r="AA32">
        <f>IF(AND('3 Sys'!C32&gt;Tmin, NOT('3 Sys'!$I32="")),'3 Sys'!$I32,0)</f>
        <v>0</v>
      </c>
      <c r="AB32">
        <f>IF(AND('3 Sys'!D32&gt;Tmin, NOT('3 Sys'!$I32="")),'3 Sys'!$I32,0)</f>
        <v>0</v>
      </c>
      <c r="AC32">
        <f>IF(AND('3 Sys'!E32&gt;Tmin, NOT('3 Sys'!$I32="")),'3 Sys'!$I32,0)</f>
        <v>0</v>
      </c>
      <c r="AD32">
        <f>IF(AND('3 Sys'!F32&gt;Tmin, NOT('3 Sys'!$I32="")),'3 Sys'!$I32,0)</f>
        <v>0</v>
      </c>
      <c r="AE32">
        <f>IF(AND('3 Sys'!C32&lt;Tmax, NOT('3 Sys'!$H32="")),'3 Sys'!$H32,4)</f>
        <v>4</v>
      </c>
      <c r="AF32">
        <f>IF(AND('3 Sys'!D32&lt;Tmax, NOT('3 Sys'!$H32="")),'3 Sys'!$H32,4)</f>
        <v>4</v>
      </c>
      <c r="AG32">
        <f>IF(AND('3 Sys'!E32&lt;Tmax, NOT('3 Sys'!$H32="")),'3 Sys'!$H32,4)</f>
        <v>4</v>
      </c>
      <c r="AH32">
        <f>IF(AND('3 Sys'!F32&lt;Tmax, NOT('3 Sys'!$H32="")),'3 Sys'!$H32,4)</f>
        <v>4</v>
      </c>
      <c r="AI32"/>
    </row>
    <row r="33" spans="1:35" s="213" customFormat="1" ht="20.399999999999999" x14ac:dyDescent="0.25">
      <c r="A33" s="164" t="s">
        <v>856</v>
      </c>
      <c r="B33" s="164" t="s">
        <v>604</v>
      </c>
      <c r="C33" s="136"/>
      <c r="D33" s="136"/>
      <c r="E33" s="136"/>
      <c r="F33" s="136"/>
      <c r="G33" s="133">
        <v>4</v>
      </c>
      <c r="H33" s="133">
        <v>2</v>
      </c>
      <c r="I33" s="133"/>
      <c r="J33" s="133"/>
      <c r="K33" s="225"/>
      <c r="AA33">
        <f>IF(AND('3 Sys'!C33&gt;Tmin, NOT('3 Sys'!$I33="")),'3 Sys'!$I33,0)</f>
        <v>0</v>
      </c>
      <c r="AB33">
        <f>IF(AND('3 Sys'!D33&gt;Tmin, NOT('3 Sys'!$I33="")),'3 Sys'!$I33,0)</f>
        <v>0</v>
      </c>
      <c r="AC33">
        <f>IF(AND('3 Sys'!E33&gt;Tmin, NOT('3 Sys'!$I33="")),'3 Sys'!$I33,0)</f>
        <v>0</v>
      </c>
      <c r="AD33">
        <f>IF(AND('3 Sys'!F33&gt;Tmin, NOT('3 Sys'!$I33="")),'3 Sys'!$I33,0)</f>
        <v>0</v>
      </c>
      <c r="AE33">
        <f>IF(AND('3 Sys'!C33&lt;Tmax, NOT('3 Sys'!$H33="")),'3 Sys'!$H33,4)</f>
        <v>2</v>
      </c>
      <c r="AF33">
        <f>IF(AND('3 Sys'!D33&lt;Tmax, NOT('3 Sys'!$H33="")),'3 Sys'!$H33,4)</f>
        <v>2</v>
      </c>
      <c r="AG33">
        <f>IF(AND('3 Sys'!E33&lt;Tmax, NOT('3 Sys'!$H33="")),'3 Sys'!$H33,4)</f>
        <v>2</v>
      </c>
      <c r="AH33">
        <f>IF(AND('3 Sys'!F33&lt;Tmax, NOT('3 Sys'!$H33="")),'3 Sys'!$H33,4)</f>
        <v>2</v>
      </c>
      <c r="AI33"/>
    </row>
    <row r="34" spans="1:35" s="213" customFormat="1" ht="40.799999999999997" x14ac:dyDescent="0.25">
      <c r="A34" s="164" t="s">
        <v>857</v>
      </c>
      <c r="B34" s="164" t="s">
        <v>151</v>
      </c>
      <c r="C34" s="136"/>
      <c r="D34" s="136"/>
      <c r="E34" s="136"/>
      <c r="F34" s="136"/>
      <c r="G34" s="133">
        <v>4</v>
      </c>
      <c r="H34" s="133">
        <v>2</v>
      </c>
      <c r="I34" s="133"/>
      <c r="J34" s="133"/>
      <c r="K34" s="225"/>
      <c r="AA34">
        <f>IF(AND('3 Sys'!C34&gt;Tmin, NOT('3 Sys'!$I34="")),'3 Sys'!$I34,0)</f>
        <v>0</v>
      </c>
      <c r="AB34">
        <f>IF(AND('3 Sys'!D34&gt;Tmin, NOT('3 Sys'!$I34="")),'3 Sys'!$I34,0)</f>
        <v>0</v>
      </c>
      <c r="AC34">
        <f>IF(AND('3 Sys'!E34&gt;Tmin, NOT('3 Sys'!$I34="")),'3 Sys'!$I34,0)</f>
        <v>0</v>
      </c>
      <c r="AD34">
        <f>IF(AND('3 Sys'!F34&gt;Tmin, NOT('3 Sys'!$I34="")),'3 Sys'!$I34,0)</f>
        <v>0</v>
      </c>
      <c r="AE34">
        <f>IF(AND('3 Sys'!C34&lt;Tmax, NOT('3 Sys'!$H34="")),'3 Sys'!$H34,4)</f>
        <v>2</v>
      </c>
      <c r="AF34">
        <f>IF(AND('3 Sys'!D34&lt;Tmax, NOT('3 Sys'!$H34="")),'3 Sys'!$H34,4)</f>
        <v>2</v>
      </c>
      <c r="AG34">
        <f>IF(AND('3 Sys'!E34&lt;Tmax, NOT('3 Sys'!$H34="")),'3 Sys'!$H34,4)</f>
        <v>2</v>
      </c>
      <c r="AH34">
        <f>IF(AND('3 Sys'!F34&lt;Tmax, NOT('3 Sys'!$H34="")),'3 Sys'!$H34,4)</f>
        <v>2</v>
      </c>
      <c r="AI34"/>
    </row>
    <row r="35" spans="1:35" s="213" customFormat="1" ht="40.799999999999997" x14ac:dyDescent="0.25">
      <c r="A35" s="164" t="s">
        <v>858</v>
      </c>
      <c r="B35" s="164" t="s">
        <v>52</v>
      </c>
      <c r="C35" s="136"/>
      <c r="D35" s="136"/>
      <c r="E35" s="136"/>
      <c r="F35" s="136"/>
      <c r="G35" s="133">
        <v>4</v>
      </c>
      <c r="H35" s="133">
        <v>3</v>
      </c>
      <c r="I35" s="133"/>
      <c r="J35" s="133"/>
      <c r="K35" s="225"/>
      <c r="AA35">
        <f>IF(AND('3 Sys'!C35&gt;Tmin, NOT('3 Sys'!$I35="")),'3 Sys'!$I35,0)</f>
        <v>0</v>
      </c>
      <c r="AB35">
        <f>IF(AND('3 Sys'!D35&gt;Tmin, NOT('3 Sys'!$I35="")),'3 Sys'!$I35,0)</f>
        <v>0</v>
      </c>
      <c r="AC35">
        <f>IF(AND('3 Sys'!E35&gt;Tmin, NOT('3 Sys'!$I35="")),'3 Sys'!$I35,0)</f>
        <v>0</v>
      </c>
      <c r="AD35">
        <f>IF(AND('3 Sys'!F35&gt;Tmin, NOT('3 Sys'!$I35="")),'3 Sys'!$I35,0)</f>
        <v>0</v>
      </c>
      <c r="AE35">
        <f>IF(AND('3 Sys'!C35&lt;Tmax, NOT('3 Sys'!$H35="")),'3 Sys'!$H35,4)</f>
        <v>3</v>
      </c>
      <c r="AF35">
        <f>IF(AND('3 Sys'!D35&lt;Tmax, NOT('3 Sys'!$H35="")),'3 Sys'!$H35,4)</f>
        <v>3</v>
      </c>
      <c r="AG35">
        <f>IF(AND('3 Sys'!E35&lt;Tmax, NOT('3 Sys'!$H35="")),'3 Sys'!$H35,4)</f>
        <v>3</v>
      </c>
      <c r="AH35">
        <f>IF(AND('3 Sys'!F35&lt;Tmax, NOT('3 Sys'!$H35="")),'3 Sys'!$H35,4)</f>
        <v>3</v>
      </c>
      <c r="AI35"/>
    </row>
    <row r="36" spans="1:35" s="213" customFormat="1" ht="51" x14ac:dyDescent="0.25">
      <c r="A36" s="164" t="s">
        <v>859</v>
      </c>
      <c r="B36" s="164" t="s">
        <v>2306</v>
      </c>
      <c r="C36" s="136"/>
      <c r="D36" s="136"/>
      <c r="E36" s="136"/>
      <c r="F36" s="136"/>
      <c r="G36" s="133">
        <v>2</v>
      </c>
      <c r="H36" s="133">
        <v>2</v>
      </c>
      <c r="I36" s="133"/>
      <c r="J36" s="133" t="s">
        <v>7097</v>
      </c>
      <c r="K36" s="225"/>
      <c r="AA36">
        <f>IF(AND('3 Sys'!C36&gt;Tmin, NOT('3 Sys'!$I36="")),'3 Sys'!$I36,0)</f>
        <v>0</v>
      </c>
      <c r="AB36">
        <f>IF(AND('3 Sys'!D36&gt;Tmin, NOT('3 Sys'!$I36="")),'3 Sys'!$I36,0)</f>
        <v>0</v>
      </c>
      <c r="AC36">
        <f>IF(AND('3 Sys'!E36&gt;Tmin, NOT('3 Sys'!$I36="")),'3 Sys'!$I36,0)</f>
        <v>0</v>
      </c>
      <c r="AD36">
        <f>IF(AND('3 Sys'!F36&gt;Tmin, NOT('3 Sys'!$I36="")),'3 Sys'!$I36,0)</f>
        <v>0</v>
      </c>
      <c r="AE36">
        <f>IF(AND('3 Sys'!C36&lt;Tmax, NOT('3 Sys'!$H36="")),'3 Sys'!$H36,4)</f>
        <v>2</v>
      </c>
      <c r="AF36">
        <f>IF(AND('3 Sys'!D36&lt;Tmax, NOT('3 Sys'!$H36="")),'3 Sys'!$H36,4)</f>
        <v>2</v>
      </c>
      <c r="AG36">
        <f>IF(AND('3 Sys'!E36&lt;Tmax, NOT('3 Sys'!$H36="")),'3 Sys'!$H36,4)</f>
        <v>2</v>
      </c>
      <c r="AH36">
        <f>IF(AND('3 Sys'!F36&lt;Tmax, NOT('3 Sys'!$H36="")),'3 Sys'!$H36,4)</f>
        <v>2</v>
      </c>
      <c r="AI36"/>
    </row>
    <row r="37" spans="1:35" s="213" customFormat="1" x14ac:dyDescent="0.25">
      <c r="A37" s="164" t="s">
        <v>860</v>
      </c>
      <c r="B37" s="164" t="s">
        <v>7235</v>
      </c>
      <c r="C37" s="136"/>
      <c r="D37" s="136"/>
      <c r="E37" s="136"/>
      <c r="F37" s="136"/>
      <c r="G37" s="133">
        <v>2</v>
      </c>
      <c r="H37" s="133"/>
      <c r="I37" s="133"/>
      <c r="J37" s="133" t="s">
        <v>7097</v>
      </c>
      <c r="K37" s="225"/>
      <c r="AA37">
        <f>IF(AND('3 Sys'!C37&gt;Tmin, NOT('3 Sys'!$I37="")),'3 Sys'!$I37,0)</f>
        <v>0</v>
      </c>
      <c r="AB37">
        <f>IF(AND('3 Sys'!D37&gt;Tmin, NOT('3 Sys'!$I37="")),'3 Sys'!$I37,0)</f>
        <v>0</v>
      </c>
      <c r="AC37">
        <f>IF(AND('3 Sys'!E37&gt;Tmin, NOT('3 Sys'!$I37="")),'3 Sys'!$I37,0)</f>
        <v>0</v>
      </c>
      <c r="AD37">
        <f>IF(AND('3 Sys'!F37&gt;Tmin, NOT('3 Sys'!$I37="")),'3 Sys'!$I37,0)</f>
        <v>0</v>
      </c>
      <c r="AE37">
        <f>IF(AND('3 Sys'!C37&lt;Tmax, NOT('3 Sys'!$H37="")),'3 Sys'!$H37,4)</f>
        <v>4</v>
      </c>
      <c r="AF37">
        <f>IF(AND('3 Sys'!D37&lt;Tmax, NOT('3 Sys'!$H37="")),'3 Sys'!$H37,4)</f>
        <v>4</v>
      </c>
      <c r="AG37">
        <f>IF(AND('3 Sys'!E37&lt;Tmax, NOT('3 Sys'!$H37="")),'3 Sys'!$H37,4)</f>
        <v>4</v>
      </c>
      <c r="AH37">
        <f>IF(AND('3 Sys'!F37&lt;Tmax, NOT('3 Sys'!$H37="")),'3 Sys'!$H37,4)</f>
        <v>4</v>
      </c>
      <c r="AI37"/>
    </row>
    <row r="38" spans="1:35" s="213" customFormat="1" ht="20.399999999999999" x14ac:dyDescent="0.25">
      <c r="A38" s="164" t="s">
        <v>861</v>
      </c>
      <c r="B38" s="164" t="s">
        <v>7236</v>
      </c>
      <c r="C38" s="136"/>
      <c r="D38" s="136"/>
      <c r="E38" s="136"/>
      <c r="F38" s="136"/>
      <c r="G38" s="133">
        <v>4</v>
      </c>
      <c r="H38" s="133"/>
      <c r="I38" s="133"/>
      <c r="J38" s="133" t="s">
        <v>7097</v>
      </c>
      <c r="K38" s="225"/>
      <c r="AA38">
        <f>IF(AND('3 Sys'!C38&gt;Tmin, NOT('3 Sys'!$I38="")),'3 Sys'!$I38,0)</f>
        <v>0</v>
      </c>
      <c r="AB38">
        <f>IF(AND('3 Sys'!D38&gt;Tmin, NOT('3 Sys'!$I38="")),'3 Sys'!$I38,0)</f>
        <v>0</v>
      </c>
      <c r="AC38">
        <f>IF(AND('3 Sys'!E38&gt;Tmin, NOT('3 Sys'!$I38="")),'3 Sys'!$I38,0)</f>
        <v>0</v>
      </c>
      <c r="AD38">
        <f>IF(AND('3 Sys'!F38&gt;Tmin, NOT('3 Sys'!$I38="")),'3 Sys'!$I38,0)</f>
        <v>0</v>
      </c>
      <c r="AE38">
        <f>IF(AND('3 Sys'!C38&lt;Tmax, NOT('3 Sys'!$H38="")),'3 Sys'!$H38,4)</f>
        <v>4</v>
      </c>
      <c r="AF38">
        <f>IF(AND('3 Sys'!D38&lt;Tmax, NOT('3 Sys'!$H38="")),'3 Sys'!$H38,4)</f>
        <v>4</v>
      </c>
      <c r="AG38">
        <f>IF(AND('3 Sys'!E38&lt;Tmax, NOT('3 Sys'!$H38="")),'3 Sys'!$H38,4)</f>
        <v>4</v>
      </c>
      <c r="AH38">
        <f>IF(AND('3 Sys'!F38&lt;Tmax, NOT('3 Sys'!$H38="")),'3 Sys'!$H38,4)</f>
        <v>4</v>
      </c>
      <c r="AI38"/>
    </row>
    <row r="39" spans="1:35" s="213" customFormat="1" ht="40.799999999999997" x14ac:dyDescent="0.25">
      <c r="A39" s="164" t="s">
        <v>863</v>
      </c>
      <c r="B39" s="164" t="s">
        <v>150</v>
      </c>
      <c r="C39" s="136"/>
      <c r="D39" s="136"/>
      <c r="E39" s="136"/>
      <c r="F39" s="136"/>
      <c r="G39" s="133">
        <v>1</v>
      </c>
      <c r="H39" s="133"/>
      <c r="I39" s="133"/>
      <c r="J39" s="133"/>
      <c r="K39" s="225"/>
      <c r="AA39">
        <f>IF(AND('3 Sys'!C39&gt;Tmin, NOT('3 Sys'!$I39="")),'3 Sys'!$I39,0)</f>
        <v>0</v>
      </c>
      <c r="AB39">
        <f>IF(AND('3 Sys'!D39&gt;Tmin, NOT('3 Sys'!$I39="")),'3 Sys'!$I39,0)</f>
        <v>0</v>
      </c>
      <c r="AC39">
        <f>IF(AND('3 Sys'!E39&gt;Tmin, NOT('3 Sys'!$I39="")),'3 Sys'!$I39,0)</f>
        <v>0</v>
      </c>
      <c r="AD39">
        <f>IF(AND('3 Sys'!F39&gt;Tmin, NOT('3 Sys'!$I39="")),'3 Sys'!$I39,0)</f>
        <v>0</v>
      </c>
      <c r="AE39">
        <f>IF(AND('3 Sys'!C39&lt;Tmax, NOT('3 Sys'!$H39="")),'3 Sys'!$H39,4)</f>
        <v>4</v>
      </c>
      <c r="AF39">
        <f>IF(AND('3 Sys'!D39&lt;Tmax, NOT('3 Sys'!$H39="")),'3 Sys'!$H39,4)</f>
        <v>4</v>
      </c>
      <c r="AG39">
        <f>IF(AND('3 Sys'!E39&lt;Tmax, NOT('3 Sys'!$H39="")),'3 Sys'!$H39,4)</f>
        <v>4</v>
      </c>
      <c r="AH39">
        <f>IF(AND('3 Sys'!F39&lt;Tmax, NOT('3 Sys'!$H39="")),'3 Sys'!$H39,4)</f>
        <v>4</v>
      </c>
      <c r="AI39"/>
    </row>
    <row r="40" spans="1:35" s="213" customFormat="1" ht="30.6" x14ac:dyDescent="0.25">
      <c r="A40" s="164" t="s">
        <v>865</v>
      </c>
      <c r="B40" s="164" t="s">
        <v>862</v>
      </c>
      <c r="C40" s="136"/>
      <c r="D40" s="136"/>
      <c r="E40" s="136"/>
      <c r="F40" s="136"/>
      <c r="G40" s="133">
        <v>4</v>
      </c>
      <c r="H40" s="133">
        <v>2</v>
      </c>
      <c r="I40" s="133"/>
      <c r="J40" s="133"/>
      <c r="K40" s="225"/>
      <c r="AA40">
        <f>IF(AND('3 Sys'!C40&gt;Tmin, NOT('3 Sys'!$I40="")),'3 Sys'!$I40,0)</f>
        <v>0</v>
      </c>
      <c r="AB40">
        <f>IF(AND('3 Sys'!D40&gt;Tmin, NOT('3 Sys'!$I40="")),'3 Sys'!$I40,0)</f>
        <v>0</v>
      </c>
      <c r="AC40">
        <f>IF(AND('3 Sys'!E40&gt;Tmin, NOT('3 Sys'!$I40="")),'3 Sys'!$I40,0)</f>
        <v>0</v>
      </c>
      <c r="AD40">
        <f>IF(AND('3 Sys'!F40&gt;Tmin, NOT('3 Sys'!$I40="")),'3 Sys'!$I40,0)</f>
        <v>0</v>
      </c>
      <c r="AE40">
        <f>IF(AND('3 Sys'!C40&lt;Tmax, NOT('3 Sys'!$H40="")),'3 Sys'!$H40,4)</f>
        <v>2</v>
      </c>
      <c r="AF40">
        <f>IF(AND('3 Sys'!D40&lt;Tmax, NOT('3 Sys'!$H40="")),'3 Sys'!$H40,4)</f>
        <v>2</v>
      </c>
      <c r="AG40">
        <f>IF(AND('3 Sys'!E40&lt;Tmax, NOT('3 Sys'!$H40="")),'3 Sys'!$H40,4)</f>
        <v>2</v>
      </c>
      <c r="AH40">
        <f>IF(AND('3 Sys'!F40&lt;Tmax, NOT('3 Sys'!$H40="")),'3 Sys'!$H40,4)</f>
        <v>2</v>
      </c>
      <c r="AI40"/>
    </row>
    <row r="41" spans="1:35" s="213" customFormat="1" ht="30.6" x14ac:dyDescent="0.25">
      <c r="A41" s="164" t="s">
        <v>867</v>
      </c>
      <c r="B41" s="164" t="s">
        <v>864</v>
      </c>
      <c r="C41" s="136"/>
      <c r="D41" s="136"/>
      <c r="E41" s="136"/>
      <c r="F41" s="136"/>
      <c r="G41" s="133">
        <v>2</v>
      </c>
      <c r="H41" s="133">
        <v>1</v>
      </c>
      <c r="I41" s="133"/>
      <c r="J41" s="133"/>
      <c r="K41" s="225"/>
      <c r="AA41">
        <f>IF(AND('3 Sys'!C41&gt;Tmin, NOT('3 Sys'!$I41="")),'3 Sys'!$I41,0)</f>
        <v>0</v>
      </c>
      <c r="AB41">
        <f>IF(AND('3 Sys'!D41&gt;Tmin, NOT('3 Sys'!$I41="")),'3 Sys'!$I41,0)</f>
        <v>0</v>
      </c>
      <c r="AC41">
        <f>IF(AND('3 Sys'!E41&gt;Tmin, NOT('3 Sys'!$I41="")),'3 Sys'!$I41,0)</f>
        <v>0</v>
      </c>
      <c r="AD41">
        <f>IF(AND('3 Sys'!F41&gt;Tmin, NOT('3 Sys'!$I41="")),'3 Sys'!$I41,0)</f>
        <v>0</v>
      </c>
      <c r="AE41">
        <f>IF(AND('3 Sys'!C41&lt;Tmax, NOT('3 Sys'!$H41="")),'3 Sys'!$H41,4)</f>
        <v>1</v>
      </c>
      <c r="AF41">
        <f>IF(AND('3 Sys'!D41&lt;Tmax, NOT('3 Sys'!$H41="")),'3 Sys'!$H41,4)</f>
        <v>1</v>
      </c>
      <c r="AG41">
        <f>IF(AND('3 Sys'!E41&lt;Tmax, NOT('3 Sys'!$H41="")),'3 Sys'!$H41,4)</f>
        <v>1</v>
      </c>
      <c r="AH41">
        <f>IF(AND('3 Sys'!F41&lt;Tmax, NOT('3 Sys'!$H41="")),'3 Sys'!$H41,4)</f>
        <v>1</v>
      </c>
      <c r="AI41"/>
    </row>
    <row r="42" spans="1:35" s="213" customFormat="1" x14ac:dyDescent="0.25">
      <c r="A42" s="164" t="s">
        <v>868</v>
      </c>
      <c r="B42" s="164" t="s">
        <v>866</v>
      </c>
      <c r="C42" s="136"/>
      <c r="D42" s="136"/>
      <c r="E42" s="136"/>
      <c r="F42" s="136"/>
      <c r="G42" s="133"/>
      <c r="H42" s="133"/>
      <c r="I42" s="133"/>
      <c r="J42" s="133"/>
      <c r="K42" s="225"/>
      <c r="AA42">
        <f>IF(AND('3 Sys'!C42&gt;Tmin, NOT('3 Sys'!$I42="")),'3 Sys'!$I42,0)</f>
        <v>0</v>
      </c>
      <c r="AB42">
        <f>IF(AND('3 Sys'!D42&gt;Tmin, NOT('3 Sys'!$I42="")),'3 Sys'!$I42,0)</f>
        <v>0</v>
      </c>
      <c r="AC42">
        <f>IF(AND('3 Sys'!E42&gt;Tmin, NOT('3 Sys'!$I42="")),'3 Sys'!$I42,0)</f>
        <v>0</v>
      </c>
      <c r="AD42">
        <f>IF(AND('3 Sys'!F42&gt;Tmin, NOT('3 Sys'!$I42="")),'3 Sys'!$I42,0)</f>
        <v>0</v>
      </c>
      <c r="AE42">
        <f>IF(AND('3 Sys'!C42&lt;Tmax, NOT('3 Sys'!$H42="")),'3 Sys'!$H42,4)</f>
        <v>4</v>
      </c>
      <c r="AF42">
        <f>IF(AND('3 Sys'!D42&lt;Tmax, NOT('3 Sys'!$H42="")),'3 Sys'!$H42,4)</f>
        <v>4</v>
      </c>
      <c r="AG42">
        <f>IF(AND('3 Sys'!E42&lt;Tmax, NOT('3 Sys'!$H42="")),'3 Sys'!$H42,4)</f>
        <v>4</v>
      </c>
      <c r="AH42">
        <f>IF(AND('3 Sys'!F42&lt;Tmax, NOT('3 Sys'!$H42="")),'3 Sys'!$H42,4)</f>
        <v>4</v>
      </c>
      <c r="AI42"/>
    </row>
    <row r="43" spans="1:35" s="213" customFormat="1" ht="20.399999999999999" x14ac:dyDescent="0.25">
      <c r="A43" s="164" t="s">
        <v>869</v>
      </c>
      <c r="B43" s="164" t="s">
        <v>23</v>
      </c>
      <c r="C43" s="136"/>
      <c r="D43" s="136"/>
      <c r="E43" s="136"/>
      <c r="F43" s="136"/>
      <c r="G43" s="133">
        <v>2</v>
      </c>
      <c r="H43" s="133">
        <v>2</v>
      </c>
      <c r="I43" s="133"/>
      <c r="J43" s="133"/>
      <c r="K43" s="225"/>
      <c r="AA43">
        <f>IF(AND('3 Sys'!C43&gt;Tmin, NOT('3 Sys'!$I43="")),'3 Sys'!$I43,0)</f>
        <v>0</v>
      </c>
      <c r="AB43">
        <f>IF(AND('3 Sys'!D43&gt;Tmin, NOT('3 Sys'!$I43="")),'3 Sys'!$I43,0)</f>
        <v>0</v>
      </c>
      <c r="AC43">
        <f>IF(AND('3 Sys'!E43&gt;Tmin, NOT('3 Sys'!$I43="")),'3 Sys'!$I43,0)</f>
        <v>0</v>
      </c>
      <c r="AD43">
        <f>IF(AND('3 Sys'!F43&gt;Tmin, NOT('3 Sys'!$I43="")),'3 Sys'!$I43,0)</f>
        <v>0</v>
      </c>
      <c r="AE43">
        <f>IF(AND('3 Sys'!C43&lt;Tmax, NOT('3 Sys'!$H43="")),'3 Sys'!$H43,4)</f>
        <v>2</v>
      </c>
      <c r="AF43">
        <f>IF(AND('3 Sys'!D43&lt;Tmax, NOT('3 Sys'!$H43="")),'3 Sys'!$H43,4)</f>
        <v>2</v>
      </c>
      <c r="AG43">
        <f>IF(AND('3 Sys'!E43&lt;Tmax, NOT('3 Sys'!$H43="")),'3 Sys'!$H43,4)</f>
        <v>2</v>
      </c>
      <c r="AH43">
        <f>IF(AND('3 Sys'!F43&lt;Tmax, NOT('3 Sys'!$H43="")),'3 Sys'!$H43,4)</f>
        <v>2</v>
      </c>
      <c r="AI43"/>
    </row>
    <row r="44" spans="1:35" s="213" customFormat="1" ht="20.399999999999999" x14ac:dyDescent="0.25">
      <c r="A44" s="164" t="s">
        <v>870</v>
      </c>
      <c r="B44" s="164" t="s">
        <v>544</v>
      </c>
      <c r="C44" s="136"/>
      <c r="D44" s="136"/>
      <c r="E44" s="136"/>
      <c r="F44" s="136"/>
      <c r="G44" s="133">
        <v>2</v>
      </c>
      <c r="H44" s="133">
        <v>2</v>
      </c>
      <c r="I44" s="133"/>
      <c r="J44" s="133"/>
      <c r="K44" s="225"/>
      <c r="AA44">
        <f>IF(AND('3 Sys'!C44&gt;Tmin, NOT('3 Sys'!$I44="")),'3 Sys'!$I44,0)</f>
        <v>0</v>
      </c>
      <c r="AB44">
        <f>IF(AND('3 Sys'!D44&gt;Tmin, NOT('3 Sys'!$I44="")),'3 Sys'!$I44,0)</f>
        <v>0</v>
      </c>
      <c r="AC44">
        <f>IF(AND('3 Sys'!E44&gt;Tmin, NOT('3 Sys'!$I44="")),'3 Sys'!$I44,0)</f>
        <v>0</v>
      </c>
      <c r="AD44">
        <f>IF(AND('3 Sys'!F44&gt;Tmin, NOT('3 Sys'!$I44="")),'3 Sys'!$I44,0)</f>
        <v>0</v>
      </c>
      <c r="AE44">
        <f>IF(AND('3 Sys'!C44&lt;Tmax, NOT('3 Sys'!$H44="")),'3 Sys'!$H44,4)</f>
        <v>2</v>
      </c>
      <c r="AF44">
        <f>IF(AND('3 Sys'!D44&lt;Tmax, NOT('3 Sys'!$H44="")),'3 Sys'!$H44,4)</f>
        <v>2</v>
      </c>
      <c r="AG44">
        <f>IF(AND('3 Sys'!E44&lt;Tmax, NOT('3 Sys'!$H44="")),'3 Sys'!$H44,4)</f>
        <v>2</v>
      </c>
      <c r="AH44">
        <f>IF(AND('3 Sys'!F44&lt;Tmax, NOT('3 Sys'!$H44="")),'3 Sys'!$H44,4)</f>
        <v>2</v>
      </c>
      <c r="AI44"/>
    </row>
    <row r="45" spans="1:35" s="213" customFormat="1" ht="84" customHeight="1" x14ac:dyDescent="0.25">
      <c r="A45" s="164" t="s">
        <v>871</v>
      </c>
      <c r="B45" s="164" t="s">
        <v>148</v>
      </c>
      <c r="C45" s="136"/>
      <c r="D45" s="136"/>
      <c r="E45" s="136"/>
      <c r="F45" s="136"/>
      <c r="G45" s="133">
        <v>4</v>
      </c>
      <c r="H45" s="133">
        <v>2</v>
      </c>
      <c r="I45" s="133"/>
      <c r="J45" s="133"/>
      <c r="K45" s="225"/>
      <c r="AA45">
        <f>IF(AND('3 Sys'!C45&gt;Tmin, NOT('3 Sys'!$I45="")),'3 Sys'!$I45,0)</f>
        <v>0</v>
      </c>
      <c r="AB45">
        <f>IF(AND('3 Sys'!D45&gt;Tmin, NOT('3 Sys'!$I45="")),'3 Sys'!$I45,0)</f>
        <v>0</v>
      </c>
      <c r="AC45">
        <f>IF(AND('3 Sys'!E45&gt;Tmin, NOT('3 Sys'!$I45="")),'3 Sys'!$I45,0)</f>
        <v>0</v>
      </c>
      <c r="AD45">
        <f>IF(AND('3 Sys'!F45&gt;Tmin, NOT('3 Sys'!$I45="")),'3 Sys'!$I45,0)</f>
        <v>0</v>
      </c>
      <c r="AE45">
        <f>IF(AND('3 Sys'!C45&lt;Tmax, NOT('3 Sys'!$H45="")),'3 Sys'!$H45,4)</f>
        <v>2</v>
      </c>
      <c r="AF45">
        <f>IF(AND('3 Sys'!D45&lt;Tmax, NOT('3 Sys'!$H45="")),'3 Sys'!$H45,4)</f>
        <v>2</v>
      </c>
      <c r="AG45">
        <f>IF(AND('3 Sys'!E45&lt;Tmax, NOT('3 Sys'!$H45="")),'3 Sys'!$H45,4)</f>
        <v>2</v>
      </c>
      <c r="AH45">
        <f>IF(AND('3 Sys'!F45&lt;Tmax, NOT('3 Sys'!$H45="")),'3 Sys'!$H45,4)</f>
        <v>2</v>
      </c>
      <c r="AI45"/>
    </row>
    <row r="46" spans="1:35" s="213" customFormat="1" ht="40.799999999999997" x14ac:dyDescent="0.25">
      <c r="A46" s="164" t="s">
        <v>872</v>
      </c>
      <c r="B46" s="164" t="s">
        <v>149</v>
      </c>
      <c r="C46" s="136"/>
      <c r="D46" s="136"/>
      <c r="E46" s="136"/>
      <c r="F46" s="136"/>
      <c r="G46" s="133">
        <v>4</v>
      </c>
      <c r="H46" s="133">
        <v>2</v>
      </c>
      <c r="I46" s="133"/>
      <c r="J46" s="133"/>
      <c r="K46" s="225"/>
      <c r="AA46">
        <f>IF(AND('3 Sys'!C46&gt;Tmin, NOT('3 Sys'!$I46="")),'3 Sys'!$I46,0)</f>
        <v>0</v>
      </c>
      <c r="AB46">
        <f>IF(AND('3 Sys'!D46&gt;Tmin, NOT('3 Sys'!$I46="")),'3 Sys'!$I46,0)</f>
        <v>0</v>
      </c>
      <c r="AC46">
        <f>IF(AND('3 Sys'!E46&gt;Tmin, NOT('3 Sys'!$I46="")),'3 Sys'!$I46,0)</f>
        <v>0</v>
      </c>
      <c r="AD46">
        <f>IF(AND('3 Sys'!F46&gt;Tmin, NOT('3 Sys'!$I46="")),'3 Sys'!$I46,0)</f>
        <v>0</v>
      </c>
      <c r="AE46">
        <f>IF(AND('3 Sys'!C46&lt;Tmax, NOT('3 Sys'!$H46="")),'3 Sys'!$H46,4)</f>
        <v>2</v>
      </c>
      <c r="AF46">
        <f>IF(AND('3 Sys'!D46&lt;Tmax, NOT('3 Sys'!$H46="")),'3 Sys'!$H46,4)</f>
        <v>2</v>
      </c>
      <c r="AG46">
        <f>IF(AND('3 Sys'!E46&lt;Tmax, NOT('3 Sys'!$H46="")),'3 Sys'!$H46,4)</f>
        <v>2</v>
      </c>
      <c r="AH46">
        <f>IF(AND('3 Sys'!F46&lt;Tmax, NOT('3 Sys'!$H46="")),'3 Sys'!$H46,4)</f>
        <v>2</v>
      </c>
      <c r="AI46"/>
    </row>
    <row r="47" spans="1:35" s="213" customFormat="1" ht="71.400000000000006" x14ac:dyDescent="0.25">
      <c r="A47" s="164" t="s">
        <v>873</v>
      </c>
      <c r="B47" s="164" t="s">
        <v>21</v>
      </c>
      <c r="C47" s="136"/>
      <c r="D47" s="136"/>
      <c r="E47" s="136"/>
      <c r="F47" s="136"/>
      <c r="G47" s="133">
        <v>2</v>
      </c>
      <c r="H47" s="133">
        <v>2</v>
      </c>
      <c r="I47" s="133">
        <v>3</v>
      </c>
      <c r="J47" s="133"/>
      <c r="K47" s="225"/>
      <c r="AA47">
        <f>IF(AND('3 Sys'!C47&gt;Tmin, NOT('3 Sys'!$I47="")),'3 Sys'!$I47,0)</f>
        <v>0</v>
      </c>
      <c r="AB47">
        <f>IF(AND('3 Sys'!D47&gt;Tmin, NOT('3 Sys'!$I47="")),'3 Sys'!$I47,0)</f>
        <v>0</v>
      </c>
      <c r="AC47">
        <f>IF(AND('3 Sys'!E47&gt;Tmin, NOT('3 Sys'!$I47="")),'3 Sys'!$I47,0)</f>
        <v>0</v>
      </c>
      <c r="AD47">
        <f>IF(AND('3 Sys'!F47&gt;Tmin, NOT('3 Sys'!$I47="")),'3 Sys'!$I47,0)</f>
        <v>0</v>
      </c>
      <c r="AE47">
        <f>IF(AND('3 Sys'!C47&lt;Tmax, NOT('3 Sys'!$H47="")),'3 Sys'!$H47,4)</f>
        <v>2</v>
      </c>
      <c r="AF47">
        <f>IF(AND('3 Sys'!D47&lt;Tmax, NOT('3 Sys'!$H47="")),'3 Sys'!$H47,4)</f>
        <v>2</v>
      </c>
      <c r="AG47">
        <f>IF(AND('3 Sys'!E47&lt;Tmax, NOT('3 Sys'!$H47="")),'3 Sys'!$H47,4)</f>
        <v>2</v>
      </c>
      <c r="AH47">
        <f>IF(AND('3 Sys'!F47&lt;Tmax, NOT('3 Sys'!$H47="")),'3 Sys'!$H47,4)</f>
        <v>2</v>
      </c>
      <c r="AI47"/>
    </row>
    <row r="48" spans="1:35" s="213" customFormat="1" ht="51" x14ac:dyDescent="0.25">
      <c r="A48" s="164" t="s">
        <v>874</v>
      </c>
      <c r="B48" s="164" t="s">
        <v>22</v>
      </c>
      <c r="C48" s="136"/>
      <c r="D48" s="136"/>
      <c r="E48" s="136"/>
      <c r="F48" s="136"/>
      <c r="G48" s="133">
        <v>2</v>
      </c>
      <c r="H48" s="133">
        <v>2</v>
      </c>
      <c r="I48" s="133">
        <v>3</v>
      </c>
      <c r="J48" s="133"/>
      <c r="K48" s="225"/>
      <c r="AA48">
        <f>IF(AND('3 Sys'!C48&gt;Tmin, NOT('3 Sys'!$I48="")),'3 Sys'!$I48,0)</f>
        <v>0</v>
      </c>
      <c r="AB48">
        <f>IF(AND('3 Sys'!D48&gt;Tmin, NOT('3 Sys'!$I48="")),'3 Sys'!$I48,0)</f>
        <v>0</v>
      </c>
      <c r="AC48">
        <f>IF(AND('3 Sys'!E48&gt;Tmin, NOT('3 Sys'!$I48="")),'3 Sys'!$I48,0)</f>
        <v>0</v>
      </c>
      <c r="AD48">
        <f>IF(AND('3 Sys'!F48&gt;Tmin, NOT('3 Sys'!$I48="")),'3 Sys'!$I48,0)</f>
        <v>0</v>
      </c>
      <c r="AE48">
        <f>IF(AND('3 Sys'!C48&lt;Tmax, NOT('3 Sys'!$H48="")),'3 Sys'!$H48,4)</f>
        <v>2</v>
      </c>
      <c r="AF48">
        <f>IF(AND('3 Sys'!D48&lt;Tmax, NOT('3 Sys'!$H48="")),'3 Sys'!$H48,4)</f>
        <v>2</v>
      </c>
      <c r="AG48">
        <f>IF(AND('3 Sys'!E48&lt;Tmax, NOT('3 Sys'!$H48="")),'3 Sys'!$H48,4)</f>
        <v>2</v>
      </c>
      <c r="AH48">
        <f>IF(AND('3 Sys'!F48&lt;Tmax, NOT('3 Sys'!$H48="")),'3 Sys'!$H48,4)</f>
        <v>2</v>
      </c>
      <c r="AI48"/>
    </row>
    <row r="49" spans="1:35" s="213" customFormat="1" ht="51" x14ac:dyDescent="0.25">
      <c r="A49" s="164" t="s">
        <v>875</v>
      </c>
      <c r="B49" s="164" t="s">
        <v>306</v>
      </c>
      <c r="C49" s="136"/>
      <c r="D49" s="136"/>
      <c r="E49" s="136"/>
      <c r="F49" s="136"/>
      <c r="G49" s="133">
        <v>4</v>
      </c>
      <c r="H49" s="133">
        <v>2</v>
      </c>
      <c r="I49" s="133"/>
      <c r="J49" s="133"/>
      <c r="K49" s="225"/>
      <c r="AA49">
        <f>IF(AND('3 Sys'!C49&gt;Tmin, NOT('3 Sys'!$I49="")),'3 Sys'!$I49,0)</f>
        <v>0</v>
      </c>
      <c r="AB49">
        <f>IF(AND('3 Sys'!D49&gt;Tmin, NOT('3 Sys'!$I49="")),'3 Sys'!$I49,0)</f>
        <v>0</v>
      </c>
      <c r="AC49">
        <f>IF(AND('3 Sys'!E49&gt;Tmin, NOT('3 Sys'!$I49="")),'3 Sys'!$I49,0)</f>
        <v>0</v>
      </c>
      <c r="AD49">
        <f>IF(AND('3 Sys'!F49&gt;Tmin, NOT('3 Sys'!$I49="")),'3 Sys'!$I49,0)</f>
        <v>0</v>
      </c>
      <c r="AE49">
        <f>IF(AND('3 Sys'!C49&lt;Tmax, NOT('3 Sys'!$H49="")),'3 Sys'!$H49,4)</f>
        <v>2</v>
      </c>
      <c r="AF49">
        <f>IF(AND('3 Sys'!D49&lt;Tmax, NOT('3 Sys'!$H49="")),'3 Sys'!$H49,4)</f>
        <v>2</v>
      </c>
      <c r="AG49">
        <f>IF(AND('3 Sys'!E49&lt;Tmax, NOT('3 Sys'!$H49="")),'3 Sys'!$H49,4)</f>
        <v>2</v>
      </c>
      <c r="AH49">
        <f>IF(AND('3 Sys'!F49&lt;Tmax, NOT('3 Sys'!$H49="")),'3 Sys'!$H49,4)</f>
        <v>2</v>
      </c>
      <c r="AI49"/>
    </row>
    <row r="50" spans="1:35" s="213" customFormat="1" ht="40.799999999999997" x14ac:dyDescent="0.25">
      <c r="A50" s="164" t="s">
        <v>876</v>
      </c>
      <c r="B50" s="164" t="s">
        <v>144</v>
      </c>
      <c r="C50" s="136"/>
      <c r="D50" s="136"/>
      <c r="E50" s="136"/>
      <c r="F50" s="136"/>
      <c r="G50" s="133">
        <v>4</v>
      </c>
      <c r="H50" s="133">
        <v>3</v>
      </c>
      <c r="I50" s="133"/>
      <c r="J50" s="133"/>
      <c r="K50" s="225"/>
      <c r="AA50">
        <f>IF(AND('3 Sys'!C50&gt;Tmin, NOT('3 Sys'!$I50="")),'3 Sys'!$I50,0)</f>
        <v>0</v>
      </c>
      <c r="AB50">
        <f>IF(AND('3 Sys'!D50&gt;Tmin, NOT('3 Sys'!$I50="")),'3 Sys'!$I50,0)</f>
        <v>0</v>
      </c>
      <c r="AC50">
        <f>IF(AND('3 Sys'!E50&gt;Tmin, NOT('3 Sys'!$I50="")),'3 Sys'!$I50,0)</f>
        <v>0</v>
      </c>
      <c r="AD50">
        <f>IF(AND('3 Sys'!F50&gt;Tmin, NOT('3 Sys'!$I50="")),'3 Sys'!$I50,0)</f>
        <v>0</v>
      </c>
      <c r="AE50">
        <f>IF(AND('3 Sys'!C50&lt;Tmax, NOT('3 Sys'!$H50="")),'3 Sys'!$H50,4)</f>
        <v>3</v>
      </c>
      <c r="AF50">
        <f>IF(AND('3 Sys'!D50&lt;Tmax, NOT('3 Sys'!$H50="")),'3 Sys'!$H50,4)</f>
        <v>3</v>
      </c>
      <c r="AG50">
        <f>IF(AND('3 Sys'!E50&lt;Tmax, NOT('3 Sys'!$H50="")),'3 Sys'!$H50,4)</f>
        <v>3</v>
      </c>
      <c r="AH50">
        <f>IF(AND('3 Sys'!F50&lt;Tmax, NOT('3 Sys'!$H50="")),'3 Sys'!$H50,4)</f>
        <v>3</v>
      </c>
      <c r="AI50"/>
    </row>
    <row r="51" spans="1:35" s="213" customFormat="1" x14ac:dyDescent="0.25">
      <c r="A51" s="164" t="s">
        <v>877</v>
      </c>
      <c r="B51" s="164" t="s">
        <v>562</v>
      </c>
      <c r="C51" s="136"/>
      <c r="D51" s="136"/>
      <c r="E51" s="136"/>
      <c r="F51" s="136"/>
      <c r="G51" s="133">
        <v>4</v>
      </c>
      <c r="H51" s="133"/>
      <c r="I51" s="133"/>
      <c r="J51" s="133"/>
      <c r="K51" s="225"/>
      <c r="AA51">
        <f>IF(AND('3 Sys'!C51&gt;Tmin, NOT('3 Sys'!$I51="")),'3 Sys'!$I51,0)</f>
        <v>0</v>
      </c>
      <c r="AB51">
        <f>IF(AND('3 Sys'!D51&gt;Tmin, NOT('3 Sys'!$I51="")),'3 Sys'!$I51,0)</f>
        <v>0</v>
      </c>
      <c r="AC51">
        <f>IF(AND('3 Sys'!E51&gt;Tmin, NOT('3 Sys'!$I51="")),'3 Sys'!$I51,0)</f>
        <v>0</v>
      </c>
      <c r="AD51">
        <f>IF(AND('3 Sys'!F51&gt;Tmin, NOT('3 Sys'!$I51="")),'3 Sys'!$I51,0)</f>
        <v>0</v>
      </c>
      <c r="AE51">
        <f>IF(AND('3 Sys'!C51&lt;Tmax, NOT('3 Sys'!$H51="")),'3 Sys'!$H51,4)</f>
        <v>4</v>
      </c>
      <c r="AF51">
        <f>IF(AND('3 Sys'!D51&lt;Tmax, NOT('3 Sys'!$H51="")),'3 Sys'!$H51,4)</f>
        <v>4</v>
      </c>
      <c r="AG51">
        <f>IF(AND('3 Sys'!E51&lt;Tmax, NOT('3 Sys'!$H51="")),'3 Sys'!$H51,4)</f>
        <v>4</v>
      </c>
      <c r="AH51">
        <f>IF(AND('3 Sys'!F51&lt;Tmax, NOT('3 Sys'!$H51="")),'3 Sys'!$H51,4)</f>
        <v>4</v>
      </c>
      <c r="AI51"/>
    </row>
    <row r="52" spans="1:35" s="213" customFormat="1" ht="20.399999999999999" x14ac:dyDescent="0.25">
      <c r="A52" s="164" t="s">
        <v>4454</v>
      </c>
      <c r="B52" s="164" t="s">
        <v>603</v>
      </c>
      <c r="C52" s="136"/>
      <c r="D52" s="136"/>
      <c r="E52" s="136"/>
      <c r="F52" s="136"/>
      <c r="G52" s="133">
        <v>4</v>
      </c>
      <c r="H52" s="133"/>
      <c r="I52" s="133"/>
      <c r="J52" s="133"/>
      <c r="K52" s="225"/>
      <c r="AA52">
        <f>IF(AND('3 Sys'!C52&gt;Tmin, NOT('3 Sys'!$I52="")),'3 Sys'!$I52,0)</f>
        <v>0</v>
      </c>
      <c r="AB52">
        <f>IF(AND('3 Sys'!D52&gt;Tmin, NOT('3 Sys'!$I52="")),'3 Sys'!$I52,0)</f>
        <v>0</v>
      </c>
      <c r="AC52">
        <f>IF(AND('3 Sys'!E52&gt;Tmin, NOT('3 Sys'!$I52="")),'3 Sys'!$I52,0)</f>
        <v>0</v>
      </c>
      <c r="AD52">
        <f>IF(AND('3 Sys'!F52&gt;Tmin, NOT('3 Sys'!$I52="")),'3 Sys'!$I52,0)</f>
        <v>0</v>
      </c>
      <c r="AE52">
        <f>IF(AND('3 Sys'!C52&lt;Tmax, NOT('3 Sys'!$H52="")),'3 Sys'!$H52,4)</f>
        <v>4</v>
      </c>
      <c r="AF52">
        <f>IF(AND('3 Sys'!D52&lt;Tmax, NOT('3 Sys'!$H52="")),'3 Sys'!$H52,4)</f>
        <v>4</v>
      </c>
      <c r="AG52">
        <f>IF(AND('3 Sys'!E52&lt;Tmax, NOT('3 Sys'!$H52="")),'3 Sys'!$H52,4)</f>
        <v>4</v>
      </c>
      <c r="AH52">
        <f>IF(AND('3 Sys'!F52&lt;Tmax, NOT('3 Sys'!$H52="")),'3 Sys'!$H52,4)</f>
        <v>4</v>
      </c>
      <c r="AI52"/>
    </row>
    <row r="53" spans="1:35" s="213" customFormat="1" ht="20.399999999999999" x14ac:dyDescent="0.25">
      <c r="A53" s="164" t="s">
        <v>7237</v>
      </c>
      <c r="B53" s="164" t="s">
        <v>605</v>
      </c>
      <c r="C53" s="136"/>
      <c r="D53" s="136"/>
      <c r="E53" s="136"/>
      <c r="F53" s="136"/>
      <c r="G53" s="133">
        <v>2</v>
      </c>
      <c r="H53" s="133">
        <v>3</v>
      </c>
      <c r="I53" s="133"/>
      <c r="J53" s="133"/>
      <c r="K53" s="225"/>
      <c r="AA53">
        <f>IF(AND('3 Sys'!C53&gt;Tmin, NOT('3 Sys'!$I53="")),'3 Sys'!$I53,0)</f>
        <v>0</v>
      </c>
      <c r="AB53">
        <f>IF(AND('3 Sys'!D53&gt;Tmin, NOT('3 Sys'!$I53="")),'3 Sys'!$I53,0)</f>
        <v>0</v>
      </c>
      <c r="AC53">
        <f>IF(AND('3 Sys'!E53&gt;Tmin, NOT('3 Sys'!$I53="")),'3 Sys'!$I53,0)</f>
        <v>0</v>
      </c>
      <c r="AD53">
        <f>IF(AND('3 Sys'!F53&gt;Tmin, NOT('3 Sys'!$I53="")),'3 Sys'!$I53,0)</f>
        <v>0</v>
      </c>
      <c r="AE53">
        <f>IF(AND('3 Sys'!C53&lt;Tmax, NOT('3 Sys'!$H53="")),'3 Sys'!$H53,4)</f>
        <v>3</v>
      </c>
      <c r="AF53">
        <f>IF(AND('3 Sys'!D53&lt;Tmax, NOT('3 Sys'!$H53="")),'3 Sys'!$H53,4)</f>
        <v>3</v>
      </c>
      <c r="AG53">
        <f>IF(AND('3 Sys'!E53&lt;Tmax, NOT('3 Sys'!$H53="")),'3 Sys'!$H53,4)</f>
        <v>3</v>
      </c>
      <c r="AH53">
        <f>IF(AND('3 Sys'!F53&lt;Tmax, NOT('3 Sys'!$H53="")),'3 Sys'!$H53,4)</f>
        <v>3</v>
      </c>
      <c r="AI53"/>
    </row>
    <row r="54" spans="1:35" s="213" customFormat="1" x14ac:dyDescent="0.25">
      <c r="A54" s="164" t="s">
        <v>7238</v>
      </c>
      <c r="B54" s="164" t="s">
        <v>4455</v>
      </c>
      <c r="C54" s="136"/>
      <c r="D54" s="136"/>
      <c r="E54" s="136"/>
      <c r="F54" s="136"/>
      <c r="G54" s="133">
        <v>2</v>
      </c>
      <c r="H54" s="133">
        <v>3</v>
      </c>
      <c r="I54" s="133"/>
      <c r="J54" s="133"/>
      <c r="K54" s="225"/>
      <c r="AA54">
        <f>IF(AND('3 Sys'!C54&gt;Tmin, NOT('3 Sys'!$I54="")),'3 Sys'!$I54,0)</f>
        <v>0</v>
      </c>
      <c r="AB54">
        <f>IF(AND('3 Sys'!D54&gt;Tmin, NOT('3 Sys'!$I54="")),'3 Sys'!$I54,0)</f>
        <v>0</v>
      </c>
      <c r="AC54">
        <f>IF(AND('3 Sys'!E54&gt;Tmin, NOT('3 Sys'!$I54="")),'3 Sys'!$I54,0)</f>
        <v>0</v>
      </c>
      <c r="AD54">
        <f>IF(AND('3 Sys'!F54&gt;Tmin, NOT('3 Sys'!$I54="")),'3 Sys'!$I54,0)</f>
        <v>0</v>
      </c>
      <c r="AE54">
        <f>IF(AND('3 Sys'!C54&lt;Tmax, NOT('3 Sys'!$H54="")),'3 Sys'!$H54,4)</f>
        <v>3</v>
      </c>
      <c r="AF54">
        <f>IF(AND('3 Sys'!D54&lt;Tmax, NOT('3 Sys'!$H54="")),'3 Sys'!$H54,4)</f>
        <v>3</v>
      </c>
      <c r="AG54">
        <f>IF(AND('3 Sys'!E54&lt;Tmax, NOT('3 Sys'!$H54="")),'3 Sys'!$H54,4)</f>
        <v>3</v>
      </c>
      <c r="AH54">
        <f>IF(AND('3 Sys'!F54&lt;Tmax, NOT('3 Sys'!$H54="")),'3 Sys'!$H54,4)</f>
        <v>3</v>
      </c>
      <c r="AI54"/>
    </row>
    <row r="55" spans="1:35" s="213" customFormat="1" x14ac:dyDescent="0.25">
      <c r="A55" s="164" t="s">
        <v>732</v>
      </c>
      <c r="B55" s="164" t="s">
        <v>878</v>
      </c>
      <c r="C55" s="136"/>
      <c r="D55" s="136"/>
      <c r="E55" s="136"/>
      <c r="F55" s="136"/>
      <c r="G55" s="133"/>
      <c r="H55" s="133"/>
      <c r="I55" s="133"/>
      <c r="J55" s="133"/>
      <c r="K55" s="225"/>
      <c r="AA55"/>
      <c r="AB55"/>
      <c r="AC55"/>
      <c r="AD55"/>
      <c r="AE55"/>
      <c r="AF55"/>
      <c r="AG55"/>
      <c r="AH55"/>
      <c r="AI55"/>
    </row>
    <row r="56" spans="1:35" s="213" customFormat="1" ht="20.399999999999999" x14ac:dyDescent="0.25">
      <c r="A56" s="164" t="s">
        <v>879</v>
      </c>
      <c r="B56" s="164" t="s">
        <v>880</v>
      </c>
      <c r="C56" s="136"/>
      <c r="D56" s="136"/>
      <c r="E56" s="136"/>
      <c r="F56" s="136"/>
      <c r="G56" s="133">
        <v>4</v>
      </c>
      <c r="H56" s="133">
        <v>1</v>
      </c>
      <c r="I56" s="133"/>
      <c r="J56" s="133"/>
      <c r="K56" s="225"/>
      <c r="AA56">
        <f>IF(AND('3 Sys'!C56&gt;Tmin, NOT('3 Sys'!$I56="")),'3 Sys'!$I56,0)</f>
        <v>0</v>
      </c>
      <c r="AB56">
        <f>IF(AND('3 Sys'!D56&gt;Tmin, NOT('3 Sys'!$I56="")),'3 Sys'!$I56,0)</f>
        <v>0</v>
      </c>
      <c r="AC56">
        <f>IF(AND('3 Sys'!E56&gt;Tmin, NOT('3 Sys'!$I56="")),'3 Sys'!$I56,0)</f>
        <v>0</v>
      </c>
      <c r="AD56">
        <f>IF(AND('3 Sys'!F56&gt;Tmin, NOT('3 Sys'!$I56="")),'3 Sys'!$I56,0)</f>
        <v>0</v>
      </c>
      <c r="AE56">
        <f>IF(AND('3 Sys'!C56&lt;Tmax, NOT('3 Sys'!$H56="")),'3 Sys'!$H56,4)</f>
        <v>1</v>
      </c>
      <c r="AF56">
        <f>IF(AND('3 Sys'!D56&lt;Tmax, NOT('3 Sys'!$H56="")),'3 Sys'!$H56,4)</f>
        <v>1</v>
      </c>
      <c r="AG56">
        <f>IF(AND('3 Sys'!E56&lt;Tmax, NOT('3 Sys'!$H56="")),'3 Sys'!$H56,4)</f>
        <v>1</v>
      </c>
      <c r="AH56">
        <f>IF(AND('3 Sys'!F56&lt;Tmax, NOT('3 Sys'!$H56="")),'3 Sys'!$H56,4)</f>
        <v>1</v>
      </c>
      <c r="AI56"/>
    </row>
    <row r="57" spans="1:35" s="213" customFormat="1" x14ac:dyDescent="0.25">
      <c r="A57" s="164" t="s">
        <v>881</v>
      </c>
      <c r="B57" s="164" t="s">
        <v>882</v>
      </c>
      <c r="C57" s="136"/>
      <c r="D57" s="136"/>
      <c r="E57" s="136"/>
      <c r="F57" s="136"/>
      <c r="G57" s="133">
        <v>4</v>
      </c>
      <c r="H57" s="133">
        <v>1</v>
      </c>
      <c r="I57" s="133"/>
      <c r="J57" s="133"/>
      <c r="K57" s="225"/>
      <c r="AA57">
        <f>IF(AND('3 Sys'!C57&gt;Tmin, NOT('3 Sys'!$I57="")),'3 Sys'!$I57,0)</f>
        <v>0</v>
      </c>
      <c r="AB57">
        <f>IF(AND('3 Sys'!D57&gt;Tmin, NOT('3 Sys'!$I57="")),'3 Sys'!$I57,0)</f>
        <v>0</v>
      </c>
      <c r="AC57">
        <f>IF(AND('3 Sys'!E57&gt;Tmin, NOT('3 Sys'!$I57="")),'3 Sys'!$I57,0)</f>
        <v>0</v>
      </c>
      <c r="AD57">
        <f>IF(AND('3 Sys'!F57&gt;Tmin, NOT('3 Sys'!$I57="")),'3 Sys'!$I57,0)</f>
        <v>0</v>
      </c>
      <c r="AE57">
        <f>IF(AND('3 Sys'!C57&lt;Tmax, NOT('3 Sys'!$H57="")),'3 Sys'!$H57,4)</f>
        <v>1</v>
      </c>
      <c r="AF57">
        <f>IF(AND('3 Sys'!D57&lt;Tmax, NOT('3 Sys'!$H57="")),'3 Sys'!$H57,4)</f>
        <v>1</v>
      </c>
      <c r="AG57">
        <f>IF(AND('3 Sys'!E57&lt;Tmax, NOT('3 Sys'!$H57="")),'3 Sys'!$H57,4)</f>
        <v>1</v>
      </c>
      <c r="AH57">
        <f>IF(AND('3 Sys'!F57&lt;Tmax, NOT('3 Sys'!$H57="")),'3 Sys'!$H57,4)</f>
        <v>1</v>
      </c>
      <c r="AI57"/>
    </row>
    <row r="58" spans="1:35" s="213" customFormat="1" ht="39" customHeight="1" x14ac:dyDescent="0.25">
      <c r="A58" s="164" t="s">
        <v>883</v>
      </c>
      <c r="B58" s="164" t="s">
        <v>884</v>
      </c>
      <c r="C58" s="136"/>
      <c r="D58" s="136"/>
      <c r="E58" s="136"/>
      <c r="F58" s="136"/>
      <c r="G58" s="133">
        <v>4</v>
      </c>
      <c r="H58" s="133">
        <v>2</v>
      </c>
      <c r="I58" s="133"/>
      <c r="J58" s="133"/>
      <c r="K58" s="225"/>
      <c r="AA58">
        <f>IF(AND('3 Sys'!C58&gt;Tmin, NOT('3 Sys'!$I58="")),'3 Sys'!$I58,0)</f>
        <v>0</v>
      </c>
      <c r="AB58">
        <f>IF(AND('3 Sys'!D58&gt;Tmin, NOT('3 Sys'!$I58="")),'3 Sys'!$I58,0)</f>
        <v>0</v>
      </c>
      <c r="AC58">
        <f>IF(AND('3 Sys'!E58&gt;Tmin, NOT('3 Sys'!$I58="")),'3 Sys'!$I58,0)</f>
        <v>0</v>
      </c>
      <c r="AD58">
        <f>IF(AND('3 Sys'!F58&gt;Tmin, NOT('3 Sys'!$I58="")),'3 Sys'!$I58,0)</f>
        <v>0</v>
      </c>
      <c r="AE58">
        <f>IF(AND('3 Sys'!C58&lt;Tmax, NOT('3 Sys'!$H58="")),'3 Sys'!$H58,4)</f>
        <v>2</v>
      </c>
      <c r="AF58">
        <f>IF(AND('3 Sys'!D58&lt;Tmax, NOT('3 Sys'!$H58="")),'3 Sys'!$H58,4)</f>
        <v>2</v>
      </c>
      <c r="AG58">
        <f>IF(AND('3 Sys'!E58&lt;Tmax, NOT('3 Sys'!$H58="")),'3 Sys'!$H58,4)</f>
        <v>2</v>
      </c>
      <c r="AH58">
        <f>IF(AND('3 Sys'!F58&lt;Tmax, NOT('3 Sys'!$H58="")),'3 Sys'!$H58,4)</f>
        <v>2</v>
      </c>
      <c r="AI58"/>
    </row>
    <row r="59" spans="1:35" s="213" customFormat="1" ht="74.25" customHeight="1" x14ac:dyDescent="0.25">
      <c r="A59" s="164" t="s">
        <v>885</v>
      </c>
      <c r="B59" s="164" t="s">
        <v>24</v>
      </c>
      <c r="C59" s="136"/>
      <c r="D59" s="136"/>
      <c r="E59" s="136"/>
      <c r="F59" s="136"/>
      <c r="G59" s="133">
        <v>4</v>
      </c>
      <c r="H59" s="133">
        <v>3</v>
      </c>
      <c r="I59" s="133"/>
      <c r="J59" s="133"/>
      <c r="K59" s="225"/>
      <c r="AA59">
        <f>IF(AND('3 Sys'!C59&gt;Tmin, NOT('3 Sys'!$I59="")),'3 Sys'!$I59,0)</f>
        <v>0</v>
      </c>
      <c r="AB59">
        <f>IF(AND('3 Sys'!D59&gt;Tmin, NOT('3 Sys'!$I59="")),'3 Sys'!$I59,0)</f>
        <v>0</v>
      </c>
      <c r="AC59">
        <f>IF(AND('3 Sys'!E59&gt;Tmin, NOT('3 Sys'!$I59="")),'3 Sys'!$I59,0)</f>
        <v>0</v>
      </c>
      <c r="AD59">
        <f>IF(AND('3 Sys'!F59&gt;Tmin, NOT('3 Sys'!$I59="")),'3 Sys'!$I59,0)</f>
        <v>0</v>
      </c>
      <c r="AE59">
        <f>IF(AND('3 Sys'!C59&lt;Tmax, NOT('3 Sys'!$H59="")),'3 Sys'!$H59,4)</f>
        <v>3</v>
      </c>
      <c r="AF59">
        <f>IF(AND('3 Sys'!D59&lt;Tmax, NOT('3 Sys'!$H59="")),'3 Sys'!$H59,4)</f>
        <v>3</v>
      </c>
      <c r="AG59">
        <f>IF(AND('3 Sys'!E59&lt;Tmax, NOT('3 Sys'!$H59="")),'3 Sys'!$H59,4)</f>
        <v>3</v>
      </c>
      <c r="AH59">
        <f>IF(AND('3 Sys'!F59&lt;Tmax, NOT('3 Sys'!$H59="")),'3 Sys'!$H59,4)</f>
        <v>3</v>
      </c>
      <c r="AI59"/>
    </row>
    <row r="60" spans="1:35" s="213" customFormat="1" ht="59.25" customHeight="1" x14ac:dyDescent="0.25">
      <c r="A60" s="164" t="s">
        <v>886</v>
      </c>
      <c r="B60" s="164" t="s">
        <v>543</v>
      </c>
      <c r="C60" s="136"/>
      <c r="D60" s="136"/>
      <c r="E60" s="136"/>
      <c r="F60" s="136"/>
      <c r="G60" s="133">
        <v>4</v>
      </c>
      <c r="H60" s="133">
        <v>3</v>
      </c>
      <c r="I60" s="133"/>
      <c r="J60" s="133"/>
      <c r="K60" s="225"/>
      <c r="AA60">
        <f>IF(AND('3 Sys'!C60&gt;Tmin, NOT('3 Sys'!$I60="")),'3 Sys'!$I60,0)</f>
        <v>0</v>
      </c>
      <c r="AB60">
        <f>IF(AND('3 Sys'!D60&gt;Tmin, NOT('3 Sys'!$I60="")),'3 Sys'!$I60,0)</f>
        <v>0</v>
      </c>
      <c r="AC60">
        <f>IF(AND('3 Sys'!E60&gt;Tmin, NOT('3 Sys'!$I60="")),'3 Sys'!$I60,0)</f>
        <v>0</v>
      </c>
      <c r="AD60">
        <f>IF(AND('3 Sys'!F60&gt;Tmin, NOT('3 Sys'!$I60="")),'3 Sys'!$I60,0)</f>
        <v>0</v>
      </c>
      <c r="AE60">
        <f>IF(AND('3 Sys'!C60&lt;Tmax, NOT('3 Sys'!$H60="")),'3 Sys'!$H60,4)</f>
        <v>3</v>
      </c>
      <c r="AF60">
        <f>IF(AND('3 Sys'!D60&lt;Tmax, NOT('3 Sys'!$H60="")),'3 Sys'!$H60,4)</f>
        <v>3</v>
      </c>
      <c r="AG60">
        <f>IF(AND('3 Sys'!E60&lt;Tmax, NOT('3 Sys'!$H60="")),'3 Sys'!$H60,4)</f>
        <v>3</v>
      </c>
      <c r="AH60">
        <f>IF(AND('3 Sys'!F60&lt;Tmax, NOT('3 Sys'!$H60="")),'3 Sys'!$H60,4)</f>
        <v>3</v>
      </c>
      <c r="AI60"/>
    </row>
    <row r="61" spans="1:35" s="213" customFormat="1" ht="20.399999999999999" x14ac:dyDescent="0.25">
      <c r="A61" s="164" t="s">
        <v>887</v>
      </c>
      <c r="B61" s="164" t="s">
        <v>599</v>
      </c>
      <c r="C61" s="136"/>
      <c r="D61" s="136"/>
      <c r="E61" s="136"/>
      <c r="F61" s="136"/>
      <c r="G61" s="133">
        <v>4</v>
      </c>
      <c r="H61" s="133">
        <v>2</v>
      </c>
      <c r="I61" s="133"/>
      <c r="J61" s="133"/>
      <c r="K61" s="225"/>
      <c r="AA61">
        <f>IF(AND('3 Sys'!C61&gt;Tmin, NOT('3 Sys'!$I61="")),'3 Sys'!$I61,0)</f>
        <v>0</v>
      </c>
      <c r="AB61">
        <f>IF(AND('3 Sys'!D61&gt;Tmin, NOT('3 Sys'!$I61="")),'3 Sys'!$I61,0)</f>
        <v>0</v>
      </c>
      <c r="AC61">
        <f>IF(AND('3 Sys'!E61&gt;Tmin, NOT('3 Sys'!$I61="")),'3 Sys'!$I61,0)</f>
        <v>0</v>
      </c>
      <c r="AD61">
        <f>IF(AND('3 Sys'!F61&gt;Tmin, NOT('3 Sys'!$I61="")),'3 Sys'!$I61,0)</f>
        <v>0</v>
      </c>
      <c r="AE61">
        <f>IF(AND('3 Sys'!C61&lt;Tmax, NOT('3 Sys'!$H61="")),'3 Sys'!$H61,4)</f>
        <v>2</v>
      </c>
      <c r="AF61">
        <f>IF(AND('3 Sys'!D61&lt;Tmax, NOT('3 Sys'!$H61="")),'3 Sys'!$H61,4)</f>
        <v>2</v>
      </c>
      <c r="AG61">
        <f>IF(AND('3 Sys'!E61&lt;Tmax, NOT('3 Sys'!$H61="")),'3 Sys'!$H61,4)</f>
        <v>2</v>
      </c>
      <c r="AH61">
        <f>IF(AND('3 Sys'!F61&lt;Tmax, NOT('3 Sys'!$H61="")),'3 Sys'!$H61,4)</f>
        <v>2</v>
      </c>
      <c r="AI61"/>
    </row>
    <row r="62" spans="1:35" s="213" customFormat="1" ht="20.399999999999999" x14ac:dyDescent="0.25">
      <c r="A62" s="164" t="s">
        <v>888</v>
      </c>
      <c r="B62" s="164" t="s">
        <v>335</v>
      </c>
      <c r="C62" s="136"/>
      <c r="D62" s="136"/>
      <c r="E62" s="136"/>
      <c r="F62" s="136"/>
      <c r="G62" s="133">
        <v>4</v>
      </c>
      <c r="H62" s="133">
        <v>2</v>
      </c>
      <c r="I62" s="133"/>
      <c r="J62" s="133"/>
      <c r="K62" s="225"/>
      <c r="AA62">
        <f>IF(AND('3 Sys'!C62&gt;Tmin, NOT('3 Sys'!$I62="")),'3 Sys'!$I62,0)</f>
        <v>0</v>
      </c>
      <c r="AB62">
        <f>IF(AND('3 Sys'!D62&gt;Tmin, NOT('3 Sys'!$I62="")),'3 Sys'!$I62,0)</f>
        <v>0</v>
      </c>
      <c r="AC62">
        <f>IF(AND('3 Sys'!E62&gt;Tmin, NOT('3 Sys'!$I62="")),'3 Sys'!$I62,0)</f>
        <v>0</v>
      </c>
      <c r="AD62">
        <f>IF(AND('3 Sys'!F62&gt;Tmin, NOT('3 Sys'!$I62="")),'3 Sys'!$I62,0)</f>
        <v>0</v>
      </c>
      <c r="AE62">
        <f>IF(AND('3 Sys'!C62&lt;Tmax, NOT('3 Sys'!$H62="")),'3 Sys'!$H62,4)</f>
        <v>2</v>
      </c>
      <c r="AF62">
        <f>IF(AND('3 Sys'!D62&lt;Tmax, NOT('3 Sys'!$H62="")),'3 Sys'!$H62,4)</f>
        <v>2</v>
      </c>
      <c r="AG62">
        <f>IF(AND('3 Sys'!E62&lt;Tmax, NOT('3 Sys'!$H62="")),'3 Sys'!$H62,4)</f>
        <v>2</v>
      </c>
      <c r="AH62">
        <f>IF(AND('3 Sys'!F62&lt;Tmax, NOT('3 Sys'!$H62="")),'3 Sys'!$H62,4)</f>
        <v>2</v>
      </c>
      <c r="AI62"/>
    </row>
    <row r="63" spans="1:35" s="213" customFormat="1" ht="30.6" x14ac:dyDescent="0.25">
      <c r="A63" s="164" t="s">
        <v>889</v>
      </c>
      <c r="B63" s="164" t="s">
        <v>353</v>
      </c>
      <c r="C63" s="136"/>
      <c r="D63" s="136"/>
      <c r="E63" s="136"/>
      <c r="F63" s="136"/>
      <c r="G63" s="133">
        <v>4</v>
      </c>
      <c r="H63" s="133">
        <v>3</v>
      </c>
      <c r="I63" s="133"/>
      <c r="J63" s="133"/>
      <c r="K63" s="225"/>
      <c r="AA63">
        <f>IF(AND('3 Sys'!C63&gt;Tmin, NOT('3 Sys'!$I63="")),'3 Sys'!$I63,0)</f>
        <v>0</v>
      </c>
      <c r="AB63">
        <f>IF(AND('3 Sys'!D63&gt;Tmin, NOT('3 Sys'!$I63="")),'3 Sys'!$I63,0)</f>
        <v>0</v>
      </c>
      <c r="AC63">
        <f>IF(AND('3 Sys'!E63&gt;Tmin, NOT('3 Sys'!$I63="")),'3 Sys'!$I63,0)</f>
        <v>0</v>
      </c>
      <c r="AD63">
        <f>IF(AND('3 Sys'!F63&gt;Tmin, NOT('3 Sys'!$I63="")),'3 Sys'!$I63,0)</f>
        <v>0</v>
      </c>
      <c r="AE63">
        <f>IF(AND('3 Sys'!C63&lt;Tmax, NOT('3 Sys'!$H63="")),'3 Sys'!$H63,4)</f>
        <v>3</v>
      </c>
      <c r="AF63">
        <f>IF(AND('3 Sys'!D63&lt;Tmax, NOT('3 Sys'!$H63="")),'3 Sys'!$H63,4)</f>
        <v>3</v>
      </c>
      <c r="AG63">
        <f>IF(AND('3 Sys'!E63&lt;Tmax, NOT('3 Sys'!$H63="")),'3 Sys'!$H63,4)</f>
        <v>3</v>
      </c>
      <c r="AH63">
        <f>IF(AND('3 Sys'!F63&lt;Tmax, NOT('3 Sys'!$H63="")),'3 Sys'!$H63,4)</f>
        <v>3</v>
      </c>
      <c r="AI63"/>
    </row>
    <row r="64" spans="1:35" s="213" customFormat="1" x14ac:dyDescent="0.25">
      <c r="A64" s="164" t="s">
        <v>733</v>
      </c>
      <c r="B64" s="164" t="s">
        <v>890</v>
      </c>
      <c r="C64" s="136"/>
      <c r="D64" s="136"/>
      <c r="E64" s="136"/>
      <c r="F64" s="136"/>
      <c r="G64" s="133"/>
      <c r="H64" s="133"/>
      <c r="I64" s="133"/>
      <c r="J64" s="133"/>
      <c r="K64" s="225"/>
      <c r="AA64"/>
      <c r="AB64"/>
      <c r="AC64"/>
      <c r="AD64"/>
      <c r="AE64"/>
      <c r="AF64"/>
      <c r="AG64"/>
      <c r="AH64"/>
      <c r="AI64"/>
    </row>
    <row r="65" spans="1:35" s="213" customFormat="1" ht="26.4" x14ac:dyDescent="0.25">
      <c r="A65" s="164" t="s">
        <v>891</v>
      </c>
      <c r="B65" s="164" t="s">
        <v>2307</v>
      </c>
      <c r="C65" s="136">
        <v>0</v>
      </c>
      <c r="D65" s="136"/>
      <c r="E65" s="136"/>
      <c r="F65" s="136"/>
      <c r="G65" s="133">
        <v>4</v>
      </c>
      <c r="H65" s="133"/>
      <c r="I65" s="133"/>
      <c r="J65" s="133" t="s">
        <v>87</v>
      </c>
      <c r="K65" s="225" t="s">
        <v>7513</v>
      </c>
      <c r="AA65">
        <f>IF(AND('3 Sys'!C65&gt;Tmin, NOT('3 Sys'!$I65="")),'3 Sys'!$I65,0)</f>
        <v>0</v>
      </c>
      <c r="AB65">
        <f>IF(AND('3 Sys'!D65&gt;Tmin, NOT('3 Sys'!$I65="")),'3 Sys'!$I65,0)</f>
        <v>0</v>
      </c>
      <c r="AC65">
        <f>IF(AND('3 Sys'!E65&gt;Tmin, NOT('3 Sys'!$I65="")),'3 Sys'!$I65,0)</f>
        <v>0</v>
      </c>
      <c r="AD65">
        <f>IF(AND('3 Sys'!F65&gt;Tmin, NOT('3 Sys'!$I65="")),'3 Sys'!$I65,0)</f>
        <v>0</v>
      </c>
      <c r="AE65">
        <f>IF(AND('3 Sys'!C65&lt;Tmax, NOT('3 Sys'!$H65="")),'3 Sys'!$H65,4)</f>
        <v>4</v>
      </c>
      <c r="AF65">
        <f>IF(AND('3 Sys'!D65&lt;Tmax, NOT('3 Sys'!$H65="")),'3 Sys'!$H65,4)</f>
        <v>4</v>
      </c>
      <c r="AG65">
        <f>IF(AND('3 Sys'!E65&lt;Tmax, NOT('3 Sys'!$H65="")),'3 Sys'!$H65,4)</f>
        <v>4</v>
      </c>
      <c r="AH65">
        <f>IF(AND('3 Sys'!F65&lt;Tmax, NOT('3 Sys'!$H65="")),'3 Sys'!$H65,4)</f>
        <v>4</v>
      </c>
      <c r="AI65"/>
    </row>
    <row r="66" spans="1:35" s="213" customFormat="1" ht="39.6" x14ac:dyDescent="0.25">
      <c r="A66" s="164" t="s">
        <v>892</v>
      </c>
      <c r="B66" s="164" t="s">
        <v>7239</v>
      </c>
      <c r="C66" s="136">
        <v>0</v>
      </c>
      <c r="D66" s="136"/>
      <c r="E66" s="136"/>
      <c r="F66" s="136"/>
      <c r="G66" s="133">
        <v>2</v>
      </c>
      <c r="H66" s="133"/>
      <c r="I66" s="133"/>
      <c r="J66" s="133" t="s">
        <v>87</v>
      </c>
      <c r="K66" s="225" t="s">
        <v>7514</v>
      </c>
      <c r="AA66">
        <f>IF(AND('3 Sys'!C66&gt;Tmin, NOT('3 Sys'!$I66="")),'3 Sys'!$I66,0)</f>
        <v>0</v>
      </c>
      <c r="AB66">
        <f>IF(AND('3 Sys'!D66&gt;Tmin, NOT('3 Sys'!$I66="")),'3 Sys'!$I66,0)</f>
        <v>0</v>
      </c>
      <c r="AC66">
        <f>IF(AND('3 Sys'!E66&gt;Tmin, NOT('3 Sys'!$I66="")),'3 Sys'!$I66,0)</f>
        <v>0</v>
      </c>
      <c r="AD66">
        <f>IF(AND('3 Sys'!F66&gt;Tmin, NOT('3 Sys'!$I66="")),'3 Sys'!$I66,0)</f>
        <v>0</v>
      </c>
      <c r="AE66">
        <f>IF(AND('3 Sys'!C66&lt;Tmax, NOT('3 Sys'!$H66="")),'3 Sys'!$H66,4)</f>
        <v>4</v>
      </c>
      <c r="AF66">
        <f>IF(AND('3 Sys'!D66&lt;Tmax, NOT('3 Sys'!$H66="")),'3 Sys'!$H66,4)</f>
        <v>4</v>
      </c>
      <c r="AG66">
        <f>IF(AND('3 Sys'!E66&lt;Tmax, NOT('3 Sys'!$H66="")),'3 Sys'!$H66,4)</f>
        <v>4</v>
      </c>
      <c r="AH66">
        <f>IF(AND('3 Sys'!F66&lt;Tmax, NOT('3 Sys'!$H66="")),'3 Sys'!$H66,4)</f>
        <v>4</v>
      </c>
      <c r="AI66"/>
    </row>
    <row r="67" spans="1:35" s="213" customFormat="1" ht="26.4" x14ac:dyDescent="0.25">
      <c r="A67" s="164" t="s">
        <v>894</v>
      </c>
      <c r="B67" s="164" t="s">
        <v>7240</v>
      </c>
      <c r="C67" s="136">
        <v>0</v>
      </c>
      <c r="D67" s="136"/>
      <c r="E67" s="136"/>
      <c r="F67" s="136"/>
      <c r="G67" s="133">
        <v>2</v>
      </c>
      <c r="H67" s="133"/>
      <c r="I67" s="133"/>
      <c r="J67" s="133" t="s">
        <v>87</v>
      </c>
      <c r="K67" s="225" t="s">
        <v>7515</v>
      </c>
      <c r="AA67">
        <f>IF(AND('3 Sys'!C67&gt;Tmin, NOT('3 Sys'!$I67="")),'3 Sys'!$I67,0)</f>
        <v>0</v>
      </c>
      <c r="AB67">
        <f>IF(AND('3 Sys'!D67&gt;Tmin, NOT('3 Sys'!$I67="")),'3 Sys'!$I67,0)</f>
        <v>0</v>
      </c>
      <c r="AC67">
        <f>IF(AND('3 Sys'!E67&gt;Tmin, NOT('3 Sys'!$I67="")),'3 Sys'!$I67,0)</f>
        <v>0</v>
      </c>
      <c r="AD67">
        <f>IF(AND('3 Sys'!F67&gt;Tmin, NOT('3 Sys'!$I67="")),'3 Sys'!$I67,0)</f>
        <v>0</v>
      </c>
      <c r="AE67">
        <f>IF(AND('3 Sys'!C67&lt;Tmax, NOT('3 Sys'!$H67="")),'3 Sys'!$H67,4)</f>
        <v>4</v>
      </c>
      <c r="AF67">
        <f>IF(AND('3 Sys'!D67&lt;Tmax, NOT('3 Sys'!$H67="")),'3 Sys'!$H67,4)</f>
        <v>4</v>
      </c>
      <c r="AG67">
        <f>IF(AND('3 Sys'!E67&lt;Tmax, NOT('3 Sys'!$H67="")),'3 Sys'!$H67,4)</f>
        <v>4</v>
      </c>
      <c r="AH67">
        <f>IF(AND('3 Sys'!F67&lt;Tmax, NOT('3 Sys'!$H67="")),'3 Sys'!$H67,4)</f>
        <v>4</v>
      </c>
      <c r="AI67"/>
    </row>
    <row r="68" spans="1:35" s="213" customFormat="1" ht="18" customHeight="1" x14ac:dyDescent="0.25">
      <c r="A68" s="164" t="s">
        <v>896</v>
      </c>
      <c r="B68" s="164" t="s">
        <v>7241</v>
      </c>
      <c r="C68" s="136">
        <v>0</v>
      </c>
      <c r="D68" s="136"/>
      <c r="E68" s="136"/>
      <c r="F68" s="136"/>
      <c r="G68" s="133">
        <v>4</v>
      </c>
      <c r="H68" s="133"/>
      <c r="I68" s="133"/>
      <c r="J68" s="133" t="s">
        <v>87</v>
      </c>
      <c r="K68" s="225" t="s">
        <v>7494</v>
      </c>
      <c r="AA68">
        <f>IF(AND('3 Sys'!C68&gt;Tmin, NOT('3 Sys'!$I68="")),'3 Sys'!$I68,0)</f>
        <v>0</v>
      </c>
      <c r="AB68">
        <f>IF(AND('3 Sys'!D68&gt;Tmin, NOT('3 Sys'!$I68="")),'3 Sys'!$I68,0)</f>
        <v>0</v>
      </c>
      <c r="AC68">
        <f>IF(AND('3 Sys'!E68&gt;Tmin, NOT('3 Sys'!$I68="")),'3 Sys'!$I68,0)</f>
        <v>0</v>
      </c>
      <c r="AD68">
        <f>IF(AND('3 Sys'!F68&gt;Tmin, NOT('3 Sys'!$I68="")),'3 Sys'!$I68,0)</f>
        <v>0</v>
      </c>
      <c r="AE68">
        <f>IF(AND('3 Sys'!C68&lt;Tmax, NOT('3 Sys'!$H68="")),'3 Sys'!$H68,4)</f>
        <v>4</v>
      </c>
      <c r="AF68">
        <f>IF(AND('3 Sys'!D68&lt;Tmax, NOT('3 Sys'!$H68="")),'3 Sys'!$H68,4)</f>
        <v>4</v>
      </c>
      <c r="AG68">
        <f>IF(AND('3 Sys'!E68&lt;Tmax, NOT('3 Sys'!$H68="")),'3 Sys'!$H68,4)</f>
        <v>4</v>
      </c>
      <c r="AH68">
        <f>IF(AND('3 Sys'!F68&lt;Tmax, NOT('3 Sys'!$H68="")),'3 Sys'!$H68,4)</f>
        <v>4</v>
      </c>
      <c r="AI68"/>
    </row>
    <row r="69" spans="1:35" s="213" customFormat="1" ht="26.4" x14ac:dyDescent="0.25">
      <c r="A69" s="164" t="s">
        <v>898</v>
      </c>
      <c r="B69" s="164" t="s">
        <v>893</v>
      </c>
      <c r="C69" s="136">
        <v>0</v>
      </c>
      <c r="D69" s="136"/>
      <c r="E69" s="136"/>
      <c r="F69" s="136"/>
      <c r="G69" s="133">
        <v>4</v>
      </c>
      <c r="H69" s="133"/>
      <c r="I69" s="133"/>
      <c r="J69" s="133"/>
      <c r="K69" s="225" t="s">
        <v>7516</v>
      </c>
      <c r="AA69">
        <f>IF(AND('3 Sys'!C69&gt;Tmin, NOT('3 Sys'!$I69="")),'3 Sys'!$I69,0)</f>
        <v>0</v>
      </c>
      <c r="AB69">
        <f>IF(AND('3 Sys'!D69&gt;Tmin, NOT('3 Sys'!$I69="")),'3 Sys'!$I69,0)</f>
        <v>0</v>
      </c>
      <c r="AC69">
        <f>IF(AND('3 Sys'!E69&gt;Tmin, NOT('3 Sys'!$I69="")),'3 Sys'!$I69,0)</f>
        <v>0</v>
      </c>
      <c r="AD69">
        <f>IF(AND('3 Sys'!F69&gt;Tmin, NOT('3 Sys'!$I69="")),'3 Sys'!$I69,0)</f>
        <v>0</v>
      </c>
      <c r="AE69">
        <f>IF(AND('3 Sys'!C69&lt;Tmax, NOT('3 Sys'!$H69="")),'3 Sys'!$H69,4)</f>
        <v>4</v>
      </c>
      <c r="AF69">
        <f>IF(AND('3 Sys'!D69&lt;Tmax, NOT('3 Sys'!$H69="")),'3 Sys'!$H69,4)</f>
        <v>4</v>
      </c>
      <c r="AG69">
        <f>IF(AND('3 Sys'!E69&lt;Tmax, NOT('3 Sys'!$H69="")),'3 Sys'!$H69,4)</f>
        <v>4</v>
      </c>
      <c r="AH69">
        <f>IF(AND('3 Sys'!F69&lt;Tmax, NOT('3 Sys'!$H69="")),'3 Sys'!$H69,4)</f>
        <v>4</v>
      </c>
      <c r="AI69"/>
    </row>
    <row r="70" spans="1:35" s="213" customFormat="1" ht="26.4" x14ac:dyDescent="0.25">
      <c r="A70" s="164" t="s">
        <v>899</v>
      </c>
      <c r="B70" s="164" t="s">
        <v>895</v>
      </c>
      <c r="C70" s="136">
        <v>0</v>
      </c>
      <c r="D70" s="136"/>
      <c r="E70" s="136"/>
      <c r="F70" s="136"/>
      <c r="G70" s="133">
        <v>4</v>
      </c>
      <c r="H70" s="133"/>
      <c r="I70" s="133"/>
      <c r="J70" s="133"/>
      <c r="K70" s="225" t="s">
        <v>7516</v>
      </c>
      <c r="AA70">
        <f>IF(AND('3 Sys'!C70&gt;Tmin, NOT('3 Sys'!$I70="")),'3 Sys'!$I70,0)</f>
        <v>0</v>
      </c>
      <c r="AB70">
        <f>IF(AND('3 Sys'!D70&gt;Tmin, NOT('3 Sys'!$I70="")),'3 Sys'!$I70,0)</f>
        <v>0</v>
      </c>
      <c r="AC70">
        <f>IF(AND('3 Sys'!E70&gt;Tmin, NOT('3 Sys'!$I70="")),'3 Sys'!$I70,0)</f>
        <v>0</v>
      </c>
      <c r="AD70">
        <f>IF(AND('3 Sys'!F70&gt;Tmin, NOT('3 Sys'!$I70="")),'3 Sys'!$I70,0)</f>
        <v>0</v>
      </c>
      <c r="AE70">
        <f>IF(AND('3 Sys'!C70&lt;Tmax, NOT('3 Sys'!$H70="")),'3 Sys'!$H70,4)</f>
        <v>4</v>
      </c>
      <c r="AF70">
        <f>IF(AND('3 Sys'!D70&lt;Tmax, NOT('3 Sys'!$H70="")),'3 Sys'!$H70,4)</f>
        <v>4</v>
      </c>
      <c r="AG70">
        <f>IF(AND('3 Sys'!E70&lt;Tmax, NOT('3 Sys'!$H70="")),'3 Sys'!$H70,4)</f>
        <v>4</v>
      </c>
      <c r="AH70">
        <f>IF(AND('3 Sys'!F70&lt;Tmax, NOT('3 Sys'!$H70="")),'3 Sys'!$H70,4)</f>
        <v>4</v>
      </c>
      <c r="AI70"/>
    </row>
    <row r="71" spans="1:35" s="213" customFormat="1" ht="26.4" x14ac:dyDescent="0.25">
      <c r="A71" s="164" t="s">
        <v>900</v>
      </c>
      <c r="B71" s="164" t="s">
        <v>897</v>
      </c>
      <c r="C71" s="136">
        <v>0</v>
      </c>
      <c r="D71" s="136"/>
      <c r="E71" s="136"/>
      <c r="F71" s="136"/>
      <c r="G71" s="133">
        <v>4</v>
      </c>
      <c r="H71" s="133">
        <v>2</v>
      </c>
      <c r="I71" s="133"/>
      <c r="J71" s="133"/>
      <c r="K71" s="225" t="s">
        <v>7515</v>
      </c>
      <c r="AA71">
        <f>IF(AND('3 Sys'!C71&gt;Tmin, NOT('3 Sys'!$I71="")),'3 Sys'!$I71,0)</f>
        <v>0</v>
      </c>
      <c r="AB71">
        <f>IF(AND('3 Sys'!D71&gt;Tmin, NOT('3 Sys'!$I71="")),'3 Sys'!$I71,0)</f>
        <v>0</v>
      </c>
      <c r="AC71">
        <f>IF(AND('3 Sys'!E71&gt;Tmin, NOT('3 Sys'!$I71="")),'3 Sys'!$I71,0)</f>
        <v>0</v>
      </c>
      <c r="AD71">
        <f>IF(AND('3 Sys'!F71&gt;Tmin, NOT('3 Sys'!$I71="")),'3 Sys'!$I71,0)</f>
        <v>0</v>
      </c>
      <c r="AE71">
        <f>IF(AND('3 Sys'!C71&lt;Tmax, NOT('3 Sys'!$H71="")),'3 Sys'!$H71,4)</f>
        <v>2</v>
      </c>
      <c r="AF71">
        <f>IF(AND('3 Sys'!D71&lt;Tmax, NOT('3 Sys'!$H71="")),'3 Sys'!$H71,4)</f>
        <v>2</v>
      </c>
      <c r="AG71">
        <f>IF(AND('3 Sys'!E71&lt;Tmax, NOT('3 Sys'!$H71="")),'3 Sys'!$H71,4)</f>
        <v>2</v>
      </c>
      <c r="AH71">
        <f>IF(AND('3 Sys'!F71&lt;Tmax, NOT('3 Sys'!$H71="")),'3 Sys'!$H71,4)</f>
        <v>2</v>
      </c>
      <c r="AI71"/>
    </row>
    <row r="72" spans="1:35" s="213" customFormat="1" ht="40.799999999999997" x14ac:dyDescent="0.25">
      <c r="A72" s="164" t="s">
        <v>901</v>
      </c>
      <c r="B72" s="164" t="s">
        <v>375</v>
      </c>
      <c r="C72" s="136">
        <v>0</v>
      </c>
      <c r="D72" s="136"/>
      <c r="E72" s="136"/>
      <c r="F72" s="136"/>
      <c r="G72" s="133">
        <v>4</v>
      </c>
      <c r="H72" s="133">
        <v>2</v>
      </c>
      <c r="I72" s="133"/>
      <c r="J72" s="133"/>
      <c r="K72" s="225" t="s">
        <v>7516</v>
      </c>
      <c r="AA72">
        <f>IF(AND('3 Sys'!C72&gt;Tmin, NOT('3 Sys'!$I72="")),'3 Sys'!$I72,0)</f>
        <v>0</v>
      </c>
      <c r="AB72">
        <f>IF(AND('3 Sys'!D72&gt;Tmin, NOT('3 Sys'!$I72="")),'3 Sys'!$I72,0)</f>
        <v>0</v>
      </c>
      <c r="AC72">
        <f>IF(AND('3 Sys'!E72&gt;Tmin, NOT('3 Sys'!$I72="")),'3 Sys'!$I72,0)</f>
        <v>0</v>
      </c>
      <c r="AD72">
        <f>IF(AND('3 Sys'!F72&gt;Tmin, NOT('3 Sys'!$I72="")),'3 Sys'!$I72,0)</f>
        <v>0</v>
      </c>
      <c r="AE72">
        <f>IF(AND('3 Sys'!C72&lt;Tmax, NOT('3 Sys'!$H72="")),'3 Sys'!$H72,4)</f>
        <v>2</v>
      </c>
      <c r="AF72">
        <f>IF(AND('3 Sys'!D72&lt;Tmax, NOT('3 Sys'!$H72="")),'3 Sys'!$H72,4)</f>
        <v>2</v>
      </c>
      <c r="AG72">
        <f>IF(AND('3 Sys'!E72&lt;Tmax, NOT('3 Sys'!$H72="")),'3 Sys'!$H72,4)</f>
        <v>2</v>
      </c>
      <c r="AH72">
        <f>IF(AND('3 Sys'!F72&lt;Tmax, NOT('3 Sys'!$H72="")),'3 Sys'!$H72,4)</f>
        <v>2</v>
      </c>
      <c r="AI72"/>
    </row>
    <row r="73" spans="1:35" s="213" customFormat="1" x14ac:dyDescent="0.25">
      <c r="A73" s="164" t="s">
        <v>7242</v>
      </c>
      <c r="B73" s="164" t="s">
        <v>486</v>
      </c>
      <c r="C73" s="136">
        <v>0</v>
      </c>
      <c r="D73" s="136"/>
      <c r="E73" s="136"/>
      <c r="F73" s="136"/>
      <c r="G73" s="133">
        <v>2</v>
      </c>
      <c r="H73" s="133"/>
      <c r="I73" s="133"/>
      <c r="J73" s="133"/>
      <c r="K73" s="225" t="s">
        <v>7494</v>
      </c>
      <c r="AA73">
        <f>IF(AND('3 Sys'!C73&gt;Tmin, NOT('3 Sys'!$I73="")),'3 Sys'!$I73,0)</f>
        <v>0</v>
      </c>
      <c r="AB73">
        <f>IF(AND('3 Sys'!D73&gt;Tmin, NOT('3 Sys'!$I73="")),'3 Sys'!$I73,0)</f>
        <v>0</v>
      </c>
      <c r="AC73">
        <f>IF(AND('3 Sys'!E73&gt;Tmin, NOT('3 Sys'!$I73="")),'3 Sys'!$I73,0)</f>
        <v>0</v>
      </c>
      <c r="AD73">
        <f>IF(AND('3 Sys'!F73&gt;Tmin, NOT('3 Sys'!$I73="")),'3 Sys'!$I73,0)</f>
        <v>0</v>
      </c>
      <c r="AE73">
        <f>IF(AND('3 Sys'!C73&lt;Tmax, NOT('3 Sys'!$H73="")),'3 Sys'!$H73,4)</f>
        <v>4</v>
      </c>
      <c r="AF73">
        <f>IF(AND('3 Sys'!D73&lt;Tmax, NOT('3 Sys'!$H73="")),'3 Sys'!$H73,4)</f>
        <v>4</v>
      </c>
      <c r="AG73">
        <f>IF(AND('3 Sys'!E73&lt;Tmax, NOT('3 Sys'!$H73="")),'3 Sys'!$H73,4)</f>
        <v>4</v>
      </c>
      <c r="AH73">
        <f>IF(AND('3 Sys'!F73&lt;Tmax, NOT('3 Sys'!$H73="")),'3 Sys'!$H73,4)</f>
        <v>4</v>
      </c>
      <c r="AI73"/>
    </row>
    <row r="74" spans="1:35" s="213" customFormat="1" ht="26.4" x14ac:dyDescent="0.25">
      <c r="A74" s="164" t="s">
        <v>7243</v>
      </c>
      <c r="B74" s="164" t="s">
        <v>381</v>
      </c>
      <c r="C74" s="136">
        <v>0</v>
      </c>
      <c r="D74" s="136"/>
      <c r="E74" s="136"/>
      <c r="F74" s="136"/>
      <c r="G74" s="133">
        <v>2</v>
      </c>
      <c r="H74" s="133"/>
      <c r="I74" s="133"/>
      <c r="J74" s="133"/>
      <c r="K74" s="225" t="s">
        <v>7515</v>
      </c>
      <c r="AA74">
        <f>IF(AND('3 Sys'!C74&gt;Tmin, NOT('3 Sys'!$I74="")),'3 Sys'!$I74,0)</f>
        <v>0</v>
      </c>
      <c r="AB74">
        <f>IF(AND('3 Sys'!D74&gt;Tmin, NOT('3 Sys'!$I74="")),'3 Sys'!$I74,0)</f>
        <v>0</v>
      </c>
      <c r="AC74">
        <f>IF(AND('3 Sys'!E74&gt;Tmin, NOT('3 Sys'!$I74="")),'3 Sys'!$I74,0)</f>
        <v>0</v>
      </c>
      <c r="AD74">
        <f>IF(AND('3 Sys'!F74&gt;Tmin, NOT('3 Sys'!$I74="")),'3 Sys'!$I74,0)</f>
        <v>0</v>
      </c>
      <c r="AE74">
        <f>IF(AND('3 Sys'!C74&lt;Tmax, NOT('3 Sys'!$H74="")),'3 Sys'!$H74,4)</f>
        <v>4</v>
      </c>
      <c r="AF74">
        <f>IF(AND('3 Sys'!D74&lt;Tmax, NOT('3 Sys'!$H74="")),'3 Sys'!$H74,4)</f>
        <v>4</v>
      </c>
      <c r="AG74">
        <f>IF(AND('3 Sys'!E74&lt;Tmax, NOT('3 Sys'!$H74="")),'3 Sys'!$H74,4)</f>
        <v>4</v>
      </c>
      <c r="AH74">
        <f>IF(AND('3 Sys'!F74&lt;Tmax, NOT('3 Sys'!$H74="")),'3 Sys'!$H74,4)</f>
        <v>4</v>
      </c>
      <c r="AI74"/>
    </row>
    <row r="75" spans="1:35" s="213" customFormat="1" x14ac:dyDescent="0.25">
      <c r="A75" s="164" t="s">
        <v>7244</v>
      </c>
      <c r="B75" s="164" t="s">
        <v>487</v>
      </c>
      <c r="C75" s="136">
        <v>0</v>
      </c>
      <c r="D75" s="136"/>
      <c r="E75" s="136"/>
      <c r="F75" s="136"/>
      <c r="G75" s="133">
        <v>1</v>
      </c>
      <c r="H75" s="133">
        <v>2</v>
      </c>
      <c r="I75" s="133"/>
      <c r="J75" s="133"/>
      <c r="K75" s="225" t="s">
        <v>7494</v>
      </c>
      <c r="AA75">
        <f>IF(AND('3 Sys'!C75&gt;Tmin, NOT('3 Sys'!$I75="")),'3 Sys'!$I75,0)</f>
        <v>0</v>
      </c>
      <c r="AB75">
        <f>IF(AND('3 Sys'!D75&gt;Tmin, NOT('3 Sys'!$I75="")),'3 Sys'!$I75,0)</f>
        <v>0</v>
      </c>
      <c r="AC75">
        <f>IF(AND('3 Sys'!E75&gt;Tmin, NOT('3 Sys'!$I75="")),'3 Sys'!$I75,0)</f>
        <v>0</v>
      </c>
      <c r="AD75">
        <f>IF(AND('3 Sys'!F75&gt;Tmin, NOT('3 Sys'!$I75="")),'3 Sys'!$I75,0)</f>
        <v>0</v>
      </c>
      <c r="AE75">
        <f>IF(AND('3 Sys'!C75&lt;Tmax, NOT('3 Sys'!$H75="")),'3 Sys'!$H75,4)</f>
        <v>2</v>
      </c>
      <c r="AF75">
        <f>IF(AND('3 Sys'!D75&lt;Tmax, NOT('3 Sys'!$H75="")),'3 Sys'!$H75,4)</f>
        <v>2</v>
      </c>
      <c r="AG75">
        <f>IF(AND('3 Sys'!E75&lt;Tmax, NOT('3 Sys'!$H75="")),'3 Sys'!$H75,4)</f>
        <v>2</v>
      </c>
      <c r="AH75">
        <f>IF(AND('3 Sys'!F75&lt;Tmax, NOT('3 Sys'!$H75="")),'3 Sys'!$H75,4)</f>
        <v>2</v>
      </c>
      <c r="AI75"/>
    </row>
    <row r="76" spans="1:35" s="213" customFormat="1" x14ac:dyDescent="0.25">
      <c r="A76" s="164" t="s">
        <v>819</v>
      </c>
      <c r="B76" s="164" t="s">
        <v>821</v>
      </c>
      <c r="C76" s="136"/>
      <c r="D76" s="136"/>
      <c r="E76" s="136"/>
      <c r="F76" s="136"/>
      <c r="G76" s="133"/>
      <c r="H76" s="133"/>
      <c r="I76" s="133"/>
      <c r="J76" s="133"/>
      <c r="K76" s="225"/>
      <c r="AA76"/>
      <c r="AB76"/>
      <c r="AC76"/>
      <c r="AD76"/>
      <c r="AE76"/>
      <c r="AF76"/>
      <c r="AG76"/>
      <c r="AH76"/>
      <c r="AI76"/>
    </row>
    <row r="77" spans="1:35" s="213" customFormat="1" ht="66" x14ac:dyDescent="0.25">
      <c r="A77" s="164" t="s">
        <v>902</v>
      </c>
      <c r="B77" s="164" t="s">
        <v>441</v>
      </c>
      <c r="C77" s="136">
        <v>0</v>
      </c>
      <c r="D77" s="136"/>
      <c r="E77" s="136"/>
      <c r="F77" s="136"/>
      <c r="G77" s="133">
        <v>4</v>
      </c>
      <c r="H77" s="133"/>
      <c r="I77" s="133">
        <v>4</v>
      </c>
      <c r="J77" s="133"/>
      <c r="K77" s="225" t="s">
        <v>7500</v>
      </c>
      <c r="AA77">
        <f>IF(AND('3 Sys'!C77&gt;Tmin, NOT('3 Sys'!$I77="")),'3 Sys'!$I77,0)</f>
        <v>0</v>
      </c>
      <c r="AB77">
        <f>IF(AND('3 Sys'!D77&gt;Tmin, NOT('3 Sys'!$I77="")),'3 Sys'!$I77,0)</f>
        <v>0</v>
      </c>
      <c r="AC77">
        <f>IF(AND('3 Sys'!E77&gt;Tmin, NOT('3 Sys'!$I77="")),'3 Sys'!$I77,0)</f>
        <v>0</v>
      </c>
      <c r="AD77">
        <f>IF(AND('3 Sys'!F77&gt;Tmin, NOT('3 Sys'!$I77="")),'3 Sys'!$I77,0)</f>
        <v>0</v>
      </c>
      <c r="AE77">
        <f>IF(AND('3 Sys'!C77&lt;Tmax, NOT('3 Sys'!$H77="")),'3 Sys'!$H77,4)</f>
        <v>4</v>
      </c>
      <c r="AF77">
        <f>IF(AND('3 Sys'!D77&lt;Tmax, NOT('3 Sys'!$H77="")),'3 Sys'!$H77,4)</f>
        <v>4</v>
      </c>
      <c r="AG77">
        <f>IF(AND('3 Sys'!E77&lt;Tmax, NOT('3 Sys'!$H77="")),'3 Sys'!$H77,4)</f>
        <v>4</v>
      </c>
      <c r="AH77">
        <f>IF(AND('3 Sys'!F77&lt;Tmax, NOT('3 Sys'!$H77="")),'3 Sys'!$H77,4)</f>
        <v>4</v>
      </c>
      <c r="AI77"/>
    </row>
    <row r="78" spans="1:35" s="213" customFormat="1" ht="40.799999999999997" x14ac:dyDescent="0.25">
      <c r="A78" s="164" t="s">
        <v>903</v>
      </c>
      <c r="B78" s="164" t="s">
        <v>34</v>
      </c>
      <c r="C78" s="136">
        <v>0</v>
      </c>
      <c r="D78" s="136"/>
      <c r="E78" s="136"/>
      <c r="F78" s="136"/>
      <c r="G78" s="133">
        <v>2</v>
      </c>
      <c r="H78" s="133"/>
      <c r="I78" s="133"/>
      <c r="J78" s="133"/>
      <c r="K78" s="225" t="s">
        <v>7494</v>
      </c>
      <c r="AA78">
        <f>IF(AND('3 Sys'!C78&gt;Tmin, NOT('3 Sys'!$I78="")),'3 Sys'!$I78,0)</f>
        <v>0</v>
      </c>
      <c r="AB78">
        <f>IF(AND('3 Sys'!D78&gt;Tmin, NOT('3 Sys'!$I78="")),'3 Sys'!$I78,0)</f>
        <v>0</v>
      </c>
      <c r="AC78">
        <f>IF(AND('3 Sys'!E78&gt;Tmin, NOT('3 Sys'!$I78="")),'3 Sys'!$I78,0)</f>
        <v>0</v>
      </c>
      <c r="AD78">
        <f>IF(AND('3 Sys'!F78&gt;Tmin, NOT('3 Sys'!$I78="")),'3 Sys'!$I78,0)</f>
        <v>0</v>
      </c>
      <c r="AE78">
        <f>IF(AND('3 Sys'!C78&lt;Tmax, NOT('3 Sys'!$H78="")),'3 Sys'!$H78,4)</f>
        <v>4</v>
      </c>
      <c r="AF78">
        <f>IF(AND('3 Sys'!D78&lt;Tmax, NOT('3 Sys'!$H78="")),'3 Sys'!$H78,4)</f>
        <v>4</v>
      </c>
      <c r="AG78">
        <f>IF(AND('3 Sys'!E78&lt;Tmax, NOT('3 Sys'!$H78="")),'3 Sys'!$H78,4)</f>
        <v>4</v>
      </c>
      <c r="AH78">
        <f>IF(AND('3 Sys'!F78&lt;Tmax, NOT('3 Sys'!$H78="")),'3 Sys'!$H78,4)</f>
        <v>4</v>
      </c>
      <c r="AI78"/>
    </row>
    <row r="79" spans="1:35" s="213" customFormat="1" ht="59.25" customHeight="1" x14ac:dyDescent="0.25">
      <c r="A79" s="164" t="s">
        <v>904</v>
      </c>
      <c r="B79" s="164" t="s">
        <v>306</v>
      </c>
      <c r="C79" s="136">
        <v>0</v>
      </c>
      <c r="D79" s="136"/>
      <c r="E79" s="136"/>
      <c r="F79" s="136"/>
      <c r="G79" s="133">
        <v>4</v>
      </c>
      <c r="H79" s="133">
        <v>2</v>
      </c>
      <c r="I79" s="133"/>
      <c r="J79" s="133"/>
      <c r="K79" s="225" t="s">
        <v>7501</v>
      </c>
      <c r="AA79">
        <f>IF(AND('3 Sys'!C79&gt;Tmin, NOT('3 Sys'!$I79="")),'3 Sys'!$I79,0)</f>
        <v>0</v>
      </c>
      <c r="AB79">
        <f>IF(AND('3 Sys'!D79&gt;Tmin, NOT('3 Sys'!$I79="")),'3 Sys'!$I79,0)</f>
        <v>0</v>
      </c>
      <c r="AC79">
        <f>IF(AND('3 Sys'!E79&gt;Tmin, NOT('3 Sys'!$I79="")),'3 Sys'!$I79,0)</f>
        <v>0</v>
      </c>
      <c r="AD79">
        <f>IF(AND('3 Sys'!F79&gt;Tmin, NOT('3 Sys'!$I79="")),'3 Sys'!$I79,0)</f>
        <v>0</v>
      </c>
      <c r="AE79">
        <f>IF(AND('3 Sys'!C79&lt;Tmax, NOT('3 Sys'!$H79="")),'3 Sys'!$H79,4)</f>
        <v>2</v>
      </c>
      <c r="AF79">
        <f>IF(AND('3 Sys'!D79&lt;Tmax, NOT('3 Sys'!$H79="")),'3 Sys'!$H79,4)</f>
        <v>2</v>
      </c>
      <c r="AG79">
        <f>IF(AND('3 Sys'!E79&lt;Tmax, NOT('3 Sys'!$H79="")),'3 Sys'!$H79,4)</f>
        <v>2</v>
      </c>
      <c r="AH79">
        <f>IF(AND('3 Sys'!F79&lt;Tmax, NOT('3 Sys'!$H79="")),'3 Sys'!$H79,4)</f>
        <v>2</v>
      </c>
      <c r="AI79"/>
    </row>
    <row r="80" spans="1:35" s="213" customFormat="1" ht="30.6" x14ac:dyDescent="0.25">
      <c r="A80" s="164" t="s">
        <v>905</v>
      </c>
      <c r="B80" s="164" t="s">
        <v>445</v>
      </c>
      <c r="C80" s="136">
        <v>0</v>
      </c>
      <c r="D80" s="136"/>
      <c r="E80" s="136"/>
      <c r="F80" s="136"/>
      <c r="G80" s="133">
        <v>4</v>
      </c>
      <c r="H80" s="133">
        <v>3</v>
      </c>
      <c r="I80" s="133"/>
      <c r="J80" s="133"/>
      <c r="K80" s="225" t="s">
        <v>7494</v>
      </c>
      <c r="AA80">
        <f>IF(AND('3 Sys'!C80&gt;Tmin, NOT('3 Sys'!$I80="")),'3 Sys'!$I80,0)</f>
        <v>0</v>
      </c>
      <c r="AB80">
        <f>IF(AND('3 Sys'!D80&gt;Tmin, NOT('3 Sys'!$I80="")),'3 Sys'!$I80,0)</f>
        <v>0</v>
      </c>
      <c r="AC80">
        <f>IF(AND('3 Sys'!E80&gt;Tmin, NOT('3 Sys'!$I80="")),'3 Sys'!$I80,0)</f>
        <v>0</v>
      </c>
      <c r="AD80">
        <f>IF(AND('3 Sys'!F80&gt;Tmin, NOT('3 Sys'!$I80="")),'3 Sys'!$I80,0)</f>
        <v>0</v>
      </c>
      <c r="AE80">
        <f>IF(AND('3 Sys'!C80&lt;Tmax, NOT('3 Sys'!$H80="")),'3 Sys'!$H80,4)</f>
        <v>3</v>
      </c>
      <c r="AF80">
        <f>IF(AND('3 Sys'!D80&lt;Tmax, NOT('3 Sys'!$H80="")),'3 Sys'!$H80,4)</f>
        <v>3</v>
      </c>
      <c r="AG80">
        <f>IF(AND('3 Sys'!E80&lt;Tmax, NOT('3 Sys'!$H80="")),'3 Sys'!$H80,4)</f>
        <v>3</v>
      </c>
      <c r="AH80">
        <f>IF(AND('3 Sys'!F80&lt;Tmax, NOT('3 Sys'!$H80="")),'3 Sys'!$H80,4)</f>
        <v>3</v>
      </c>
      <c r="AI80"/>
    </row>
    <row r="81" spans="1:35" s="213" customFormat="1" x14ac:dyDescent="0.25">
      <c r="A81" s="164" t="s">
        <v>820</v>
      </c>
      <c r="B81" s="164" t="s">
        <v>906</v>
      </c>
      <c r="C81" s="136"/>
      <c r="D81" s="136"/>
      <c r="E81" s="136"/>
      <c r="F81" s="136"/>
      <c r="G81" s="133"/>
      <c r="H81" s="133"/>
      <c r="I81" s="133"/>
      <c r="J81" s="133"/>
      <c r="K81" s="225"/>
      <c r="AA81"/>
      <c r="AB81"/>
      <c r="AC81"/>
      <c r="AD81"/>
      <c r="AE81"/>
      <c r="AF81"/>
      <c r="AG81"/>
      <c r="AH81"/>
      <c r="AI81"/>
    </row>
    <row r="82" spans="1:35" s="213" customFormat="1" ht="30.6" x14ac:dyDescent="0.25">
      <c r="A82" s="164" t="s">
        <v>907</v>
      </c>
      <c r="B82" s="164" t="s">
        <v>908</v>
      </c>
      <c r="C82" s="136">
        <v>0</v>
      </c>
      <c r="D82" s="136"/>
      <c r="E82" s="136"/>
      <c r="F82" s="136"/>
      <c r="G82" s="133">
        <v>2</v>
      </c>
      <c r="H82" s="133"/>
      <c r="I82" s="133"/>
      <c r="J82" s="133"/>
      <c r="K82" s="225" t="s">
        <v>7516</v>
      </c>
      <c r="AA82">
        <f>IF(AND('3 Sys'!C82&gt;Tmin, NOT('3 Sys'!$I82="")),'3 Sys'!$I82,0)</f>
        <v>0</v>
      </c>
      <c r="AB82">
        <f>IF(AND('3 Sys'!D82&gt;Tmin, NOT('3 Sys'!$I82="")),'3 Sys'!$I82,0)</f>
        <v>0</v>
      </c>
      <c r="AC82">
        <f>IF(AND('3 Sys'!E82&gt;Tmin, NOT('3 Sys'!$I82="")),'3 Sys'!$I82,0)</f>
        <v>0</v>
      </c>
      <c r="AD82">
        <f>IF(AND('3 Sys'!F82&gt;Tmin, NOT('3 Sys'!$I82="")),'3 Sys'!$I82,0)</f>
        <v>0</v>
      </c>
      <c r="AE82">
        <f>IF(AND('3 Sys'!C82&lt;Tmax, NOT('3 Sys'!$H82="")),'3 Sys'!$H82,4)</f>
        <v>4</v>
      </c>
      <c r="AF82">
        <f>IF(AND('3 Sys'!D82&lt;Tmax, NOT('3 Sys'!$H82="")),'3 Sys'!$H82,4)</f>
        <v>4</v>
      </c>
      <c r="AG82">
        <f>IF(AND('3 Sys'!E82&lt;Tmax, NOT('3 Sys'!$H82="")),'3 Sys'!$H82,4)</f>
        <v>4</v>
      </c>
      <c r="AH82">
        <f>IF(AND('3 Sys'!F82&lt;Tmax, NOT('3 Sys'!$H82="")),'3 Sys'!$H82,4)</f>
        <v>4</v>
      </c>
      <c r="AI82"/>
    </row>
    <row r="83" spans="1:35" s="213" customFormat="1" x14ac:dyDescent="0.25">
      <c r="A83" s="164" t="s">
        <v>909</v>
      </c>
      <c r="B83" s="164" t="s">
        <v>224</v>
      </c>
      <c r="C83" s="136">
        <v>0</v>
      </c>
      <c r="D83" s="136"/>
      <c r="E83" s="136"/>
      <c r="F83" s="136"/>
      <c r="G83" s="133">
        <v>4</v>
      </c>
      <c r="H83" s="133"/>
      <c r="I83" s="133"/>
      <c r="J83" s="133"/>
      <c r="K83" s="225" t="s">
        <v>7494</v>
      </c>
      <c r="AA83">
        <f>IF(AND('3 Sys'!C83&gt;Tmin, NOT('3 Sys'!$I83="")),'3 Sys'!$I83,0)</f>
        <v>0</v>
      </c>
      <c r="AB83">
        <f>IF(AND('3 Sys'!D83&gt;Tmin, NOT('3 Sys'!$I83="")),'3 Sys'!$I83,0)</f>
        <v>0</v>
      </c>
      <c r="AC83">
        <f>IF(AND('3 Sys'!E83&gt;Tmin, NOT('3 Sys'!$I83="")),'3 Sys'!$I83,0)</f>
        <v>0</v>
      </c>
      <c r="AD83">
        <f>IF(AND('3 Sys'!F83&gt;Tmin, NOT('3 Sys'!$I83="")),'3 Sys'!$I83,0)</f>
        <v>0</v>
      </c>
      <c r="AE83">
        <f>IF(AND('3 Sys'!C83&lt;Tmax, NOT('3 Sys'!$H83="")),'3 Sys'!$H83,4)</f>
        <v>4</v>
      </c>
      <c r="AF83">
        <f>IF(AND('3 Sys'!D83&lt;Tmax, NOT('3 Sys'!$H83="")),'3 Sys'!$H83,4)</f>
        <v>4</v>
      </c>
      <c r="AG83">
        <f>IF(AND('3 Sys'!E83&lt;Tmax, NOT('3 Sys'!$H83="")),'3 Sys'!$H83,4)</f>
        <v>4</v>
      </c>
      <c r="AH83">
        <f>IF(AND('3 Sys'!F83&lt;Tmax, NOT('3 Sys'!$H83="")),'3 Sys'!$H83,4)</f>
        <v>4</v>
      </c>
      <c r="AI83"/>
    </row>
    <row r="84" spans="1:35" s="213" customFormat="1" x14ac:dyDescent="0.25">
      <c r="A84" s="164" t="s">
        <v>910</v>
      </c>
      <c r="B84" s="164" t="s">
        <v>2277</v>
      </c>
      <c r="C84" s="136">
        <v>0</v>
      </c>
      <c r="D84" s="136"/>
      <c r="E84" s="136"/>
      <c r="F84" s="136"/>
      <c r="G84" s="133">
        <v>4</v>
      </c>
      <c r="H84" s="133">
        <v>2</v>
      </c>
      <c r="I84" s="133"/>
      <c r="J84" s="133"/>
      <c r="K84" s="225" t="s">
        <v>7494</v>
      </c>
      <c r="AA84">
        <f>IF(AND('3 Sys'!C84&gt;Tmin, NOT('3 Sys'!$I84="")),'3 Sys'!$I84,0)</f>
        <v>0</v>
      </c>
      <c r="AB84">
        <f>IF(AND('3 Sys'!D84&gt;Tmin, NOT('3 Sys'!$I84="")),'3 Sys'!$I84,0)</f>
        <v>0</v>
      </c>
      <c r="AC84">
        <f>IF(AND('3 Sys'!E84&gt;Tmin, NOT('3 Sys'!$I84="")),'3 Sys'!$I84,0)</f>
        <v>0</v>
      </c>
      <c r="AD84">
        <f>IF(AND('3 Sys'!F84&gt;Tmin, NOT('3 Sys'!$I84="")),'3 Sys'!$I84,0)</f>
        <v>0</v>
      </c>
      <c r="AE84">
        <f>IF(AND('3 Sys'!C84&lt;Tmax, NOT('3 Sys'!$H84="")),'3 Sys'!$H84,4)</f>
        <v>2</v>
      </c>
      <c r="AF84">
        <f>IF(AND('3 Sys'!D84&lt;Tmax, NOT('3 Sys'!$H84="")),'3 Sys'!$H84,4)</f>
        <v>2</v>
      </c>
      <c r="AG84">
        <f>IF(AND('3 Sys'!E84&lt;Tmax, NOT('3 Sys'!$H84="")),'3 Sys'!$H84,4)</f>
        <v>2</v>
      </c>
      <c r="AH84">
        <f>IF(AND('3 Sys'!F84&lt;Tmax, NOT('3 Sys'!$H84="")),'3 Sys'!$H84,4)</f>
        <v>2</v>
      </c>
      <c r="AI84"/>
    </row>
    <row r="85" spans="1:35" s="213" customFormat="1" ht="20.399999999999999" x14ac:dyDescent="0.25">
      <c r="A85" s="164" t="s">
        <v>911</v>
      </c>
      <c r="B85" s="164" t="s">
        <v>391</v>
      </c>
      <c r="C85" s="136">
        <v>0</v>
      </c>
      <c r="D85" s="136"/>
      <c r="E85" s="136"/>
      <c r="F85" s="136"/>
      <c r="G85" s="133">
        <v>4</v>
      </c>
      <c r="H85" s="133">
        <v>2</v>
      </c>
      <c r="I85" s="133"/>
      <c r="J85" s="133"/>
      <c r="K85" s="225" t="s">
        <v>7494</v>
      </c>
      <c r="AA85">
        <f>IF(AND('3 Sys'!C85&gt;Tmin, NOT('3 Sys'!$I85="")),'3 Sys'!$I85,0)</f>
        <v>0</v>
      </c>
      <c r="AB85">
        <f>IF(AND('3 Sys'!D85&gt;Tmin, NOT('3 Sys'!$I85="")),'3 Sys'!$I85,0)</f>
        <v>0</v>
      </c>
      <c r="AC85">
        <f>IF(AND('3 Sys'!E85&gt;Tmin, NOT('3 Sys'!$I85="")),'3 Sys'!$I85,0)</f>
        <v>0</v>
      </c>
      <c r="AD85">
        <f>IF(AND('3 Sys'!F85&gt;Tmin, NOT('3 Sys'!$I85="")),'3 Sys'!$I85,0)</f>
        <v>0</v>
      </c>
      <c r="AE85">
        <f>IF(AND('3 Sys'!C85&lt;Tmax, NOT('3 Sys'!$H85="")),'3 Sys'!$H85,4)</f>
        <v>2</v>
      </c>
      <c r="AF85">
        <f>IF(AND('3 Sys'!D85&lt;Tmax, NOT('3 Sys'!$H85="")),'3 Sys'!$H85,4)</f>
        <v>2</v>
      </c>
      <c r="AG85">
        <f>IF(AND('3 Sys'!E85&lt;Tmax, NOT('3 Sys'!$H85="")),'3 Sys'!$H85,4)</f>
        <v>2</v>
      </c>
      <c r="AH85">
        <f>IF(AND('3 Sys'!F85&lt;Tmax, NOT('3 Sys'!$H85="")),'3 Sys'!$H85,4)</f>
        <v>2</v>
      </c>
      <c r="AI85"/>
    </row>
    <row r="86" spans="1:35" s="213" customFormat="1" x14ac:dyDescent="0.25">
      <c r="A86" s="164" t="s">
        <v>912</v>
      </c>
      <c r="B86" s="164" t="s">
        <v>392</v>
      </c>
      <c r="C86" s="136">
        <v>0</v>
      </c>
      <c r="D86" s="136"/>
      <c r="E86" s="136"/>
      <c r="F86" s="136"/>
      <c r="G86" s="133">
        <v>4</v>
      </c>
      <c r="H86" s="133"/>
      <c r="I86" s="133">
        <v>3</v>
      </c>
      <c r="J86" s="133"/>
      <c r="K86" s="225" t="s">
        <v>7494</v>
      </c>
      <c r="AA86">
        <f>IF(AND('3 Sys'!C86&gt;Tmin, NOT('3 Sys'!$I86="")),'3 Sys'!$I86,0)</f>
        <v>0</v>
      </c>
      <c r="AB86">
        <f>IF(AND('3 Sys'!D86&gt;Tmin, NOT('3 Sys'!$I86="")),'3 Sys'!$I86,0)</f>
        <v>0</v>
      </c>
      <c r="AC86">
        <f>IF(AND('3 Sys'!E86&gt;Tmin, NOT('3 Sys'!$I86="")),'3 Sys'!$I86,0)</f>
        <v>0</v>
      </c>
      <c r="AD86">
        <f>IF(AND('3 Sys'!F86&gt;Tmin, NOT('3 Sys'!$I86="")),'3 Sys'!$I86,0)</f>
        <v>0</v>
      </c>
      <c r="AE86">
        <f>IF(AND('3 Sys'!C86&lt;Tmax, NOT('3 Sys'!$H86="")),'3 Sys'!$H86,4)</f>
        <v>4</v>
      </c>
      <c r="AF86">
        <f>IF(AND('3 Sys'!D86&lt;Tmax, NOT('3 Sys'!$H86="")),'3 Sys'!$H86,4)</f>
        <v>4</v>
      </c>
      <c r="AG86">
        <f>IF(AND('3 Sys'!E86&lt;Tmax, NOT('3 Sys'!$H86="")),'3 Sys'!$H86,4)</f>
        <v>4</v>
      </c>
      <c r="AH86">
        <f>IF(AND('3 Sys'!F86&lt;Tmax, NOT('3 Sys'!$H86="")),'3 Sys'!$H86,4)</f>
        <v>4</v>
      </c>
      <c r="AI86"/>
    </row>
    <row r="87" spans="1:35" s="213" customFormat="1" ht="20.399999999999999" x14ac:dyDescent="0.25">
      <c r="A87" s="164" t="s">
        <v>913</v>
      </c>
      <c r="B87" s="164" t="s">
        <v>393</v>
      </c>
      <c r="C87" s="136">
        <v>0</v>
      </c>
      <c r="D87" s="136"/>
      <c r="E87" s="136"/>
      <c r="F87" s="136"/>
      <c r="G87" s="133">
        <v>4</v>
      </c>
      <c r="H87" s="133">
        <v>2</v>
      </c>
      <c r="I87" s="133"/>
      <c r="J87" s="133"/>
      <c r="K87" s="225" t="s">
        <v>7494</v>
      </c>
      <c r="AA87">
        <f>IF(AND('3 Sys'!C87&gt;Tmin, NOT('3 Sys'!$I87="")),'3 Sys'!$I87,0)</f>
        <v>0</v>
      </c>
      <c r="AB87">
        <f>IF(AND('3 Sys'!D87&gt;Tmin, NOT('3 Sys'!$I87="")),'3 Sys'!$I87,0)</f>
        <v>0</v>
      </c>
      <c r="AC87">
        <f>IF(AND('3 Sys'!E87&gt;Tmin, NOT('3 Sys'!$I87="")),'3 Sys'!$I87,0)</f>
        <v>0</v>
      </c>
      <c r="AD87">
        <f>IF(AND('3 Sys'!F87&gt;Tmin, NOT('3 Sys'!$I87="")),'3 Sys'!$I87,0)</f>
        <v>0</v>
      </c>
      <c r="AE87">
        <f>IF(AND('3 Sys'!C87&lt;Tmax, NOT('3 Sys'!$H87="")),'3 Sys'!$H87,4)</f>
        <v>2</v>
      </c>
      <c r="AF87">
        <f>IF(AND('3 Sys'!D87&lt;Tmax, NOT('3 Sys'!$H87="")),'3 Sys'!$H87,4)</f>
        <v>2</v>
      </c>
      <c r="AG87">
        <f>IF(AND('3 Sys'!E87&lt;Tmax, NOT('3 Sys'!$H87="")),'3 Sys'!$H87,4)</f>
        <v>2</v>
      </c>
      <c r="AH87">
        <f>IF(AND('3 Sys'!F87&lt;Tmax, NOT('3 Sys'!$H87="")),'3 Sys'!$H87,4)</f>
        <v>2</v>
      </c>
      <c r="AI87"/>
    </row>
    <row r="88" spans="1:35" s="213" customFormat="1" ht="20.399999999999999" x14ac:dyDescent="0.25">
      <c r="A88" s="164" t="s">
        <v>914</v>
      </c>
      <c r="B88" s="164" t="s">
        <v>11</v>
      </c>
      <c r="C88" s="136">
        <v>0</v>
      </c>
      <c r="D88" s="136"/>
      <c r="E88" s="136"/>
      <c r="F88" s="136"/>
      <c r="G88" s="133">
        <v>4</v>
      </c>
      <c r="H88" s="133"/>
      <c r="I88" s="133"/>
      <c r="J88" s="133"/>
      <c r="K88" s="225" t="s">
        <v>7494</v>
      </c>
      <c r="AA88">
        <f>IF(AND('3 Sys'!C88&gt;Tmin, NOT('3 Sys'!$I88="")),'3 Sys'!$I88,0)</f>
        <v>0</v>
      </c>
      <c r="AB88">
        <f>IF(AND('3 Sys'!D88&gt;Tmin, NOT('3 Sys'!$I88="")),'3 Sys'!$I88,0)</f>
        <v>0</v>
      </c>
      <c r="AC88">
        <f>IF(AND('3 Sys'!E88&gt;Tmin, NOT('3 Sys'!$I88="")),'3 Sys'!$I88,0)</f>
        <v>0</v>
      </c>
      <c r="AD88">
        <f>IF(AND('3 Sys'!F88&gt;Tmin, NOT('3 Sys'!$I88="")),'3 Sys'!$I88,0)</f>
        <v>0</v>
      </c>
      <c r="AE88">
        <f>IF(AND('3 Sys'!C88&lt;Tmax, NOT('3 Sys'!$H88="")),'3 Sys'!$H88,4)</f>
        <v>4</v>
      </c>
      <c r="AF88">
        <f>IF(AND('3 Sys'!D88&lt;Tmax, NOT('3 Sys'!$H88="")),'3 Sys'!$H88,4)</f>
        <v>4</v>
      </c>
      <c r="AG88">
        <f>IF(AND('3 Sys'!E88&lt;Tmax, NOT('3 Sys'!$H88="")),'3 Sys'!$H88,4)</f>
        <v>4</v>
      </c>
      <c r="AH88">
        <f>IF(AND('3 Sys'!F88&lt;Tmax, NOT('3 Sys'!$H88="")),'3 Sys'!$H88,4)</f>
        <v>4</v>
      </c>
      <c r="AI88"/>
    </row>
    <row r="89" spans="1:35" x14ac:dyDescent="0.25">
      <c r="A89" s="164" t="s">
        <v>915</v>
      </c>
      <c r="B89" s="164" t="s">
        <v>219</v>
      </c>
      <c r="C89" s="136">
        <v>0</v>
      </c>
      <c r="D89" s="136"/>
      <c r="E89" s="136"/>
      <c r="F89" s="136"/>
      <c r="G89" s="133">
        <v>2</v>
      </c>
      <c r="H89" s="133"/>
      <c r="I89" s="133"/>
      <c r="K89" s="225" t="s">
        <v>7494</v>
      </c>
      <c r="M89" s="128"/>
      <c r="AA89">
        <f>IF(AND('3 Sys'!C89&gt;Tmin, NOT('3 Sys'!$I89="")),'3 Sys'!$I89,0)</f>
        <v>0</v>
      </c>
      <c r="AB89">
        <f>IF(AND('3 Sys'!D89&gt;Tmin, NOT('3 Sys'!$I89="")),'3 Sys'!$I89,0)</f>
        <v>0</v>
      </c>
      <c r="AC89">
        <f>IF(AND('3 Sys'!E89&gt;Tmin, NOT('3 Sys'!$I89="")),'3 Sys'!$I89,0)</f>
        <v>0</v>
      </c>
      <c r="AD89">
        <f>IF(AND('3 Sys'!F89&gt;Tmin, NOT('3 Sys'!$I89="")),'3 Sys'!$I89,0)</f>
        <v>0</v>
      </c>
      <c r="AE89">
        <f>IF(AND('3 Sys'!C89&lt;Tmax, NOT('3 Sys'!$H89="")),'3 Sys'!$H89,4)</f>
        <v>4</v>
      </c>
      <c r="AF89">
        <f>IF(AND('3 Sys'!D89&lt;Tmax, NOT('3 Sys'!$H89="")),'3 Sys'!$H89,4)</f>
        <v>4</v>
      </c>
      <c r="AG89">
        <f>IF(AND('3 Sys'!E89&lt;Tmax, NOT('3 Sys'!$H89="")),'3 Sys'!$H89,4)</f>
        <v>4</v>
      </c>
      <c r="AH89">
        <f>IF(AND('3 Sys'!F89&lt;Tmax, NOT('3 Sys'!$H89="")),'3 Sys'!$H89,4)</f>
        <v>4</v>
      </c>
      <c r="AI89"/>
    </row>
    <row r="90" spans="1:35" s="213" customFormat="1" x14ac:dyDescent="0.25">
      <c r="A90" s="164" t="s">
        <v>916</v>
      </c>
      <c r="B90" s="164" t="s">
        <v>447</v>
      </c>
      <c r="C90" s="136">
        <v>0</v>
      </c>
      <c r="D90" s="136"/>
      <c r="E90" s="136"/>
      <c r="F90" s="136"/>
      <c r="G90" s="133">
        <v>2</v>
      </c>
      <c r="H90" s="133"/>
      <c r="I90" s="133"/>
      <c r="J90" s="133"/>
      <c r="K90" s="225" t="s">
        <v>7494</v>
      </c>
      <c r="L90" s="227"/>
      <c r="M90" s="227"/>
      <c r="N90" s="227"/>
      <c r="O90" s="227"/>
      <c r="P90" s="227"/>
      <c r="Q90" s="227"/>
      <c r="R90" s="227"/>
      <c r="S90" s="227"/>
      <c r="T90" s="227"/>
      <c r="U90" s="227"/>
      <c r="V90" s="227"/>
      <c r="W90" s="227"/>
      <c r="X90" s="227"/>
      <c r="Y90" s="227"/>
      <c r="AA90">
        <f>IF(AND('3 Sys'!C90&gt;Tmin, NOT('3 Sys'!$I90="")),'3 Sys'!$I90,0)</f>
        <v>0</v>
      </c>
      <c r="AB90">
        <f>IF(AND('3 Sys'!D90&gt;Tmin, NOT('3 Sys'!$I90="")),'3 Sys'!$I90,0)</f>
        <v>0</v>
      </c>
      <c r="AC90">
        <f>IF(AND('3 Sys'!E90&gt;Tmin, NOT('3 Sys'!$I90="")),'3 Sys'!$I90,0)</f>
        <v>0</v>
      </c>
      <c r="AD90">
        <f>IF(AND('3 Sys'!F90&gt;Tmin, NOT('3 Sys'!$I90="")),'3 Sys'!$I90,0)</f>
        <v>0</v>
      </c>
      <c r="AE90">
        <f>IF(AND('3 Sys'!C90&lt;Tmax, NOT('3 Sys'!$H90="")),'3 Sys'!$H90,4)</f>
        <v>4</v>
      </c>
      <c r="AF90">
        <f>IF(AND('3 Sys'!D90&lt;Tmax, NOT('3 Sys'!$H90="")),'3 Sys'!$H90,4)</f>
        <v>4</v>
      </c>
      <c r="AG90">
        <f>IF(AND('3 Sys'!E90&lt;Tmax, NOT('3 Sys'!$H90="")),'3 Sys'!$H90,4)</f>
        <v>4</v>
      </c>
      <c r="AH90">
        <f>IF(AND('3 Sys'!F90&lt;Tmax, NOT('3 Sys'!$H90="")),'3 Sys'!$H90,4)</f>
        <v>4</v>
      </c>
      <c r="AI90"/>
    </row>
    <row r="91" spans="1:35" s="213" customFormat="1" ht="20.399999999999999" x14ac:dyDescent="0.25">
      <c r="A91" s="164" t="s">
        <v>2276</v>
      </c>
      <c r="B91" s="164" t="s">
        <v>394</v>
      </c>
      <c r="C91" s="136">
        <v>0</v>
      </c>
      <c r="D91" s="136"/>
      <c r="E91" s="136"/>
      <c r="F91" s="136"/>
      <c r="G91" s="133">
        <v>2</v>
      </c>
      <c r="H91" s="133"/>
      <c r="I91" s="133"/>
      <c r="J91" s="133"/>
      <c r="K91" s="225" t="s">
        <v>7494</v>
      </c>
      <c r="L91" s="227"/>
      <c r="M91" s="227"/>
      <c r="N91" s="227"/>
      <c r="O91" s="227"/>
      <c r="P91" s="227"/>
      <c r="Q91" s="227"/>
      <c r="R91" s="227"/>
      <c r="S91" s="227"/>
      <c r="T91" s="227"/>
      <c r="U91" s="227"/>
      <c r="V91" s="227"/>
      <c r="W91" s="227"/>
      <c r="X91" s="227"/>
      <c r="Y91" s="227"/>
      <c r="Z91" s="213">
        <v>0</v>
      </c>
      <c r="AA91">
        <f>IF(AND('3 Sys'!C91&gt;Tmin, NOT('3 Sys'!$I91="")),'3 Sys'!$I91,0)</f>
        <v>0</v>
      </c>
      <c r="AB91">
        <f>IF(AND('3 Sys'!D91&gt;Tmin, NOT('3 Sys'!$I91="")),'3 Sys'!$I91,0)</f>
        <v>0</v>
      </c>
      <c r="AC91">
        <f>IF(AND('3 Sys'!E91&gt;Tmin, NOT('3 Sys'!$I91="")),'3 Sys'!$I91,0)</f>
        <v>0</v>
      </c>
      <c r="AD91">
        <f>IF(AND('3 Sys'!F91&gt;Tmin, NOT('3 Sys'!$I91="")),'3 Sys'!$I91,0)</f>
        <v>0</v>
      </c>
      <c r="AE91">
        <f>IF(AND('3 Sys'!C91&lt;Tmax, NOT('3 Sys'!$H91="")),'3 Sys'!$H91,4)</f>
        <v>4</v>
      </c>
      <c r="AF91">
        <f>IF(AND('3 Sys'!D91&lt;Tmax, NOT('3 Sys'!$H91="")),'3 Sys'!$H91,4)</f>
        <v>4</v>
      </c>
      <c r="AG91">
        <f>IF(AND('3 Sys'!E91&lt;Tmax, NOT('3 Sys'!$H91="")),'3 Sys'!$H91,4)</f>
        <v>4</v>
      </c>
      <c r="AH91">
        <f>IF(AND('3 Sys'!F91&lt;Tmax, NOT('3 Sys'!$H91="")),'3 Sys'!$H91,4)</f>
        <v>4</v>
      </c>
      <c r="AI91"/>
    </row>
    <row r="92" spans="1:35" s="213" customFormat="1" x14ac:dyDescent="0.25">
      <c r="A92" s="164" t="s">
        <v>3096</v>
      </c>
      <c r="B92" s="164" t="s">
        <v>4604</v>
      </c>
      <c r="C92" s="136"/>
      <c r="D92" s="136"/>
      <c r="E92" s="136"/>
      <c r="F92" s="136"/>
      <c r="G92" s="133"/>
      <c r="H92" s="133"/>
      <c r="I92" s="133"/>
      <c r="J92" s="133"/>
      <c r="K92" s="225"/>
      <c r="L92" s="227"/>
      <c r="M92" s="227"/>
      <c r="N92" s="227"/>
      <c r="O92" s="227"/>
      <c r="P92" s="227"/>
      <c r="Q92" s="227"/>
      <c r="R92" s="227"/>
      <c r="S92" s="227"/>
      <c r="T92" s="227"/>
      <c r="U92" s="227"/>
      <c r="V92" s="227"/>
      <c r="W92" s="227"/>
      <c r="X92" s="227"/>
      <c r="Y92" s="227"/>
      <c r="Z92" s="213">
        <v>0</v>
      </c>
      <c r="AA92"/>
      <c r="AB92"/>
      <c r="AC92"/>
      <c r="AD92"/>
      <c r="AE92"/>
      <c r="AF92"/>
      <c r="AG92"/>
      <c r="AH92"/>
      <c r="AI92"/>
    </row>
    <row r="93" spans="1:35" s="213" customFormat="1" x14ac:dyDescent="0.25">
      <c r="A93" s="164" t="s">
        <v>3097</v>
      </c>
      <c r="B93" s="164" t="s">
        <v>4605</v>
      </c>
      <c r="C93" s="136"/>
      <c r="D93" s="136"/>
      <c r="E93" s="136"/>
      <c r="F93" s="136"/>
      <c r="G93" s="133">
        <v>4</v>
      </c>
      <c r="H93" s="133">
        <v>1</v>
      </c>
      <c r="I93" s="133"/>
      <c r="J93" s="133"/>
      <c r="K93" s="225"/>
      <c r="L93" s="227"/>
      <c r="M93" s="227"/>
      <c r="N93" s="227"/>
      <c r="O93" s="227"/>
      <c r="P93" s="227"/>
      <c r="Q93" s="227"/>
      <c r="R93" s="227"/>
      <c r="S93" s="227"/>
      <c r="T93" s="227"/>
      <c r="U93" s="227"/>
      <c r="V93" s="227"/>
      <c r="W93" s="227"/>
      <c r="X93" s="227"/>
      <c r="Y93" s="227"/>
      <c r="Z93" s="213">
        <v>0</v>
      </c>
      <c r="AA93">
        <f>IF(AND('3 Sys'!C93&gt;Tmin, NOT('3 Sys'!$I93="")),'3 Sys'!$I93,0)</f>
        <v>0</v>
      </c>
      <c r="AB93">
        <f>IF(AND('3 Sys'!D93&gt;Tmin, NOT('3 Sys'!$I93="")),'3 Sys'!$I93,0)</f>
        <v>0</v>
      </c>
      <c r="AC93">
        <f>IF(AND('3 Sys'!E93&gt;Tmin, NOT('3 Sys'!$I93="")),'3 Sys'!$I93,0)</f>
        <v>0</v>
      </c>
      <c r="AD93">
        <f>IF(AND('3 Sys'!F93&gt;Tmin, NOT('3 Sys'!$I93="")),'3 Sys'!$I93,0)</f>
        <v>0</v>
      </c>
      <c r="AE93">
        <f>IF(AND('3 Sys'!C93&lt;Tmax, NOT('3 Sys'!$H93="")),'3 Sys'!$H93,4)</f>
        <v>1</v>
      </c>
      <c r="AF93">
        <f>IF(AND('3 Sys'!D93&lt;Tmax, NOT('3 Sys'!$H93="")),'3 Sys'!$H93,4)</f>
        <v>1</v>
      </c>
      <c r="AG93">
        <f>IF(AND('3 Sys'!E93&lt;Tmax, NOT('3 Sys'!$H93="")),'3 Sys'!$H93,4)</f>
        <v>1</v>
      </c>
      <c r="AH93">
        <f>IF(AND('3 Sys'!F93&lt;Tmax, NOT('3 Sys'!$H93="")),'3 Sys'!$H93,4)</f>
        <v>1</v>
      </c>
      <c r="AI93"/>
    </row>
    <row r="94" spans="1:35" s="213" customFormat="1" ht="40.799999999999997" x14ac:dyDescent="0.25">
      <c r="A94" s="164" t="s">
        <v>3098</v>
      </c>
      <c r="B94" s="164" t="s">
        <v>4606</v>
      </c>
      <c r="C94" s="136"/>
      <c r="D94" s="136"/>
      <c r="E94" s="136"/>
      <c r="F94" s="136"/>
      <c r="G94" s="133">
        <v>4</v>
      </c>
      <c r="H94" s="133">
        <v>2</v>
      </c>
      <c r="I94" s="133"/>
      <c r="J94" s="133"/>
      <c r="K94" s="225"/>
      <c r="L94" s="227"/>
      <c r="M94" s="227"/>
      <c r="N94" s="227"/>
      <c r="O94" s="227"/>
      <c r="P94" s="227"/>
      <c r="Q94" s="227"/>
      <c r="R94" s="227"/>
      <c r="S94" s="227"/>
      <c r="T94" s="227"/>
      <c r="U94" s="227"/>
      <c r="V94" s="227"/>
      <c r="W94" s="227"/>
      <c r="X94" s="227"/>
      <c r="Y94" s="227"/>
      <c r="Z94" s="213">
        <v>0</v>
      </c>
      <c r="AA94">
        <f>IF(AND('3 Sys'!C94&gt;Tmin, NOT('3 Sys'!$I94="")),'3 Sys'!$I94,0)</f>
        <v>0</v>
      </c>
      <c r="AB94">
        <f>IF(AND('3 Sys'!D94&gt;Tmin, NOT('3 Sys'!$I94="")),'3 Sys'!$I94,0)</f>
        <v>0</v>
      </c>
      <c r="AC94">
        <f>IF(AND('3 Sys'!E94&gt;Tmin, NOT('3 Sys'!$I94="")),'3 Sys'!$I94,0)</f>
        <v>0</v>
      </c>
      <c r="AD94">
        <f>IF(AND('3 Sys'!F94&gt;Tmin, NOT('3 Sys'!$I94="")),'3 Sys'!$I94,0)</f>
        <v>0</v>
      </c>
      <c r="AE94">
        <f>IF(AND('3 Sys'!C94&lt;Tmax, NOT('3 Sys'!$H94="")),'3 Sys'!$H94,4)</f>
        <v>2</v>
      </c>
      <c r="AF94">
        <f>IF(AND('3 Sys'!D94&lt;Tmax, NOT('3 Sys'!$H94="")),'3 Sys'!$H94,4)</f>
        <v>2</v>
      </c>
      <c r="AG94">
        <f>IF(AND('3 Sys'!E94&lt;Tmax, NOT('3 Sys'!$H94="")),'3 Sys'!$H94,4)</f>
        <v>2</v>
      </c>
      <c r="AH94">
        <f>IF(AND('3 Sys'!F94&lt;Tmax, NOT('3 Sys'!$H94="")),'3 Sys'!$H94,4)</f>
        <v>2</v>
      </c>
      <c r="AI94"/>
    </row>
    <row r="95" spans="1:35" s="213" customFormat="1" ht="40.799999999999997" x14ac:dyDescent="0.25">
      <c r="A95" s="164" t="s">
        <v>3099</v>
      </c>
      <c r="B95" s="164" t="s">
        <v>7245</v>
      </c>
      <c r="C95" s="136"/>
      <c r="D95" s="136"/>
      <c r="E95" s="136"/>
      <c r="F95" s="136"/>
      <c r="G95" s="133">
        <v>4</v>
      </c>
      <c r="H95" s="133">
        <v>3</v>
      </c>
      <c r="I95" s="133"/>
      <c r="J95" s="133"/>
      <c r="K95" s="225"/>
      <c r="L95" s="227"/>
      <c r="M95" s="227"/>
      <c r="N95" s="227"/>
      <c r="O95" s="227"/>
      <c r="P95" s="227"/>
      <c r="Q95" s="227"/>
      <c r="R95" s="227"/>
      <c r="S95" s="227"/>
      <c r="T95" s="227"/>
      <c r="U95" s="227"/>
      <c r="V95" s="227"/>
      <c r="W95" s="227"/>
      <c r="X95" s="227"/>
      <c r="Y95" s="227"/>
      <c r="Z95" s="213">
        <v>0</v>
      </c>
      <c r="AA95">
        <f>IF(AND('3 Sys'!C95&gt;Tmin, NOT('3 Sys'!$I95="")),'3 Sys'!$I95,0)</f>
        <v>0</v>
      </c>
      <c r="AB95">
        <f>IF(AND('3 Sys'!D95&gt;Tmin, NOT('3 Sys'!$I95="")),'3 Sys'!$I95,0)</f>
        <v>0</v>
      </c>
      <c r="AC95">
        <f>IF(AND('3 Sys'!E95&gt;Tmin, NOT('3 Sys'!$I95="")),'3 Sys'!$I95,0)</f>
        <v>0</v>
      </c>
      <c r="AD95">
        <f>IF(AND('3 Sys'!F95&gt;Tmin, NOT('3 Sys'!$I95="")),'3 Sys'!$I95,0)</f>
        <v>0</v>
      </c>
      <c r="AE95">
        <f>IF(AND('3 Sys'!C95&lt;Tmax, NOT('3 Sys'!$H95="")),'3 Sys'!$H95,4)</f>
        <v>3</v>
      </c>
      <c r="AF95">
        <f>IF(AND('3 Sys'!D95&lt;Tmax, NOT('3 Sys'!$H95="")),'3 Sys'!$H95,4)</f>
        <v>3</v>
      </c>
      <c r="AG95">
        <f>IF(AND('3 Sys'!E95&lt;Tmax, NOT('3 Sys'!$H95="")),'3 Sys'!$H95,4)</f>
        <v>3</v>
      </c>
      <c r="AH95">
        <f>IF(AND('3 Sys'!F95&lt;Tmax, NOT('3 Sys'!$H95="")),'3 Sys'!$H95,4)</f>
        <v>3</v>
      </c>
      <c r="AI95"/>
    </row>
    <row r="96" spans="1:35" s="213" customFormat="1" ht="15.75" customHeight="1" x14ac:dyDescent="0.25">
      <c r="A96" s="164" t="s">
        <v>7408</v>
      </c>
      <c r="B96" s="164" t="s">
        <v>7405</v>
      </c>
      <c r="C96" s="136"/>
      <c r="D96" s="136"/>
      <c r="E96" s="136"/>
      <c r="F96" s="136"/>
      <c r="G96" s="133">
        <v>2</v>
      </c>
      <c r="H96" s="133"/>
      <c r="I96" s="133"/>
      <c r="J96" s="133" t="s">
        <v>6895</v>
      </c>
      <c r="K96" s="225"/>
      <c r="L96" s="227"/>
      <c r="M96" s="227"/>
      <c r="N96" s="227"/>
      <c r="O96" s="227"/>
      <c r="P96" s="227"/>
      <c r="Q96" s="227"/>
      <c r="R96" s="227"/>
      <c r="S96" s="227"/>
      <c r="T96" s="227"/>
      <c r="U96" s="227"/>
      <c r="V96" s="227"/>
      <c r="W96" s="227"/>
      <c r="X96" s="227"/>
      <c r="Y96" s="227"/>
      <c r="AA96">
        <f>IF(AND('3 Sys'!C96&gt;Tmin, NOT('3 Sys'!$I96="")),'3 Sys'!$I96,0)</f>
        <v>0</v>
      </c>
      <c r="AB96">
        <f>IF(AND('3 Sys'!D96&gt;Tmin, NOT('3 Sys'!$I96="")),'3 Sys'!$I96,0)</f>
        <v>0</v>
      </c>
      <c r="AC96">
        <f>IF(AND('3 Sys'!E96&gt;Tmin, NOT('3 Sys'!$I96="")),'3 Sys'!$I96,0)</f>
        <v>0</v>
      </c>
      <c r="AD96">
        <f>IF(AND('3 Sys'!F96&gt;Tmin, NOT('3 Sys'!$I96="")),'3 Sys'!$I96,0)</f>
        <v>0</v>
      </c>
      <c r="AE96">
        <f>IF(AND('3 Sys'!C96&lt;Tmax, NOT('3 Sys'!$H96="")),'3 Sys'!$H96,4)</f>
        <v>4</v>
      </c>
      <c r="AF96">
        <f>IF(AND('3 Sys'!D96&lt;Tmax, NOT('3 Sys'!$H96="")),'3 Sys'!$H96,4)</f>
        <v>4</v>
      </c>
      <c r="AG96">
        <f>IF(AND('3 Sys'!E96&lt;Tmax, NOT('3 Sys'!$H96="")),'3 Sys'!$H96,4)</f>
        <v>4</v>
      </c>
      <c r="AH96">
        <f>IF(AND('3 Sys'!F96&lt;Tmax, NOT('3 Sys'!$H96="")),'3 Sys'!$H96,4)</f>
        <v>4</v>
      </c>
      <c r="AI96"/>
    </row>
    <row r="97" spans="1:35" s="213" customFormat="1" x14ac:dyDescent="0.25">
      <c r="A97" s="164" t="s">
        <v>7409</v>
      </c>
      <c r="B97" s="164" t="s">
        <v>7406</v>
      </c>
      <c r="C97" s="136"/>
      <c r="D97" s="136"/>
      <c r="E97" s="136"/>
      <c r="F97" s="136"/>
      <c r="G97" s="133">
        <v>2</v>
      </c>
      <c r="H97" s="133"/>
      <c r="I97" s="133"/>
      <c r="J97" s="133" t="s">
        <v>6895</v>
      </c>
      <c r="K97" s="225"/>
      <c r="L97" s="227"/>
      <c r="M97" s="227"/>
      <c r="N97" s="227"/>
      <c r="O97" s="227"/>
      <c r="P97" s="227"/>
      <c r="Q97" s="227"/>
      <c r="R97" s="227"/>
      <c r="S97" s="227"/>
      <c r="T97" s="227"/>
      <c r="U97" s="227"/>
      <c r="V97" s="227"/>
      <c r="W97" s="227"/>
      <c r="X97" s="227"/>
      <c r="Y97" s="227"/>
      <c r="AA97">
        <f>IF(AND('3 Sys'!C97&gt;Tmin, NOT('3 Sys'!$I97="")),'3 Sys'!$I97,0)</f>
        <v>0</v>
      </c>
      <c r="AB97">
        <f>IF(AND('3 Sys'!D97&gt;Tmin, NOT('3 Sys'!$I97="")),'3 Sys'!$I97,0)</f>
        <v>0</v>
      </c>
      <c r="AC97">
        <f>IF(AND('3 Sys'!E97&gt;Tmin, NOT('3 Sys'!$I97="")),'3 Sys'!$I97,0)</f>
        <v>0</v>
      </c>
      <c r="AD97">
        <f>IF(AND('3 Sys'!F97&gt;Tmin, NOT('3 Sys'!$I97="")),'3 Sys'!$I97,0)</f>
        <v>0</v>
      </c>
      <c r="AE97">
        <f>IF(AND('3 Sys'!C97&lt;Tmax, NOT('3 Sys'!$H97="")),'3 Sys'!$H97,4)</f>
        <v>4</v>
      </c>
      <c r="AF97">
        <f>IF(AND('3 Sys'!D97&lt;Tmax, NOT('3 Sys'!$H97="")),'3 Sys'!$H97,4)</f>
        <v>4</v>
      </c>
      <c r="AG97">
        <f>IF(AND('3 Sys'!E97&lt;Tmax, NOT('3 Sys'!$H97="")),'3 Sys'!$H97,4)</f>
        <v>4</v>
      </c>
      <c r="AH97">
        <f>IF(AND('3 Sys'!F97&lt;Tmax, NOT('3 Sys'!$H97="")),'3 Sys'!$H97,4)</f>
        <v>4</v>
      </c>
      <c r="AI97"/>
    </row>
    <row r="98" spans="1:35" s="213" customFormat="1" x14ac:dyDescent="0.25">
      <c r="A98" s="164" t="s">
        <v>7410</v>
      </c>
      <c r="B98" s="164" t="s">
        <v>7407</v>
      </c>
      <c r="C98" s="136"/>
      <c r="D98" s="136"/>
      <c r="E98" s="136"/>
      <c r="F98" s="136"/>
      <c r="G98" s="133">
        <v>4</v>
      </c>
      <c r="H98" s="133"/>
      <c r="I98" s="133"/>
      <c r="J98" s="133" t="s">
        <v>6895</v>
      </c>
      <c r="K98" s="225"/>
      <c r="L98" s="227"/>
      <c r="M98" s="227"/>
      <c r="N98" s="227"/>
      <c r="O98" s="227"/>
      <c r="P98" s="227"/>
      <c r="Q98" s="227"/>
      <c r="R98" s="227"/>
      <c r="S98" s="227"/>
      <c r="T98" s="227"/>
      <c r="U98" s="227"/>
      <c r="V98" s="227"/>
      <c r="W98" s="227"/>
      <c r="X98" s="227"/>
      <c r="Y98" s="227"/>
      <c r="AA98">
        <f>IF(AND('3 Sys'!C98&gt;Tmin, NOT('3 Sys'!$I98="")),'3 Sys'!$I98,0)</f>
        <v>0</v>
      </c>
      <c r="AB98">
        <f>IF(AND('3 Sys'!D98&gt;Tmin, NOT('3 Sys'!$I98="")),'3 Sys'!$I98,0)</f>
        <v>0</v>
      </c>
      <c r="AC98">
        <f>IF(AND('3 Sys'!E98&gt;Tmin, NOT('3 Sys'!$I98="")),'3 Sys'!$I98,0)</f>
        <v>0</v>
      </c>
      <c r="AD98">
        <f>IF(AND('3 Sys'!F98&gt;Tmin, NOT('3 Sys'!$I98="")),'3 Sys'!$I98,0)</f>
        <v>0</v>
      </c>
      <c r="AE98">
        <f>IF(AND('3 Sys'!C98&lt;Tmax, NOT('3 Sys'!$H98="")),'3 Sys'!$H98,4)</f>
        <v>4</v>
      </c>
      <c r="AF98">
        <f>IF(AND('3 Sys'!D98&lt;Tmax, NOT('3 Sys'!$H98="")),'3 Sys'!$H98,4)</f>
        <v>4</v>
      </c>
      <c r="AG98">
        <f>IF(AND('3 Sys'!E98&lt;Tmax, NOT('3 Sys'!$H98="")),'3 Sys'!$H98,4)</f>
        <v>4</v>
      </c>
      <c r="AH98">
        <f>IF(AND('3 Sys'!F98&lt;Tmax, NOT('3 Sys'!$H98="")),'3 Sys'!$H98,4)</f>
        <v>4</v>
      </c>
      <c r="AI98"/>
    </row>
    <row r="99" spans="1:35" s="213" customFormat="1" x14ac:dyDescent="0.25">
      <c r="A99" s="164" t="s">
        <v>917</v>
      </c>
      <c r="B99" s="164" t="s">
        <v>918</v>
      </c>
      <c r="C99" s="136"/>
      <c r="D99" s="136"/>
      <c r="E99" s="136"/>
      <c r="F99" s="136"/>
      <c r="G99" s="133"/>
      <c r="H99" s="133"/>
      <c r="I99" s="133"/>
      <c r="J99" s="133"/>
      <c r="K99" s="225"/>
      <c r="L99" s="227"/>
      <c r="M99" s="227"/>
      <c r="N99" s="227"/>
      <c r="O99" s="227"/>
      <c r="P99" s="227"/>
      <c r="Q99" s="227"/>
      <c r="R99" s="227"/>
      <c r="S99" s="227"/>
      <c r="T99" s="227"/>
      <c r="U99" s="227"/>
      <c r="V99" s="227"/>
      <c r="W99" s="227"/>
      <c r="X99" s="227"/>
      <c r="Y99" s="227"/>
      <c r="Z99" s="213">
        <v>0</v>
      </c>
      <c r="AA99"/>
      <c r="AB99"/>
      <c r="AC99"/>
      <c r="AD99"/>
      <c r="AE99"/>
      <c r="AF99"/>
      <c r="AG99"/>
      <c r="AH99"/>
      <c r="AI99"/>
    </row>
    <row r="100" spans="1:35" s="213" customFormat="1" x14ac:dyDescent="0.25">
      <c r="A100" s="164" t="s">
        <v>630</v>
      </c>
      <c r="B100" s="164" t="s">
        <v>379</v>
      </c>
      <c r="C100" s="136"/>
      <c r="D100" s="136"/>
      <c r="E100" s="136"/>
      <c r="F100" s="136"/>
      <c r="G100" s="133"/>
      <c r="H100" s="133"/>
      <c r="I100" s="133"/>
      <c r="J100" s="133"/>
      <c r="K100" s="225"/>
      <c r="L100" s="227"/>
      <c r="M100" s="227"/>
      <c r="N100" s="227"/>
      <c r="O100" s="227"/>
      <c r="P100" s="227"/>
      <c r="Q100" s="227"/>
      <c r="R100" s="227"/>
      <c r="S100" s="227"/>
      <c r="T100" s="227"/>
      <c r="U100" s="227"/>
      <c r="V100" s="227"/>
      <c r="W100" s="227"/>
      <c r="X100" s="227"/>
      <c r="Y100" s="227"/>
      <c r="Z100" s="213">
        <v>0</v>
      </c>
      <c r="AA100"/>
      <c r="AB100"/>
      <c r="AC100"/>
      <c r="AD100"/>
      <c r="AE100"/>
      <c r="AF100"/>
      <c r="AG100"/>
      <c r="AH100"/>
      <c r="AI100"/>
    </row>
    <row r="101" spans="1:35" ht="51" x14ac:dyDescent="0.25">
      <c r="A101" s="164" t="s">
        <v>919</v>
      </c>
      <c r="B101" s="164" t="s">
        <v>920</v>
      </c>
      <c r="C101" s="136"/>
      <c r="D101" s="136"/>
      <c r="E101" s="136"/>
      <c r="F101" s="136"/>
      <c r="G101" s="133">
        <v>4</v>
      </c>
      <c r="H101" s="133">
        <v>2</v>
      </c>
      <c r="I101" s="133"/>
      <c r="J101" s="133" t="s">
        <v>7115</v>
      </c>
      <c r="M101" s="128"/>
      <c r="AA101">
        <f>IF(AND('3 Sys'!C101&gt;Tmin, NOT('3 Sys'!$I101="")),'3 Sys'!$I101,0)</f>
        <v>0</v>
      </c>
      <c r="AB101">
        <f>IF(AND('3 Sys'!D101&gt;Tmin, NOT('3 Sys'!$I101="")),'3 Sys'!$I101,0)</f>
        <v>0</v>
      </c>
      <c r="AC101">
        <f>IF(AND('3 Sys'!E101&gt;Tmin, NOT('3 Sys'!$I101="")),'3 Sys'!$I101,0)</f>
        <v>0</v>
      </c>
      <c r="AD101">
        <f>IF(AND('3 Sys'!F101&gt;Tmin, NOT('3 Sys'!$I101="")),'3 Sys'!$I101,0)</f>
        <v>0</v>
      </c>
      <c r="AE101">
        <f>IF(AND('3 Sys'!C101&lt;Tmax, NOT('3 Sys'!$H101="")),'3 Sys'!$H101,4)</f>
        <v>2</v>
      </c>
      <c r="AF101">
        <f>IF(AND('3 Sys'!D101&lt;Tmax, NOT('3 Sys'!$H101="")),'3 Sys'!$H101,4)</f>
        <v>2</v>
      </c>
      <c r="AG101">
        <f>IF(AND('3 Sys'!E101&lt;Tmax, NOT('3 Sys'!$H101="")),'3 Sys'!$H101,4)</f>
        <v>2</v>
      </c>
      <c r="AH101">
        <f>IF(AND('3 Sys'!F101&lt;Tmax, NOT('3 Sys'!$H101="")),'3 Sys'!$H101,4)</f>
        <v>2</v>
      </c>
      <c r="AI101"/>
    </row>
    <row r="102" spans="1:35" s="213" customFormat="1" ht="20.399999999999999" x14ac:dyDescent="0.25">
      <c r="A102" s="164" t="s">
        <v>921</v>
      </c>
      <c r="B102" s="164" t="s">
        <v>922</v>
      </c>
      <c r="C102" s="136"/>
      <c r="D102" s="136"/>
      <c r="E102" s="136"/>
      <c r="F102" s="136"/>
      <c r="G102" s="133">
        <v>4</v>
      </c>
      <c r="H102" s="133">
        <v>2</v>
      </c>
      <c r="I102" s="133"/>
      <c r="J102" s="133" t="s">
        <v>7115</v>
      </c>
      <c r="K102" s="225"/>
      <c r="L102" s="227"/>
      <c r="M102" s="227"/>
      <c r="N102" s="227"/>
      <c r="O102" s="227"/>
      <c r="P102" s="227"/>
      <c r="Q102" s="227"/>
      <c r="R102" s="227"/>
      <c r="S102" s="227"/>
      <c r="T102" s="227"/>
      <c r="U102" s="227"/>
      <c r="V102" s="227"/>
      <c r="W102" s="227"/>
      <c r="X102" s="227"/>
      <c r="Y102" s="227"/>
      <c r="AA102">
        <f>IF(AND('3 Sys'!C102&gt;Tmin, NOT('3 Sys'!$I102="")),'3 Sys'!$I102,0)</f>
        <v>0</v>
      </c>
      <c r="AB102">
        <f>IF(AND('3 Sys'!D102&gt;Tmin, NOT('3 Sys'!$I102="")),'3 Sys'!$I102,0)</f>
        <v>0</v>
      </c>
      <c r="AC102">
        <f>IF(AND('3 Sys'!E102&gt;Tmin, NOT('3 Sys'!$I102="")),'3 Sys'!$I102,0)</f>
        <v>0</v>
      </c>
      <c r="AD102">
        <f>IF(AND('3 Sys'!F102&gt;Tmin, NOT('3 Sys'!$I102="")),'3 Sys'!$I102,0)</f>
        <v>0</v>
      </c>
      <c r="AE102">
        <f>IF(AND('3 Sys'!C102&lt;Tmax, NOT('3 Sys'!$H102="")),'3 Sys'!$H102,4)</f>
        <v>2</v>
      </c>
      <c r="AF102">
        <f>IF(AND('3 Sys'!D102&lt;Tmax, NOT('3 Sys'!$H102="")),'3 Sys'!$H102,4)</f>
        <v>2</v>
      </c>
      <c r="AG102">
        <f>IF(AND('3 Sys'!E102&lt;Tmax, NOT('3 Sys'!$H102="")),'3 Sys'!$H102,4)</f>
        <v>2</v>
      </c>
      <c r="AH102">
        <f>IF(AND('3 Sys'!F102&lt;Tmax, NOT('3 Sys'!$H102="")),'3 Sys'!$H102,4)</f>
        <v>2</v>
      </c>
      <c r="AI102"/>
    </row>
    <row r="103" spans="1:35" s="213" customFormat="1" ht="20.399999999999999" x14ac:dyDescent="0.25">
      <c r="A103" s="164" t="s">
        <v>923</v>
      </c>
      <c r="B103" s="164" t="s">
        <v>387</v>
      </c>
      <c r="C103" s="136"/>
      <c r="D103" s="136"/>
      <c r="E103" s="136"/>
      <c r="F103" s="136"/>
      <c r="G103" s="133">
        <v>4</v>
      </c>
      <c r="H103" s="133">
        <v>2</v>
      </c>
      <c r="I103" s="133"/>
      <c r="J103" s="133" t="s">
        <v>7115</v>
      </c>
      <c r="K103" s="225"/>
      <c r="L103" s="227"/>
      <c r="M103" s="227"/>
      <c r="N103" s="227"/>
      <c r="O103" s="227"/>
      <c r="P103" s="227"/>
      <c r="Q103" s="227"/>
      <c r="R103" s="227"/>
      <c r="S103" s="227"/>
      <c r="T103" s="227"/>
      <c r="U103" s="227"/>
      <c r="V103" s="227"/>
      <c r="W103" s="227"/>
      <c r="X103" s="227"/>
      <c r="Y103" s="227"/>
      <c r="Z103" s="213">
        <v>0</v>
      </c>
      <c r="AA103">
        <f>IF(AND('3 Sys'!C103&gt;Tmin, NOT('3 Sys'!$I103="")),'3 Sys'!$I103,0)</f>
        <v>0</v>
      </c>
      <c r="AB103">
        <f>IF(AND('3 Sys'!D103&gt;Tmin, NOT('3 Sys'!$I103="")),'3 Sys'!$I103,0)</f>
        <v>0</v>
      </c>
      <c r="AC103">
        <f>IF(AND('3 Sys'!E103&gt;Tmin, NOT('3 Sys'!$I103="")),'3 Sys'!$I103,0)</f>
        <v>0</v>
      </c>
      <c r="AD103">
        <f>IF(AND('3 Sys'!F103&gt;Tmin, NOT('3 Sys'!$I103="")),'3 Sys'!$I103,0)</f>
        <v>0</v>
      </c>
      <c r="AE103">
        <f>IF(AND('3 Sys'!C103&lt;Tmax, NOT('3 Sys'!$H103="")),'3 Sys'!$H103,4)</f>
        <v>2</v>
      </c>
      <c r="AF103">
        <f>IF(AND('3 Sys'!D103&lt;Tmax, NOT('3 Sys'!$H103="")),'3 Sys'!$H103,4)</f>
        <v>2</v>
      </c>
      <c r="AG103">
        <f>IF(AND('3 Sys'!E103&lt;Tmax, NOT('3 Sys'!$H103="")),'3 Sys'!$H103,4)</f>
        <v>2</v>
      </c>
      <c r="AH103">
        <f>IF(AND('3 Sys'!F103&lt;Tmax, NOT('3 Sys'!$H103="")),'3 Sys'!$H103,4)</f>
        <v>2</v>
      </c>
      <c r="AI103"/>
    </row>
    <row r="104" spans="1:35" s="213" customFormat="1" ht="20.399999999999999" x14ac:dyDescent="0.25">
      <c r="A104" s="164" t="s">
        <v>924</v>
      </c>
      <c r="B104" s="164" t="s">
        <v>7246</v>
      </c>
      <c r="C104" s="136"/>
      <c r="D104" s="136"/>
      <c r="E104" s="136"/>
      <c r="F104" s="136"/>
      <c r="G104" s="133">
        <v>4</v>
      </c>
      <c r="H104" s="133"/>
      <c r="I104" s="133"/>
      <c r="J104" s="133" t="s">
        <v>7115</v>
      </c>
      <c r="K104" s="225"/>
      <c r="L104" s="227"/>
      <c r="M104" s="227"/>
      <c r="N104" s="227"/>
      <c r="O104" s="227"/>
      <c r="P104" s="227"/>
      <c r="Q104" s="227"/>
      <c r="R104" s="227"/>
      <c r="S104" s="227"/>
      <c r="T104" s="227"/>
      <c r="U104" s="227"/>
      <c r="V104" s="227"/>
      <c r="W104" s="227"/>
      <c r="X104" s="227"/>
      <c r="Y104" s="227"/>
      <c r="Z104" s="213">
        <v>0</v>
      </c>
      <c r="AA104">
        <f>IF(AND('3 Sys'!C104&gt;Tmin, NOT('3 Sys'!$I104="")),'3 Sys'!$I104,0)</f>
        <v>0</v>
      </c>
      <c r="AB104">
        <f>IF(AND('3 Sys'!D104&gt;Tmin, NOT('3 Sys'!$I104="")),'3 Sys'!$I104,0)</f>
        <v>0</v>
      </c>
      <c r="AC104">
        <f>IF(AND('3 Sys'!E104&gt;Tmin, NOT('3 Sys'!$I104="")),'3 Sys'!$I104,0)</f>
        <v>0</v>
      </c>
      <c r="AD104">
        <f>IF(AND('3 Sys'!F104&gt;Tmin, NOT('3 Sys'!$I104="")),'3 Sys'!$I104,0)</f>
        <v>0</v>
      </c>
      <c r="AE104">
        <f>IF(AND('3 Sys'!C104&lt;Tmax, NOT('3 Sys'!$H104="")),'3 Sys'!$H104,4)</f>
        <v>4</v>
      </c>
      <c r="AF104">
        <f>IF(AND('3 Sys'!D104&lt;Tmax, NOT('3 Sys'!$H104="")),'3 Sys'!$H104,4)</f>
        <v>4</v>
      </c>
      <c r="AG104">
        <f>IF(AND('3 Sys'!E104&lt;Tmax, NOT('3 Sys'!$H104="")),'3 Sys'!$H104,4)</f>
        <v>4</v>
      </c>
      <c r="AH104">
        <f>IF(AND('3 Sys'!F104&lt;Tmax, NOT('3 Sys'!$H104="")),'3 Sys'!$H104,4)</f>
        <v>4</v>
      </c>
      <c r="AI104"/>
    </row>
    <row r="105" spans="1:35" s="213" customFormat="1" ht="51" x14ac:dyDescent="0.25">
      <c r="A105" s="164" t="s">
        <v>925</v>
      </c>
      <c r="B105" s="164" t="s">
        <v>2308</v>
      </c>
      <c r="C105" s="136"/>
      <c r="D105" s="136"/>
      <c r="E105" s="136"/>
      <c r="F105" s="136"/>
      <c r="G105" s="133">
        <v>4</v>
      </c>
      <c r="H105" s="133">
        <v>2</v>
      </c>
      <c r="I105" s="133"/>
      <c r="J105" s="133"/>
      <c r="K105" s="225"/>
      <c r="L105" s="227"/>
      <c r="M105" s="227"/>
      <c r="N105" s="227"/>
      <c r="O105" s="227"/>
      <c r="P105" s="227"/>
      <c r="Q105" s="227"/>
      <c r="R105" s="227"/>
      <c r="S105" s="227"/>
      <c r="T105" s="227"/>
      <c r="U105" s="227"/>
      <c r="V105" s="227"/>
      <c r="W105" s="227"/>
      <c r="X105" s="227"/>
      <c r="Y105" s="227"/>
      <c r="AA105">
        <f>IF(AND('3 Sys'!C105&gt;Tmin, NOT('3 Sys'!$I105="")),'3 Sys'!$I105,0)</f>
        <v>0</v>
      </c>
      <c r="AB105">
        <f>IF(AND('3 Sys'!D105&gt;Tmin, NOT('3 Sys'!$I105="")),'3 Sys'!$I105,0)</f>
        <v>0</v>
      </c>
      <c r="AC105">
        <f>IF(AND('3 Sys'!E105&gt;Tmin, NOT('3 Sys'!$I105="")),'3 Sys'!$I105,0)</f>
        <v>0</v>
      </c>
      <c r="AD105">
        <f>IF(AND('3 Sys'!F105&gt;Tmin, NOT('3 Sys'!$I105="")),'3 Sys'!$I105,0)</f>
        <v>0</v>
      </c>
      <c r="AE105">
        <f>IF(AND('3 Sys'!C105&lt;Tmax, NOT('3 Sys'!$H105="")),'3 Sys'!$H105,4)</f>
        <v>2</v>
      </c>
      <c r="AF105">
        <f>IF(AND('3 Sys'!D105&lt;Tmax, NOT('3 Sys'!$H105="")),'3 Sys'!$H105,4)</f>
        <v>2</v>
      </c>
      <c r="AG105">
        <f>IF(AND('3 Sys'!E105&lt;Tmax, NOT('3 Sys'!$H105="")),'3 Sys'!$H105,4)</f>
        <v>2</v>
      </c>
      <c r="AH105">
        <f>IF(AND('3 Sys'!F105&lt;Tmax, NOT('3 Sys'!$H105="")),'3 Sys'!$H105,4)</f>
        <v>2</v>
      </c>
      <c r="AI105"/>
    </row>
    <row r="106" spans="1:35" s="213" customFormat="1" ht="30.6" x14ac:dyDescent="0.25">
      <c r="A106" s="164" t="s">
        <v>926</v>
      </c>
      <c r="B106" s="164" t="s">
        <v>473</v>
      </c>
      <c r="C106" s="136"/>
      <c r="D106" s="136"/>
      <c r="E106" s="136"/>
      <c r="F106" s="136"/>
      <c r="G106" s="133">
        <v>2</v>
      </c>
      <c r="H106" s="133"/>
      <c r="I106" s="133"/>
      <c r="J106" s="133"/>
      <c r="K106" s="225"/>
      <c r="L106" s="227"/>
      <c r="M106" s="227"/>
      <c r="N106" s="227"/>
      <c r="O106" s="227"/>
      <c r="P106" s="227"/>
      <c r="Q106" s="227"/>
      <c r="R106" s="227"/>
      <c r="S106" s="227"/>
      <c r="T106" s="227"/>
      <c r="U106" s="227"/>
      <c r="V106" s="227"/>
      <c r="W106" s="227"/>
      <c r="X106" s="227"/>
      <c r="Y106" s="227"/>
      <c r="Z106" s="213">
        <v>0</v>
      </c>
      <c r="AA106">
        <f>IF(AND('3 Sys'!C106&gt;Tmin, NOT('3 Sys'!$I106="")),'3 Sys'!$I106,0)</f>
        <v>0</v>
      </c>
      <c r="AB106">
        <f>IF(AND('3 Sys'!D106&gt;Tmin, NOT('3 Sys'!$I106="")),'3 Sys'!$I106,0)</f>
        <v>0</v>
      </c>
      <c r="AC106">
        <f>IF(AND('3 Sys'!E106&gt;Tmin, NOT('3 Sys'!$I106="")),'3 Sys'!$I106,0)</f>
        <v>0</v>
      </c>
      <c r="AD106">
        <f>IF(AND('3 Sys'!F106&gt;Tmin, NOT('3 Sys'!$I106="")),'3 Sys'!$I106,0)</f>
        <v>0</v>
      </c>
      <c r="AE106">
        <f>IF(AND('3 Sys'!C106&lt;Tmax, NOT('3 Sys'!$H106="")),'3 Sys'!$H106,4)</f>
        <v>4</v>
      </c>
      <c r="AF106">
        <f>IF(AND('3 Sys'!D106&lt;Tmax, NOT('3 Sys'!$H106="")),'3 Sys'!$H106,4)</f>
        <v>4</v>
      </c>
      <c r="AG106">
        <f>IF(AND('3 Sys'!E106&lt;Tmax, NOT('3 Sys'!$H106="")),'3 Sys'!$H106,4)</f>
        <v>4</v>
      </c>
      <c r="AH106">
        <f>IF(AND('3 Sys'!F106&lt;Tmax, NOT('3 Sys'!$H106="")),'3 Sys'!$H106,4)</f>
        <v>4</v>
      </c>
      <c r="AI106"/>
    </row>
    <row r="107" spans="1:35" s="213" customFormat="1" ht="30.6" x14ac:dyDescent="0.25">
      <c r="A107" s="164" t="s">
        <v>927</v>
      </c>
      <c r="B107" s="164" t="s">
        <v>25</v>
      </c>
      <c r="C107" s="136"/>
      <c r="D107" s="136"/>
      <c r="E107" s="136"/>
      <c r="F107" s="136"/>
      <c r="G107" s="133">
        <v>2</v>
      </c>
      <c r="H107" s="133"/>
      <c r="I107" s="133"/>
      <c r="J107" s="133"/>
      <c r="K107" s="225"/>
      <c r="L107" s="227"/>
      <c r="M107" s="227"/>
      <c r="N107" s="227"/>
      <c r="O107" s="227"/>
      <c r="P107" s="227"/>
      <c r="Q107" s="227"/>
      <c r="R107" s="227"/>
      <c r="S107" s="227"/>
      <c r="T107" s="227"/>
      <c r="U107" s="227"/>
      <c r="V107" s="227"/>
      <c r="W107" s="227"/>
      <c r="X107" s="227"/>
      <c r="Y107" s="227"/>
      <c r="Z107" s="213">
        <v>0</v>
      </c>
      <c r="AA107">
        <f>IF(AND('3 Sys'!C107&gt;Tmin, NOT('3 Sys'!$I107="")),'3 Sys'!$I107,0)</f>
        <v>0</v>
      </c>
      <c r="AB107">
        <f>IF(AND('3 Sys'!D107&gt;Tmin, NOT('3 Sys'!$I107="")),'3 Sys'!$I107,0)</f>
        <v>0</v>
      </c>
      <c r="AC107">
        <f>IF(AND('3 Sys'!E107&gt;Tmin, NOT('3 Sys'!$I107="")),'3 Sys'!$I107,0)</f>
        <v>0</v>
      </c>
      <c r="AD107">
        <f>IF(AND('3 Sys'!F107&gt;Tmin, NOT('3 Sys'!$I107="")),'3 Sys'!$I107,0)</f>
        <v>0</v>
      </c>
      <c r="AE107">
        <f>IF(AND('3 Sys'!C107&lt;Tmax, NOT('3 Sys'!$H107="")),'3 Sys'!$H107,4)</f>
        <v>4</v>
      </c>
      <c r="AF107">
        <f>IF(AND('3 Sys'!D107&lt;Tmax, NOT('3 Sys'!$H107="")),'3 Sys'!$H107,4)</f>
        <v>4</v>
      </c>
      <c r="AG107">
        <f>IF(AND('3 Sys'!E107&lt;Tmax, NOT('3 Sys'!$H107="")),'3 Sys'!$H107,4)</f>
        <v>4</v>
      </c>
      <c r="AH107">
        <f>IF(AND('3 Sys'!F107&lt;Tmax, NOT('3 Sys'!$H107="")),'3 Sys'!$H107,4)</f>
        <v>4</v>
      </c>
      <c r="AI107"/>
    </row>
    <row r="108" spans="1:35" ht="20.399999999999999" x14ac:dyDescent="0.25">
      <c r="A108" s="164" t="s">
        <v>7247</v>
      </c>
      <c r="B108" s="164" t="s">
        <v>361</v>
      </c>
      <c r="C108" s="136"/>
      <c r="D108" s="136"/>
      <c r="E108" s="136"/>
      <c r="F108" s="136"/>
      <c r="G108" s="133">
        <v>2</v>
      </c>
      <c r="H108" s="133">
        <v>3</v>
      </c>
      <c r="I108" s="133"/>
      <c r="AA108">
        <f>IF(AND('3 Sys'!C108&gt;Tmin, NOT('3 Sys'!$I108="")),'3 Sys'!$I108,0)</f>
        <v>0</v>
      </c>
      <c r="AB108">
        <f>IF(AND('3 Sys'!D108&gt;Tmin, NOT('3 Sys'!$I108="")),'3 Sys'!$I108,0)</f>
        <v>0</v>
      </c>
      <c r="AC108">
        <f>IF(AND('3 Sys'!E108&gt;Tmin, NOT('3 Sys'!$I108="")),'3 Sys'!$I108,0)</f>
        <v>0</v>
      </c>
      <c r="AD108">
        <f>IF(AND('3 Sys'!F108&gt;Tmin, NOT('3 Sys'!$I108="")),'3 Sys'!$I108,0)</f>
        <v>0</v>
      </c>
      <c r="AE108">
        <f>IF(AND('3 Sys'!C108&lt;Tmax, NOT('3 Sys'!$H108="")),'3 Sys'!$H108,4)</f>
        <v>3</v>
      </c>
      <c r="AF108">
        <f>IF(AND('3 Sys'!D108&lt;Tmax, NOT('3 Sys'!$H108="")),'3 Sys'!$H108,4)</f>
        <v>3</v>
      </c>
      <c r="AG108">
        <f>IF(AND('3 Sys'!E108&lt;Tmax, NOT('3 Sys'!$H108="")),'3 Sys'!$H108,4)</f>
        <v>3</v>
      </c>
      <c r="AH108">
        <f>IF(AND('3 Sys'!F108&lt;Tmax, NOT('3 Sys'!$H108="")),'3 Sys'!$H108,4)</f>
        <v>3</v>
      </c>
      <c r="AI108"/>
    </row>
    <row r="109" spans="1:35" s="213" customFormat="1" x14ac:dyDescent="0.25">
      <c r="A109" s="164" t="s">
        <v>928</v>
      </c>
      <c r="B109" s="164" t="s">
        <v>929</v>
      </c>
      <c r="C109" s="136"/>
      <c r="D109" s="136"/>
      <c r="E109" s="136"/>
      <c r="F109" s="136"/>
      <c r="G109" s="133"/>
      <c r="H109" s="133"/>
      <c r="I109" s="133"/>
      <c r="J109" s="133"/>
      <c r="K109" s="225"/>
      <c r="L109" s="227"/>
      <c r="M109" s="227"/>
      <c r="N109" s="227"/>
      <c r="O109" s="227"/>
      <c r="P109" s="227"/>
      <c r="Q109" s="227"/>
      <c r="R109" s="227"/>
      <c r="S109" s="227"/>
      <c r="T109" s="227"/>
      <c r="U109" s="227"/>
      <c r="V109" s="227"/>
      <c r="W109" s="227"/>
      <c r="X109" s="227"/>
      <c r="Y109" s="227"/>
      <c r="AA109"/>
      <c r="AB109"/>
      <c r="AC109"/>
      <c r="AD109"/>
      <c r="AE109"/>
      <c r="AF109"/>
      <c r="AG109"/>
      <c r="AH109"/>
      <c r="AI109"/>
    </row>
    <row r="110" spans="1:35" s="213" customFormat="1" x14ac:dyDescent="0.25">
      <c r="A110" s="164" t="s">
        <v>734</v>
      </c>
      <c r="B110" s="164" t="s">
        <v>2335</v>
      </c>
      <c r="C110" s="136"/>
      <c r="D110" s="136"/>
      <c r="E110" s="136"/>
      <c r="F110" s="136"/>
      <c r="G110" s="133"/>
      <c r="H110" s="133"/>
      <c r="I110" s="133"/>
      <c r="J110" s="133"/>
      <c r="K110" s="225"/>
      <c r="L110" s="227"/>
      <c r="M110" s="227"/>
      <c r="N110" s="227"/>
      <c r="O110" s="227"/>
      <c r="P110" s="227"/>
      <c r="Q110" s="227"/>
      <c r="R110" s="227"/>
      <c r="S110" s="227"/>
      <c r="T110" s="227"/>
      <c r="U110" s="227"/>
      <c r="V110" s="227"/>
      <c r="W110" s="227"/>
      <c r="X110" s="227"/>
      <c r="Y110" s="227"/>
      <c r="AA110"/>
      <c r="AB110"/>
      <c r="AC110"/>
      <c r="AD110"/>
      <c r="AE110"/>
      <c r="AF110"/>
      <c r="AG110"/>
      <c r="AH110"/>
      <c r="AI110"/>
    </row>
    <row r="111" spans="1:35" s="213" customFormat="1" ht="20.399999999999999" x14ac:dyDescent="0.25">
      <c r="A111" s="164" t="s">
        <v>1602</v>
      </c>
      <c r="B111" s="164" t="s">
        <v>2309</v>
      </c>
      <c r="C111" s="136"/>
      <c r="D111" s="136"/>
      <c r="E111" s="136"/>
      <c r="F111" s="136"/>
      <c r="G111" s="133">
        <v>4</v>
      </c>
      <c r="H111" s="133">
        <v>2</v>
      </c>
      <c r="I111" s="133"/>
      <c r="J111" s="133"/>
      <c r="K111" s="225"/>
      <c r="L111" s="227"/>
      <c r="M111" s="227"/>
      <c r="N111" s="227"/>
      <c r="O111" s="227"/>
      <c r="P111" s="227"/>
      <c r="Q111" s="227"/>
      <c r="R111" s="227"/>
      <c r="S111" s="227"/>
      <c r="T111" s="227"/>
      <c r="U111" s="227"/>
      <c r="V111" s="227"/>
      <c r="W111" s="227"/>
      <c r="X111" s="227"/>
      <c r="Y111" s="227"/>
      <c r="AA111">
        <f>IF(AND('3 Sys'!C111&gt;Tmin, NOT('3 Sys'!$I111="")),'3 Sys'!$I111,0)</f>
        <v>0</v>
      </c>
      <c r="AB111">
        <f>IF(AND('3 Sys'!D111&gt;Tmin, NOT('3 Sys'!$I111="")),'3 Sys'!$I111,0)</f>
        <v>0</v>
      </c>
      <c r="AC111">
        <f>IF(AND('3 Sys'!E111&gt;Tmin, NOT('3 Sys'!$I111="")),'3 Sys'!$I111,0)</f>
        <v>0</v>
      </c>
      <c r="AD111">
        <f>IF(AND('3 Sys'!F111&gt;Tmin, NOT('3 Sys'!$I111="")),'3 Sys'!$I111,0)</f>
        <v>0</v>
      </c>
      <c r="AE111">
        <f>IF(AND('3 Sys'!C111&lt;Tmax, NOT('3 Sys'!$H111="")),'3 Sys'!$H111,4)</f>
        <v>2</v>
      </c>
      <c r="AF111">
        <f>IF(AND('3 Sys'!D111&lt;Tmax, NOT('3 Sys'!$H111="")),'3 Sys'!$H111,4)</f>
        <v>2</v>
      </c>
      <c r="AG111">
        <f>IF(AND('3 Sys'!E111&lt;Tmax, NOT('3 Sys'!$H111="")),'3 Sys'!$H111,4)</f>
        <v>2</v>
      </c>
      <c r="AH111">
        <f>IF(AND('3 Sys'!F111&lt;Tmax, NOT('3 Sys'!$H111="")),'3 Sys'!$H111,4)</f>
        <v>2</v>
      </c>
      <c r="AI111"/>
    </row>
    <row r="112" spans="1:35" s="213" customFormat="1" ht="20.399999999999999" x14ac:dyDescent="0.25">
      <c r="A112" s="164" t="s">
        <v>1603</v>
      </c>
      <c r="B112" s="164" t="s">
        <v>1601</v>
      </c>
      <c r="C112" s="136"/>
      <c r="D112" s="136"/>
      <c r="E112" s="136"/>
      <c r="F112" s="136"/>
      <c r="G112" s="133">
        <v>4</v>
      </c>
      <c r="H112" s="133">
        <v>2</v>
      </c>
      <c r="I112" s="133"/>
      <c r="J112" s="133"/>
      <c r="K112" s="225"/>
      <c r="L112" s="227"/>
      <c r="M112" s="227"/>
      <c r="N112" s="227"/>
      <c r="O112" s="227"/>
      <c r="P112" s="227"/>
      <c r="Q112" s="227"/>
      <c r="R112" s="227"/>
      <c r="S112" s="227"/>
      <c r="T112" s="227"/>
      <c r="U112" s="227"/>
      <c r="V112" s="227"/>
      <c r="W112" s="227"/>
      <c r="X112" s="227"/>
      <c r="Y112" s="227"/>
      <c r="AA112">
        <f>IF(AND('3 Sys'!C112&gt;Tmin, NOT('3 Sys'!$I112="")),'3 Sys'!$I112,0)</f>
        <v>0</v>
      </c>
      <c r="AB112">
        <f>IF(AND('3 Sys'!D112&gt;Tmin, NOT('3 Sys'!$I112="")),'3 Sys'!$I112,0)</f>
        <v>0</v>
      </c>
      <c r="AC112">
        <f>IF(AND('3 Sys'!E112&gt;Tmin, NOT('3 Sys'!$I112="")),'3 Sys'!$I112,0)</f>
        <v>0</v>
      </c>
      <c r="AD112">
        <f>IF(AND('3 Sys'!F112&gt;Tmin, NOT('3 Sys'!$I112="")),'3 Sys'!$I112,0)</f>
        <v>0</v>
      </c>
      <c r="AE112">
        <f>IF(AND('3 Sys'!C112&lt;Tmax, NOT('3 Sys'!$H112="")),'3 Sys'!$H112,4)</f>
        <v>2</v>
      </c>
      <c r="AF112">
        <f>IF(AND('3 Sys'!D112&lt;Tmax, NOT('3 Sys'!$H112="")),'3 Sys'!$H112,4)</f>
        <v>2</v>
      </c>
      <c r="AG112">
        <f>IF(AND('3 Sys'!E112&lt;Tmax, NOT('3 Sys'!$H112="")),'3 Sys'!$H112,4)</f>
        <v>2</v>
      </c>
      <c r="AH112">
        <f>IF(AND('3 Sys'!F112&lt;Tmax, NOT('3 Sys'!$H112="")),'3 Sys'!$H112,4)</f>
        <v>2</v>
      </c>
      <c r="AI112"/>
    </row>
    <row r="113" spans="1:35" s="213" customFormat="1" x14ac:dyDescent="0.25">
      <c r="A113" s="164" t="s">
        <v>1604</v>
      </c>
      <c r="B113" s="164" t="s">
        <v>4522</v>
      </c>
      <c r="C113" s="136"/>
      <c r="D113" s="136"/>
      <c r="E113" s="136"/>
      <c r="F113" s="136"/>
      <c r="G113" s="133">
        <v>4</v>
      </c>
      <c r="H113" s="133"/>
      <c r="I113" s="133"/>
      <c r="J113" s="133"/>
      <c r="K113" s="225"/>
      <c r="L113" s="227"/>
      <c r="M113" s="227"/>
      <c r="N113" s="227"/>
      <c r="O113" s="227"/>
      <c r="P113" s="227"/>
      <c r="Q113" s="227"/>
      <c r="R113" s="227"/>
      <c r="S113" s="227"/>
      <c r="T113" s="227"/>
      <c r="U113" s="227"/>
      <c r="V113" s="227"/>
      <c r="W113" s="227"/>
      <c r="X113" s="227"/>
      <c r="Y113" s="227"/>
      <c r="AA113">
        <f>IF(AND('3 Sys'!C113&gt;Tmin, NOT('3 Sys'!$I113="")),'3 Sys'!$I113,0)</f>
        <v>0</v>
      </c>
      <c r="AB113">
        <f>IF(AND('3 Sys'!D113&gt;Tmin, NOT('3 Sys'!$I113="")),'3 Sys'!$I113,0)</f>
        <v>0</v>
      </c>
      <c r="AC113">
        <f>IF(AND('3 Sys'!E113&gt;Tmin, NOT('3 Sys'!$I113="")),'3 Sys'!$I113,0)</f>
        <v>0</v>
      </c>
      <c r="AD113">
        <f>IF(AND('3 Sys'!F113&gt;Tmin, NOT('3 Sys'!$I113="")),'3 Sys'!$I113,0)</f>
        <v>0</v>
      </c>
      <c r="AE113">
        <f>IF(AND('3 Sys'!C113&lt;Tmax, NOT('3 Sys'!$H113="")),'3 Sys'!$H113,4)</f>
        <v>4</v>
      </c>
      <c r="AF113">
        <f>IF(AND('3 Sys'!D113&lt;Tmax, NOT('3 Sys'!$H113="")),'3 Sys'!$H113,4)</f>
        <v>4</v>
      </c>
      <c r="AG113">
        <f>IF(AND('3 Sys'!E113&lt;Tmax, NOT('3 Sys'!$H113="")),'3 Sys'!$H113,4)</f>
        <v>4</v>
      </c>
      <c r="AH113">
        <f>IF(AND('3 Sys'!F113&lt;Tmax, NOT('3 Sys'!$H113="")),'3 Sys'!$H113,4)</f>
        <v>4</v>
      </c>
      <c r="AI113"/>
    </row>
    <row r="114" spans="1:35" s="213" customFormat="1" ht="51" x14ac:dyDescent="0.25">
      <c r="A114" s="164" t="s">
        <v>1605</v>
      </c>
      <c r="B114" s="164" t="s">
        <v>2308</v>
      </c>
      <c r="C114" s="136"/>
      <c r="D114" s="136"/>
      <c r="E114" s="136"/>
      <c r="F114" s="136"/>
      <c r="G114" s="133">
        <v>4</v>
      </c>
      <c r="H114" s="133">
        <v>2</v>
      </c>
      <c r="I114" s="133"/>
      <c r="J114" s="133"/>
      <c r="K114" s="225"/>
      <c r="L114" s="227"/>
      <c r="M114" s="227"/>
      <c r="N114" s="227"/>
      <c r="O114" s="227"/>
      <c r="P114" s="227"/>
      <c r="Q114" s="227"/>
      <c r="R114" s="227"/>
      <c r="S114" s="227"/>
      <c r="T114" s="227"/>
      <c r="U114" s="227"/>
      <c r="V114" s="227"/>
      <c r="W114" s="227"/>
      <c r="X114" s="227"/>
      <c r="Y114" s="227"/>
      <c r="AA114">
        <f>IF(AND('3 Sys'!C114&gt;Tmin, NOT('3 Sys'!$I114="")),'3 Sys'!$I114,0)</f>
        <v>0</v>
      </c>
      <c r="AB114">
        <f>IF(AND('3 Sys'!D114&gt;Tmin, NOT('3 Sys'!$I114="")),'3 Sys'!$I114,0)</f>
        <v>0</v>
      </c>
      <c r="AC114">
        <f>IF(AND('3 Sys'!E114&gt;Tmin, NOT('3 Sys'!$I114="")),'3 Sys'!$I114,0)</f>
        <v>0</v>
      </c>
      <c r="AD114">
        <f>IF(AND('3 Sys'!F114&gt;Tmin, NOT('3 Sys'!$I114="")),'3 Sys'!$I114,0)</f>
        <v>0</v>
      </c>
      <c r="AE114">
        <f>IF(AND('3 Sys'!C114&lt;Tmax, NOT('3 Sys'!$H114="")),'3 Sys'!$H114,4)</f>
        <v>2</v>
      </c>
      <c r="AF114">
        <f>IF(AND('3 Sys'!D114&lt;Tmax, NOT('3 Sys'!$H114="")),'3 Sys'!$H114,4)</f>
        <v>2</v>
      </c>
      <c r="AG114">
        <f>IF(AND('3 Sys'!E114&lt;Tmax, NOT('3 Sys'!$H114="")),'3 Sys'!$H114,4)</f>
        <v>2</v>
      </c>
      <c r="AH114">
        <f>IF(AND('3 Sys'!F114&lt;Tmax, NOT('3 Sys'!$H114="")),'3 Sys'!$H114,4)</f>
        <v>2</v>
      </c>
      <c r="AI114"/>
    </row>
    <row r="115" spans="1:35" s="213" customFormat="1" ht="20.399999999999999" x14ac:dyDescent="0.25">
      <c r="A115" s="164" t="s">
        <v>4521</v>
      </c>
      <c r="B115" s="164" t="s">
        <v>361</v>
      </c>
      <c r="C115" s="136"/>
      <c r="D115" s="136"/>
      <c r="E115" s="136"/>
      <c r="F115" s="136"/>
      <c r="G115" s="133">
        <v>2</v>
      </c>
      <c r="H115" s="133">
        <v>3</v>
      </c>
      <c r="I115" s="133"/>
      <c r="J115" s="133"/>
      <c r="K115" s="225"/>
      <c r="L115" s="227"/>
      <c r="M115" s="227"/>
      <c r="N115" s="227"/>
      <c r="O115" s="227"/>
      <c r="P115" s="227"/>
      <c r="Q115" s="227"/>
      <c r="R115" s="227"/>
      <c r="S115" s="227"/>
      <c r="T115" s="227"/>
      <c r="U115" s="227"/>
      <c r="V115" s="227"/>
      <c r="W115" s="227"/>
      <c r="X115" s="227"/>
      <c r="Y115" s="227"/>
      <c r="AA115">
        <f>IF(AND('3 Sys'!C115&gt;Tmin, NOT('3 Sys'!$I115="")),'3 Sys'!$I115,0)</f>
        <v>0</v>
      </c>
      <c r="AB115">
        <f>IF(AND('3 Sys'!D115&gt;Tmin, NOT('3 Sys'!$I115="")),'3 Sys'!$I115,0)</f>
        <v>0</v>
      </c>
      <c r="AC115">
        <f>IF(AND('3 Sys'!E115&gt;Tmin, NOT('3 Sys'!$I115="")),'3 Sys'!$I115,0)</f>
        <v>0</v>
      </c>
      <c r="AD115">
        <f>IF(AND('3 Sys'!F115&gt;Tmin, NOT('3 Sys'!$I115="")),'3 Sys'!$I115,0)</f>
        <v>0</v>
      </c>
      <c r="AE115">
        <f>IF(AND('3 Sys'!C115&lt;Tmax, NOT('3 Sys'!$H115="")),'3 Sys'!$H115,4)</f>
        <v>3</v>
      </c>
      <c r="AF115">
        <f>IF(AND('3 Sys'!D115&lt;Tmax, NOT('3 Sys'!$H115="")),'3 Sys'!$H115,4)</f>
        <v>3</v>
      </c>
      <c r="AG115">
        <f>IF(AND('3 Sys'!E115&lt;Tmax, NOT('3 Sys'!$H115="")),'3 Sys'!$H115,4)</f>
        <v>3</v>
      </c>
      <c r="AH115">
        <f>IF(AND('3 Sys'!F115&lt;Tmax, NOT('3 Sys'!$H115="")),'3 Sys'!$H115,4)</f>
        <v>3</v>
      </c>
      <c r="AI115"/>
    </row>
    <row r="116" spans="1:35" s="213" customFormat="1" x14ac:dyDescent="0.25">
      <c r="A116" s="164"/>
      <c r="B116" s="128"/>
      <c r="C116" s="243"/>
      <c r="D116" s="243"/>
      <c r="E116" s="1052"/>
      <c r="F116" s="1052"/>
      <c r="G116" s="133"/>
      <c r="H116" s="133"/>
      <c r="I116" s="133"/>
      <c r="J116" s="133"/>
      <c r="K116" s="225"/>
      <c r="L116" s="227"/>
      <c r="M116" s="227"/>
      <c r="N116" s="227"/>
      <c r="O116" s="227"/>
      <c r="P116" s="227"/>
      <c r="Q116" s="227"/>
      <c r="R116" s="227"/>
      <c r="S116" s="227"/>
      <c r="T116" s="227"/>
      <c r="U116" s="227"/>
      <c r="V116" s="227"/>
      <c r="W116" s="227"/>
      <c r="X116" s="227"/>
      <c r="Y116" s="227"/>
      <c r="AA116"/>
      <c r="AB116"/>
      <c r="AC116"/>
      <c r="AD116"/>
      <c r="AE116"/>
      <c r="AF116"/>
      <c r="AG116"/>
      <c r="AH116"/>
      <c r="AI116"/>
    </row>
    <row r="117" spans="1:35" s="213" customFormat="1" x14ac:dyDescent="0.25">
      <c r="A117" s="164"/>
      <c r="B117" s="128"/>
      <c r="C117" s="243"/>
      <c r="D117" s="243"/>
      <c r="E117" s="1052"/>
      <c r="F117" s="1052"/>
      <c r="G117" s="133"/>
      <c r="H117" s="133"/>
      <c r="I117" s="133"/>
      <c r="J117" s="133"/>
      <c r="K117" s="225"/>
      <c r="L117" s="227"/>
      <c r="M117" s="227"/>
      <c r="N117" s="227"/>
      <c r="O117" s="227"/>
      <c r="P117" s="227"/>
      <c r="Q117" s="227"/>
      <c r="R117" s="227"/>
      <c r="S117" s="227"/>
      <c r="T117" s="227"/>
      <c r="U117" s="227"/>
      <c r="V117" s="227"/>
      <c r="W117" s="227"/>
      <c r="X117" s="227"/>
      <c r="Y117" s="227"/>
      <c r="AA117"/>
      <c r="AB117"/>
      <c r="AC117"/>
      <c r="AD117"/>
      <c r="AE117"/>
      <c r="AF117"/>
      <c r="AG117"/>
      <c r="AH117"/>
      <c r="AI117"/>
    </row>
    <row r="118" spans="1:35" s="213" customFormat="1" x14ac:dyDescent="0.25">
      <c r="A118" s="164"/>
      <c r="B118" s="128"/>
      <c r="C118" s="243"/>
      <c r="D118" s="243"/>
      <c r="E118" s="1052"/>
      <c r="F118" s="1052"/>
      <c r="G118" s="133"/>
      <c r="H118" s="133"/>
      <c r="I118" s="133"/>
      <c r="J118" s="133"/>
      <c r="K118" s="225"/>
      <c r="L118" s="227"/>
      <c r="M118" s="227"/>
      <c r="N118" s="227"/>
      <c r="O118" s="227"/>
      <c r="P118" s="227"/>
      <c r="Q118" s="227"/>
      <c r="R118" s="227"/>
      <c r="S118" s="227"/>
      <c r="T118" s="227"/>
      <c r="U118" s="227"/>
      <c r="V118" s="227"/>
      <c r="W118" s="227"/>
      <c r="X118" s="227"/>
      <c r="Y118" s="227"/>
      <c r="AA118"/>
      <c r="AB118"/>
      <c r="AC118"/>
      <c r="AD118"/>
      <c r="AE118"/>
      <c r="AF118"/>
      <c r="AG118"/>
      <c r="AH118"/>
      <c r="AI118"/>
    </row>
    <row r="119" spans="1:35" s="213" customFormat="1" x14ac:dyDescent="0.25">
      <c r="A119" s="164"/>
      <c r="B119" s="128"/>
      <c r="C119" s="243"/>
      <c r="D119" s="243"/>
      <c r="E119" s="1052"/>
      <c r="F119" s="1052"/>
      <c r="G119" s="133"/>
      <c r="H119" s="133"/>
      <c r="I119" s="133"/>
      <c r="J119" s="133"/>
      <c r="K119" s="225"/>
      <c r="L119" s="227"/>
      <c r="M119" s="227"/>
      <c r="N119" s="227"/>
      <c r="O119" s="227"/>
      <c r="P119" s="227"/>
      <c r="Q119" s="227"/>
      <c r="R119" s="227"/>
      <c r="S119" s="227"/>
      <c r="T119" s="227"/>
      <c r="U119" s="227"/>
      <c r="V119" s="227"/>
      <c r="W119" s="227"/>
      <c r="X119" s="227"/>
      <c r="Y119" s="227"/>
      <c r="AA119"/>
      <c r="AB119"/>
      <c r="AC119"/>
      <c r="AD119"/>
      <c r="AE119"/>
      <c r="AF119"/>
      <c r="AG119"/>
      <c r="AH119"/>
      <c r="AI119"/>
    </row>
    <row r="120" spans="1:35" s="213" customFormat="1" x14ac:dyDescent="0.25">
      <c r="A120" s="164"/>
      <c r="B120" s="128"/>
      <c r="C120" s="243"/>
      <c r="D120" s="243"/>
      <c r="E120" s="1052"/>
      <c r="F120" s="1052"/>
      <c r="G120" s="133"/>
      <c r="H120" s="133"/>
      <c r="I120" s="133"/>
      <c r="J120" s="133"/>
      <c r="K120" s="225"/>
      <c r="L120" s="227"/>
      <c r="M120" s="227"/>
      <c r="N120" s="227"/>
      <c r="O120" s="227"/>
      <c r="P120" s="227"/>
      <c r="Q120" s="227"/>
      <c r="R120" s="227"/>
      <c r="S120" s="227"/>
      <c r="T120" s="227"/>
      <c r="U120" s="227"/>
      <c r="V120" s="227"/>
      <c r="W120" s="227"/>
      <c r="X120" s="227"/>
      <c r="Y120" s="227"/>
      <c r="AA120"/>
      <c r="AB120"/>
      <c r="AC120"/>
      <c r="AD120"/>
      <c r="AE120"/>
      <c r="AF120"/>
      <c r="AG120"/>
      <c r="AH120"/>
      <c r="AI120"/>
    </row>
    <row r="121" spans="1:35" s="213" customFormat="1" x14ac:dyDescent="0.25">
      <c r="A121" s="164"/>
      <c r="B121" s="128"/>
      <c r="C121" s="243"/>
      <c r="D121" s="243"/>
      <c r="E121" s="1052"/>
      <c r="F121" s="1052"/>
      <c r="G121" s="133"/>
      <c r="H121" s="133"/>
      <c r="I121" s="133"/>
      <c r="J121" s="133"/>
      <c r="K121" s="225"/>
      <c r="L121" s="227"/>
      <c r="M121" s="227"/>
      <c r="N121" s="227"/>
      <c r="O121" s="227"/>
      <c r="P121" s="227"/>
      <c r="Q121" s="227"/>
      <c r="R121" s="227"/>
      <c r="S121" s="227"/>
      <c r="T121" s="227"/>
      <c r="U121" s="227"/>
      <c r="V121" s="227"/>
      <c r="W121" s="227"/>
      <c r="X121" s="227"/>
      <c r="Y121" s="227"/>
      <c r="AA121"/>
      <c r="AB121"/>
      <c r="AC121"/>
      <c r="AD121"/>
      <c r="AE121"/>
      <c r="AF121"/>
      <c r="AG121"/>
      <c r="AH121"/>
      <c r="AI121"/>
    </row>
    <row r="122" spans="1:35" s="213" customFormat="1" x14ac:dyDescent="0.25">
      <c r="A122" s="164"/>
      <c r="B122" s="128"/>
      <c r="C122" s="243"/>
      <c r="D122" s="243"/>
      <c r="E122" s="1052"/>
      <c r="F122" s="1052"/>
      <c r="G122" s="133"/>
      <c r="H122" s="133"/>
      <c r="I122" s="133"/>
      <c r="J122" s="133"/>
      <c r="K122" s="225"/>
      <c r="L122" s="227"/>
      <c r="M122" s="227"/>
      <c r="N122" s="227"/>
      <c r="O122" s="227"/>
      <c r="P122" s="227"/>
      <c r="Q122" s="227"/>
      <c r="R122" s="227"/>
      <c r="S122" s="227"/>
      <c r="T122" s="227"/>
      <c r="U122" s="227"/>
      <c r="V122" s="227"/>
      <c r="W122" s="227"/>
      <c r="X122" s="227"/>
      <c r="Y122" s="227"/>
      <c r="AA122"/>
      <c r="AB122"/>
      <c r="AC122"/>
      <c r="AD122"/>
      <c r="AE122"/>
      <c r="AF122"/>
      <c r="AG122"/>
      <c r="AH122"/>
      <c r="AI122"/>
    </row>
    <row r="123" spans="1:35" s="213" customFormat="1" x14ac:dyDescent="0.25">
      <c r="A123" s="164"/>
      <c r="B123" s="128"/>
      <c r="C123" s="243"/>
      <c r="D123" s="243"/>
      <c r="E123" s="1052"/>
      <c r="F123" s="1052"/>
      <c r="G123" s="133"/>
      <c r="H123" s="133"/>
      <c r="I123" s="133"/>
      <c r="J123" s="133"/>
      <c r="K123" s="225"/>
      <c r="L123" s="227"/>
      <c r="M123" s="227"/>
      <c r="N123" s="227"/>
      <c r="O123" s="227"/>
      <c r="P123" s="227"/>
      <c r="Q123" s="227"/>
      <c r="R123" s="227"/>
      <c r="S123" s="227"/>
      <c r="T123" s="227"/>
      <c r="U123" s="227"/>
      <c r="V123" s="227"/>
      <c r="W123" s="227"/>
      <c r="X123" s="227"/>
      <c r="Y123" s="227"/>
      <c r="AA123"/>
      <c r="AB123"/>
      <c r="AC123"/>
      <c r="AD123"/>
      <c r="AE123"/>
      <c r="AF123"/>
      <c r="AG123"/>
      <c r="AH123"/>
      <c r="AI123"/>
    </row>
    <row r="124" spans="1:35" s="213" customFormat="1" x14ac:dyDescent="0.25">
      <c r="A124" s="164"/>
      <c r="B124" s="128"/>
      <c r="C124" s="243"/>
      <c r="D124" s="243"/>
      <c r="E124" s="1052"/>
      <c r="F124" s="1052"/>
      <c r="G124" s="133"/>
      <c r="H124" s="133"/>
      <c r="I124" s="133"/>
      <c r="J124" s="133"/>
      <c r="K124" s="225"/>
      <c r="L124" s="227"/>
      <c r="M124" s="227"/>
      <c r="N124" s="227"/>
      <c r="O124" s="227"/>
      <c r="P124" s="227"/>
      <c r="Q124" s="227"/>
      <c r="R124" s="227"/>
      <c r="S124" s="227"/>
      <c r="T124" s="227"/>
      <c r="U124" s="227"/>
      <c r="V124" s="227"/>
      <c r="W124" s="227"/>
      <c r="X124" s="227"/>
      <c r="Y124" s="227"/>
      <c r="AA124"/>
      <c r="AB124"/>
      <c r="AC124"/>
      <c r="AD124"/>
      <c r="AE124"/>
      <c r="AF124"/>
      <c r="AG124"/>
      <c r="AH124"/>
      <c r="AI124"/>
    </row>
    <row r="125" spans="1:35" s="213" customFormat="1" x14ac:dyDescent="0.25">
      <c r="A125" s="164"/>
      <c r="B125" s="128"/>
      <c r="C125" s="243"/>
      <c r="D125" s="243"/>
      <c r="E125" s="1052"/>
      <c r="F125" s="1052"/>
      <c r="G125" s="133"/>
      <c r="H125" s="133"/>
      <c r="I125" s="133"/>
      <c r="J125" s="133"/>
      <c r="K125" s="225"/>
      <c r="L125" s="227"/>
      <c r="M125" s="227"/>
      <c r="N125" s="227"/>
      <c r="O125" s="227"/>
      <c r="P125" s="227"/>
      <c r="Q125" s="227"/>
      <c r="R125" s="227"/>
      <c r="S125" s="227"/>
      <c r="T125" s="227"/>
      <c r="U125" s="227"/>
      <c r="V125" s="227"/>
      <c r="W125" s="227"/>
      <c r="X125" s="227"/>
      <c r="Y125" s="227"/>
      <c r="AA125"/>
      <c r="AB125"/>
      <c r="AC125"/>
      <c r="AD125"/>
      <c r="AE125"/>
      <c r="AF125"/>
      <c r="AG125"/>
      <c r="AH125"/>
      <c r="AI125"/>
    </row>
    <row r="126" spans="1:35" s="213" customFormat="1" x14ac:dyDescent="0.25">
      <c r="A126" s="164"/>
      <c r="B126" s="128"/>
      <c r="C126" s="243"/>
      <c r="D126" s="243"/>
      <c r="E126" s="1052"/>
      <c r="F126" s="1052"/>
      <c r="G126" s="133"/>
      <c r="H126" s="133"/>
      <c r="I126" s="133"/>
      <c r="J126" s="133"/>
      <c r="K126" s="225"/>
      <c r="L126" s="227"/>
      <c r="M126" s="227"/>
      <c r="N126" s="227"/>
      <c r="O126" s="227"/>
      <c r="P126" s="227"/>
      <c r="Q126" s="227"/>
      <c r="R126" s="227"/>
      <c r="S126" s="227"/>
      <c r="T126" s="227"/>
      <c r="U126" s="227"/>
      <c r="V126" s="227"/>
      <c r="W126" s="227"/>
      <c r="X126" s="227"/>
      <c r="Y126" s="227"/>
      <c r="AA126"/>
      <c r="AB126"/>
      <c r="AC126"/>
      <c r="AD126"/>
      <c r="AE126"/>
      <c r="AF126"/>
      <c r="AG126"/>
      <c r="AH126"/>
      <c r="AI126"/>
    </row>
    <row r="127" spans="1:35" s="213" customFormat="1" x14ac:dyDescent="0.25">
      <c r="A127" s="164"/>
      <c r="B127" s="128"/>
      <c r="C127" s="243"/>
      <c r="D127" s="243"/>
      <c r="E127" s="1052"/>
      <c r="F127" s="1052"/>
      <c r="G127" s="133"/>
      <c r="H127" s="133"/>
      <c r="I127" s="133"/>
      <c r="J127" s="133"/>
      <c r="K127" s="225"/>
      <c r="L127" s="227"/>
      <c r="M127" s="227"/>
      <c r="N127" s="227"/>
      <c r="O127" s="227"/>
      <c r="P127" s="227"/>
      <c r="Q127" s="227"/>
      <c r="R127" s="227"/>
      <c r="S127" s="227"/>
      <c r="T127" s="227"/>
      <c r="U127" s="227"/>
      <c r="V127" s="227"/>
      <c r="W127" s="227"/>
      <c r="X127" s="227"/>
      <c r="Y127" s="227"/>
      <c r="AA127"/>
      <c r="AB127"/>
      <c r="AC127"/>
      <c r="AD127"/>
      <c r="AE127"/>
      <c r="AF127"/>
      <c r="AG127"/>
      <c r="AH127"/>
      <c r="AI127"/>
    </row>
    <row r="128" spans="1:35" s="213" customFormat="1" x14ac:dyDescent="0.25">
      <c r="A128" s="164"/>
      <c r="B128" s="128"/>
      <c r="C128" s="243"/>
      <c r="D128" s="243"/>
      <c r="E128" s="1052"/>
      <c r="F128" s="1052"/>
      <c r="G128" s="133"/>
      <c r="H128" s="133"/>
      <c r="I128" s="133"/>
      <c r="J128" s="133"/>
      <c r="K128" s="225"/>
      <c r="L128" s="227"/>
      <c r="M128" s="227"/>
      <c r="N128" s="227"/>
      <c r="O128" s="227"/>
      <c r="P128" s="227"/>
      <c r="Q128" s="227"/>
      <c r="R128" s="227"/>
      <c r="S128" s="227"/>
      <c r="T128" s="227"/>
      <c r="U128" s="227"/>
      <c r="V128" s="227"/>
      <c r="W128" s="227"/>
      <c r="X128" s="227"/>
      <c r="Y128" s="227"/>
      <c r="AA128"/>
      <c r="AB128"/>
      <c r="AC128"/>
      <c r="AD128"/>
      <c r="AE128"/>
      <c r="AF128"/>
      <c r="AG128"/>
      <c r="AH128"/>
      <c r="AI128"/>
    </row>
    <row r="129" spans="1:35" s="213" customFormat="1" x14ac:dyDescent="0.25">
      <c r="A129" s="164"/>
      <c r="B129" s="128"/>
      <c r="C129" s="243"/>
      <c r="D129" s="243"/>
      <c r="E129" s="1052"/>
      <c r="F129" s="1052"/>
      <c r="G129" s="133"/>
      <c r="H129" s="133"/>
      <c r="I129" s="133"/>
      <c r="J129" s="133"/>
      <c r="K129" s="225"/>
      <c r="L129" s="227"/>
      <c r="M129" s="227"/>
      <c r="N129" s="227"/>
      <c r="O129" s="227"/>
      <c r="P129" s="227"/>
      <c r="Q129" s="227"/>
      <c r="R129" s="227"/>
      <c r="S129" s="227"/>
      <c r="T129" s="227"/>
      <c r="U129" s="227"/>
      <c r="V129" s="227"/>
      <c r="W129" s="227"/>
      <c r="X129" s="227"/>
      <c r="Y129" s="227"/>
      <c r="AA129"/>
      <c r="AB129"/>
      <c r="AC129"/>
      <c r="AD129"/>
      <c r="AE129"/>
      <c r="AF129"/>
      <c r="AG129"/>
      <c r="AH129"/>
      <c r="AI129"/>
    </row>
    <row r="130" spans="1:35" s="213" customFormat="1" x14ac:dyDescent="0.25">
      <c r="A130" s="164"/>
      <c r="B130" s="128"/>
      <c r="C130" s="243"/>
      <c r="D130" s="243"/>
      <c r="E130" s="1052"/>
      <c r="F130" s="1052"/>
      <c r="G130" s="133"/>
      <c r="H130" s="133"/>
      <c r="I130" s="133"/>
      <c r="J130" s="133"/>
      <c r="K130" s="225"/>
      <c r="L130" s="227"/>
      <c r="M130" s="227"/>
      <c r="N130" s="227"/>
      <c r="O130" s="227"/>
      <c r="P130" s="227"/>
      <c r="Q130" s="227"/>
      <c r="R130" s="227"/>
      <c r="S130" s="227"/>
      <c r="T130" s="227"/>
      <c r="U130" s="227"/>
      <c r="V130" s="227"/>
      <c r="W130" s="227"/>
      <c r="X130" s="227"/>
      <c r="Y130" s="227"/>
      <c r="AA130"/>
      <c r="AB130"/>
      <c r="AC130"/>
      <c r="AD130"/>
      <c r="AE130"/>
      <c r="AF130"/>
      <c r="AG130"/>
      <c r="AH130"/>
      <c r="AI130"/>
    </row>
    <row r="131" spans="1:35" s="213" customFormat="1" x14ac:dyDescent="0.25">
      <c r="A131" s="164"/>
      <c r="B131" s="128"/>
      <c r="C131" s="243"/>
      <c r="D131" s="243"/>
      <c r="E131" s="1052"/>
      <c r="F131" s="1052"/>
      <c r="G131" s="133"/>
      <c r="H131" s="133"/>
      <c r="I131" s="133"/>
      <c r="J131" s="133"/>
      <c r="K131" s="225"/>
      <c r="L131" s="227"/>
      <c r="M131" s="227"/>
      <c r="N131" s="227"/>
      <c r="O131" s="227"/>
      <c r="P131" s="227"/>
      <c r="Q131" s="227"/>
      <c r="R131" s="227"/>
      <c r="S131" s="227"/>
      <c r="T131" s="227"/>
      <c r="U131" s="227"/>
      <c r="V131" s="227"/>
      <c r="W131" s="227"/>
      <c r="X131" s="227"/>
      <c r="Y131" s="227"/>
      <c r="AA131"/>
      <c r="AB131"/>
      <c r="AC131"/>
      <c r="AD131"/>
      <c r="AE131"/>
      <c r="AF131"/>
      <c r="AG131"/>
      <c r="AH131"/>
      <c r="AI131"/>
    </row>
    <row r="132" spans="1:35" s="213" customFormat="1" x14ac:dyDescent="0.25">
      <c r="A132" s="164"/>
      <c r="B132" s="128"/>
      <c r="C132" s="243"/>
      <c r="D132" s="243"/>
      <c r="E132" s="1052"/>
      <c r="F132" s="1052"/>
      <c r="G132" s="133"/>
      <c r="H132" s="133"/>
      <c r="I132" s="133"/>
      <c r="J132" s="133"/>
      <c r="K132" s="225"/>
      <c r="L132" s="227"/>
      <c r="M132" s="227"/>
      <c r="N132" s="227"/>
      <c r="O132" s="227"/>
      <c r="P132" s="227"/>
      <c r="Q132" s="227"/>
      <c r="R132" s="227"/>
      <c r="S132" s="227"/>
      <c r="T132" s="227"/>
      <c r="U132" s="227"/>
      <c r="V132" s="227"/>
      <c r="W132" s="227"/>
      <c r="X132" s="227"/>
      <c r="Y132" s="227"/>
      <c r="AA132"/>
      <c r="AB132"/>
      <c r="AC132"/>
      <c r="AD132"/>
      <c r="AE132"/>
      <c r="AF132"/>
      <c r="AG132"/>
      <c r="AH132"/>
      <c r="AI132"/>
    </row>
    <row r="133" spans="1:35" s="213" customFormat="1" x14ac:dyDescent="0.25">
      <c r="A133" s="514"/>
      <c r="B133" s="134"/>
      <c r="C133" s="243"/>
      <c r="D133" s="1172"/>
      <c r="E133" s="1172"/>
      <c r="F133" s="1172"/>
      <c r="G133" s="1181"/>
      <c r="H133" s="1181"/>
      <c r="I133" s="1181"/>
      <c r="J133" s="133"/>
      <c r="K133" s="225"/>
      <c r="M133" s="134"/>
      <c r="AA133"/>
      <c r="AB133"/>
      <c r="AC133"/>
      <c r="AD133"/>
      <c r="AE133"/>
      <c r="AF133"/>
      <c r="AG133"/>
      <c r="AH133"/>
      <c r="AI133"/>
    </row>
    <row r="134" spans="1:35" s="213" customFormat="1" x14ac:dyDescent="0.25">
      <c r="A134" s="514"/>
      <c r="B134" s="134"/>
      <c r="C134" s="1172"/>
      <c r="D134" s="1172"/>
      <c r="E134" s="1172"/>
      <c r="F134" s="1172"/>
      <c r="G134" s="1181"/>
      <c r="H134" s="1181"/>
      <c r="I134" s="1181"/>
      <c r="J134" s="133"/>
      <c r="K134" s="225"/>
      <c r="M134" s="134"/>
      <c r="AA134"/>
      <c r="AB134"/>
      <c r="AC134"/>
      <c r="AD134"/>
      <c r="AE134"/>
      <c r="AF134"/>
      <c r="AG134"/>
      <c r="AH134"/>
      <c r="AI134"/>
    </row>
    <row r="135" spans="1:35" s="213" customFormat="1" x14ac:dyDescent="0.25">
      <c r="A135" s="514"/>
      <c r="B135" s="134"/>
      <c r="C135" s="1172"/>
      <c r="D135" s="1172"/>
      <c r="E135" s="1172"/>
      <c r="F135" s="1172"/>
      <c r="G135" s="1181"/>
      <c r="H135" s="1181"/>
      <c r="I135" s="1181"/>
      <c r="J135" s="133"/>
      <c r="K135" s="225"/>
      <c r="M135" s="134"/>
      <c r="AA135"/>
      <c r="AB135"/>
      <c r="AC135"/>
      <c r="AD135"/>
      <c r="AE135"/>
      <c r="AF135"/>
      <c r="AG135"/>
      <c r="AH135"/>
      <c r="AI135"/>
    </row>
    <row r="136" spans="1:35" s="213" customFormat="1" x14ac:dyDescent="0.25">
      <c r="A136" s="514"/>
      <c r="B136" s="134"/>
      <c r="C136" s="1172"/>
      <c r="D136" s="1173"/>
      <c r="E136" s="1173"/>
      <c r="F136" s="1173"/>
      <c r="G136" s="1181"/>
      <c r="H136" s="1181"/>
      <c r="I136" s="1181"/>
      <c r="J136" s="133"/>
      <c r="K136" s="225"/>
      <c r="M136" s="134"/>
      <c r="AA136"/>
      <c r="AB136"/>
      <c r="AC136"/>
      <c r="AD136"/>
      <c r="AE136"/>
      <c r="AF136"/>
      <c r="AG136"/>
      <c r="AH136"/>
      <c r="AI136"/>
    </row>
    <row r="137" spans="1:35" s="213" customFormat="1" x14ac:dyDescent="0.25">
      <c r="A137" s="514"/>
      <c r="B137" s="134"/>
      <c r="C137" s="1173"/>
      <c r="D137" s="1172"/>
      <c r="E137" s="1172"/>
      <c r="F137" s="1172"/>
      <c r="G137" s="1181"/>
      <c r="H137" s="1181"/>
      <c r="I137" s="1181"/>
      <c r="J137" s="133"/>
      <c r="K137" s="225"/>
      <c r="M137" s="134"/>
      <c r="AA137"/>
      <c r="AB137"/>
      <c r="AC137"/>
      <c r="AD137"/>
      <c r="AE137"/>
      <c r="AF137"/>
      <c r="AG137"/>
      <c r="AH137"/>
      <c r="AI137"/>
    </row>
    <row r="138" spans="1:35" s="213" customFormat="1" x14ac:dyDescent="0.25">
      <c r="A138" s="514"/>
      <c r="B138" s="134"/>
      <c r="C138" s="1172"/>
      <c r="D138" s="1172"/>
      <c r="E138" s="1172"/>
      <c r="F138" s="1172"/>
      <c r="G138" s="1181"/>
      <c r="H138" s="1181"/>
      <c r="I138" s="1181"/>
      <c r="J138" s="133"/>
      <c r="K138" s="225"/>
      <c r="M138" s="134"/>
      <c r="AA138"/>
      <c r="AB138"/>
      <c r="AC138"/>
      <c r="AD138"/>
      <c r="AE138"/>
      <c r="AF138"/>
      <c r="AG138"/>
      <c r="AH138"/>
      <c r="AI138"/>
    </row>
    <row r="139" spans="1:35" s="213" customFormat="1" x14ac:dyDescent="0.25">
      <c r="A139" s="514"/>
      <c r="B139" s="134"/>
      <c r="C139" s="1172"/>
      <c r="D139" s="1172"/>
      <c r="E139" s="1172"/>
      <c r="F139" s="1172"/>
      <c r="G139" s="1181"/>
      <c r="H139" s="1181"/>
      <c r="I139" s="1181"/>
      <c r="J139" s="133"/>
      <c r="K139" s="225"/>
      <c r="M139" s="134"/>
      <c r="AA139"/>
      <c r="AB139"/>
      <c r="AC139"/>
      <c r="AD139"/>
      <c r="AE139"/>
      <c r="AF139"/>
      <c r="AG139"/>
      <c r="AH139"/>
      <c r="AI139"/>
    </row>
    <row r="140" spans="1:35" s="213" customFormat="1" x14ac:dyDescent="0.25">
      <c r="A140" s="514"/>
      <c r="B140" s="134"/>
      <c r="C140" s="1172"/>
      <c r="D140" s="1172"/>
      <c r="E140" s="1172"/>
      <c r="F140" s="1172"/>
      <c r="G140" s="1181"/>
      <c r="H140" s="1181"/>
      <c r="I140" s="1181"/>
      <c r="J140" s="133"/>
      <c r="K140" s="225"/>
      <c r="M140" s="134"/>
      <c r="AA140"/>
      <c r="AB140"/>
      <c r="AC140"/>
      <c r="AD140"/>
      <c r="AE140"/>
      <c r="AF140"/>
      <c r="AG140"/>
      <c r="AH140"/>
      <c r="AI140"/>
    </row>
    <row r="141" spans="1:35" s="213" customFormat="1" x14ac:dyDescent="0.25">
      <c r="A141" s="514"/>
      <c r="B141" s="134"/>
      <c r="C141" s="1172"/>
      <c r="D141" s="1172"/>
      <c r="E141" s="1172"/>
      <c r="F141" s="1172"/>
      <c r="G141" s="1181"/>
      <c r="H141" s="1181"/>
      <c r="I141" s="1181"/>
      <c r="J141" s="133"/>
      <c r="K141" s="225"/>
      <c r="M141" s="134"/>
      <c r="AA141"/>
      <c r="AB141"/>
      <c r="AC141"/>
      <c r="AD141"/>
      <c r="AE141"/>
      <c r="AF141"/>
      <c r="AG141"/>
      <c r="AH141"/>
      <c r="AI141"/>
    </row>
    <row r="142" spans="1:35" s="213" customFormat="1" x14ac:dyDescent="0.25">
      <c r="A142" s="514"/>
      <c r="B142" s="134"/>
      <c r="C142" s="1172"/>
      <c r="D142" s="1172"/>
      <c r="E142" s="1172"/>
      <c r="F142" s="1172"/>
      <c r="G142" s="1181"/>
      <c r="H142" s="1181"/>
      <c r="I142" s="1181"/>
      <c r="J142" s="133"/>
      <c r="K142" s="225"/>
      <c r="M142" s="134"/>
      <c r="AA142"/>
      <c r="AB142"/>
      <c r="AC142"/>
      <c r="AD142"/>
      <c r="AE142"/>
      <c r="AF142"/>
      <c r="AG142"/>
      <c r="AH142"/>
      <c r="AI142"/>
    </row>
    <row r="143" spans="1:35" s="213" customFormat="1" x14ac:dyDescent="0.25">
      <c r="A143" s="514"/>
      <c r="B143" s="134"/>
      <c r="C143" s="1172"/>
      <c r="D143" s="1172"/>
      <c r="E143" s="1172"/>
      <c r="F143" s="1172"/>
      <c r="G143" s="1181"/>
      <c r="H143" s="1181"/>
      <c r="I143" s="1181"/>
      <c r="J143" s="133"/>
      <c r="K143" s="225"/>
      <c r="M143" s="134"/>
      <c r="AA143"/>
      <c r="AB143"/>
      <c r="AC143"/>
      <c r="AD143"/>
      <c r="AE143"/>
      <c r="AF143"/>
      <c r="AG143"/>
      <c r="AH143"/>
      <c r="AI143"/>
    </row>
    <row r="144" spans="1:35" s="213" customFormat="1" x14ac:dyDescent="0.25">
      <c r="A144" s="514"/>
      <c r="B144" s="134"/>
      <c r="C144" s="1172"/>
      <c r="D144" s="1172"/>
      <c r="E144" s="1172"/>
      <c r="F144" s="1172"/>
      <c r="G144" s="1181"/>
      <c r="H144" s="1181"/>
      <c r="I144" s="1181"/>
      <c r="J144" s="133"/>
      <c r="K144" s="164"/>
      <c r="M144" s="134"/>
      <c r="AA144"/>
      <c r="AB144"/>
      <c r="AC144"/>
      <c r="AD144"/>
      <c r="AE144"/>
      <c r="AF144"/>
      <c r="AG144"/>
      <c r="AH144"/>
      <c r="AI144"/>
    </row>
    <row r="145" spans="1:35" s="213" customFormat="1" x14ac:dyDescent="0.25">
      <c r="A145" s="514"/>
      <c r="B145" s="134"/>
      <c r="C145" s="1172"/>
      <c r="D145" s="1172"/>
      <c r="E145" s="1172"/>
      <c r="F145" s="1172"/>
      <c r="G145" s="1181"/>
      <c r="H145" s="1181"/>
      <c r="I145" s="1181"/>
      <c r="J145" s="133"/>
      <c r="K145" s="164"/>
      <c r="M145" s="134"/>
      <c r="AA145"/>
      <c r="AB145"/>
      <c r="AC145"/>
      <c r="AD145"/>
      <c r="AE145"/>
      <c r="AF145"/>
      <c r="AG145"/>
      <c r="AH145"/>
      <c r="AI145"/>
    </row>
    <row r="146" spans="1:35" s="213" customFormat="1" x14ac:dyDescent="0.25">
      <c r="A146" s="514"/>
      <c r="B146" s="134"/>
      <c r="C146" s="1172"/>
      <c r="D146" s="1172"/>
      <c r="E146" s="1172"/>
      <c r="F146" s="1172"/>
      <c r="G146" s="1181"/>
      <c r="H146" s="1181"/>
      <c r="I146" s="1181"/>
      <c r="J146" s="133"/>
      <c r="K146" s="164"/>
      <c r="M146" s="134"/>
      <c r="AA146"/>
      <c r="AB146"/>
      <c r="AC146"/>
      <c r="AD146"/>
      <c r="AE146"/>
      <c r="AF146"/>
      <c r="AG146"/>
      <c r="AH146"/>
      <c r="AI146"/>
    </row>
    <row r="147" spans="1:35" s="213" customFormat="1" x14ac:dyDescent="0.25">
      <c r="A147" s="514"/>
      <c r="B147" s="134"/>
      <c r="C147" s="1172"/>
      <c r="D147" s="1172"/>
      <c r="E147" s="1172"/>
      <c r="F147" s="1172"/>
      <c r="G147" s="1181"/>
      <c r="H147" s="1181"/>
      <c r="I147" s="1181"/>
      <c r="J147" s="133"/>
      <c r="K147" s="164"/>
      <c r="M147" s="134"/>
      <c r="AA147"/>
      <c r="AB147"/>
      <c r="AC147"/>
      <c r="AD147"/>
      <c r="AE147"/>
      <c r="AF147"/>
      <c r="AG147"/>
      <c r="AH147"/>
      <c r="AI147"/>
    </row>
    <row r="148" spans="1:35" s="213" customFormat="1" x14ac:dyDescent="0.25">
      <c r="A148" s="514"/>
      <c r="B148" s="134"/>
      <c r="C148" s="1172"/>
      <c r="D148" s="1172"/>
      <c r="E148" s="1172"/>
      <c r="F148" s="1172"/>
      <c r="G148" s="1181"/>
      <c r="H148" s="1181"/>
      <c r="I148" s="1181"/>
      <c r="J148" s="133"/>
      <c r="K148" s="164"/>
      <c r="M148" s="134"/>
      <c r="AA148"/>
      <c r="AB148"/>
      <c r="AC148"/>
      <c r="AD148"/>
      <c r="AE148"/>
      <c r="AF148"/>
      <c r="AG148"/>
      <c r="AH148"/>
      <c r="AI148"/>
    </row>
    <row r="149" spans="1:35" s="213" customFormat="1" x14ac:dyDescent="0.25">
      <c r="A149" s="514"/>
      <c r="B149" s="134"/>
      <c r="C149" s="1172"/>
      <c r="D149" s="1172"/>
      <c r="E149" s="1172"/>
      <c r="F149" s="1172"/>
      <c r="G149" s="1181"/>
      <c r="H149" s="1181"/>
      <c r="I149" s="1181"/>
      <c r="J149" s="133"/>
      <c r="K149" s="164"/>
      <c r="M149" s="134"/>
      <c r="AA149"/>
      <c r="AB149"/>
      <c r="AC149"/>
      <c r="AD149"/>
      <c r="AE149"/>
      <c r="AF149"/>
      <c r="AG149"/>
      <c r="AH149"/>
      <c r="AI149"/>
    </row>
    <row r="150" spans="1:35" s="213" customFormat="1" x14ac:dyDescent="0.25">
      <c r="A150" s="514"/>
      <c r="B150" s="134"/>
      <c r="C150" s="1172"/>
      <c r="D150" s="1172"/>
      <c r="E150" s="1172"/>
      <c r="F150" s="1172"/>
      <c r="G150" s="1181"/>
      <c r="H150" s="1181"/>
      <c r="I150" s="1181"/>
      <c r="J150" s="133"/>
      <c r="K150" s="164"/>
      <c r="M150" s="134"/>
      <c r="AA150"/>
      <c r="AB150"/>
      <c r="AC150"/>
      <c r="AD150"/>
      <c r="AE150"/>
      <c r="AF150"/>
      <c r="AG150"/>
      <c r="AH150"/>
      <c r="AI150"/>
    </row>
    <row r="151" spans="1:35" s="213" customFormat="1" x14ac:dyDescent="0.25">
      <c r="A151" s="514"/>
      <c r="B151" s="134"/>
      <c r="C151" s="1172"/>
      <c r="D151" s="1173"/>
      <c r="E151" s="1173"/>
      <c r="F151" s="1173"/>
      <c r="G151" s="1181"/>
      <c r="H151" s="1181"/>
      <c r="I151" s="1181"/>
      <c r="J151" s="133"/>
      <c r="K151" s="164"/>
      <c r="M151" s="134"/>
      <c r="AA151"/>
      <c r="AB151"/>
      <c r="AC151"/>
      <c r="AD151"/>
      <c r="AE151"/>
      <c r="AF151"/>
      <c r="AG151"/>
      <c r="AH151"/>
      <c r="AI151"/>
    </row>
    <row r="152" spans="1:35" s="213" customFormat="1" x14ac:dyDescent="0.25">
      <c r="A152" s="514"/>
      <c r="B152" s="134"/>
      <c r="C152" s="1173"/>
      <c r="D152" s="1173"/>
      <c r="E152" s="1173"/>
      <c r="F152" s="1173"/>
      <c r="G152" s="1181"/>
      <c r="H152" s="1181"/>
      <c r="I152" s="1181"/>
      <c r="J152" s="133"/>
      <c r="K152" s="164"/>
      <c r="M152" s="134"/>
      <c r="AA152"/>
      <c r="AB152"/>
      <c r="AC152"/>
      <c r="AD152"/>
      <c r="AE152"/>
      <c r="AF152"/>
      <c r="AG152"/>
      <c r="AH152"/>
      <c r="AI152"/>
    </row>
    <row r="153" spans="1:35" s="213" customFormat="1" x14ac:dyDescent="0.25">
      <c r="A153" s="514"/>
      <c r="B153" s="134"/>
      <c r="C153" s="1173"/>
      <c r="D153" s="1173"/>
      <c r="E153" s="1173"/>
      <c r="F153" s="1173"/>
      <c r="G153" s="1181"/>
      <c r="H153" s="1181"/>
      <c r="I153" s="1181"/>
      <c r="J153" s="133"/>
      <c r="K153" s="164"/>
      <c r="M153" s="134"/>
      <c r="AA153"/>
      <c r="AB153"/>
      <c r="AC153"/>
      <c r="AD153"/>
      <c r="AE153"/>
      <c r="AF153"/>
      <c r="AG153"/>
      <c r="AH153"/>
      <c r="AI153"/>
    </row>
    <row r="154" spans="1:35" s="213" customFormat="1" x14ac:dyDescent="0.25">
      <c r="A154" s="514"/>
      <c r="B154" s="134"/>
      <c r="C154" s="1173"/>
      <c r="D154" s="1173"/>
      <c r="E154" s="1173"/>
      <c r="F154" s="1173"/>
      <c r="G154" s="1181"/>
      <c r="H154" s="1181"/>
      <c r="I154" s="1181"/>
      <c r="J154" s="133"/>
      <c r="K154" s="164"/>
      <c r="M154" s="134"/>
      <c r="AA154"/>
      <c r="AB154"/>
      <c r="AC154"/>
      <c r="AD154"/>
      <c r="AE154"/>
      <c r="AF154"/>
      <c r="AG154"/>
      <c r="AH154"/>
      <c r="AI154"/>
    </row>
    <row r="155" spans="1:35" s="213" customFormat="1" x14ac:dyDescent="0.25">
      <c r="A155" s="514"/>
      <c r="B155" s="134"/>
      <c r="C155" s="1173"/>
      <c r="D155" s="1173"/>
      <c r="E155" s="1173"/>
      <c r="F155" s="1173"/>
      <c r="G155" s="1181"/>
      <c r="H155" s="1181"/>
      <c r="I155" s="1181"/>
      <c r="J155" s="133"/>
      <c r="K155" s="164"/>
      <c r="M155" s="134"/>
      <c r="AA155"/>
      <c r="AB155"/>
      <c r="AC155"/>
      <c r="AD155"/>
      <c r="AE155"/>
      <c r="AF155"/>
      <c r="AG155"/>
      <c r="AH155"/>
      <c r="AI155"/>
    </row>
    <row r="156" spans="1:35" s="213" customFormat="1" x14ac:dyDescent="0.25">
      <c r="A156" s="514"/>
      <c r="B156" s="134"/>
      <c r="C156" s="1173"/>
      <c r="D156" s="1173"/>
      <c r="E156" s="1173"/>
      <c r="F156" s="1173"/>
      <c r="G156" s="1181"/>
      <c r="H156" s="1181"/>
      <c r="I156" s="1181"/>
      <c r="J156" s="133"/>
      <c r="K156" s="164"/>
      <c r="M156" s="134"/>
      <c r="AA156"/>
      <c r="AB156"/>
      <c r="AC156"/>
      <c r="AD156"/>
      <c r="AE156"/>
      <c r="AF156"/>
      <c r="AG156"/>
      <c r="AH156"/>
      <c r="AI156"/>
    </row>
    <row r="157" spans="1:35" s="213" customFormat="1" x14ac:dyDescent="0.25">
      <c r="A157" s="514"/>
      <c r="B157" s="134"/>
      <c r="C157" s="1173"/>
      <c r="D157" s="1173"/>
      <c r="E157" s="1173"/>
      <c r="F157" s="1173"/>
      <c r="G157" s="1181"/>
      <c r="H157" s="1181"/>
      <c r="I157" s="1181"/>
      <c r="J157" s="133"/>
      <c r="K157" s="164"/>
      <c r="M157" s="134"/>
      <c r="AA157"/>
      <c r="AB157"/>
      <c r="AC157"/>
      <c r="AD157"/>
      <c r="AE157"/>
      <c r="AF157"/>
      <c r="AG157"/>
      <c r="AH157"/>
      <c r="AI157"/>
    </row>
    <row r="158" spans="1:35" s="213" customFormat="1" x14ac:dyDescent="0.25">
      <c r="A158" s="514"/>
      <c r="B158" s="134"/>
      <c r="C158" s="1173"/>
      <c r="D158" s="1173"/>
      <c r="E158" s="1173"/>
      <c r="F158" s="1173"/>
      <c r="G158" s="1181"/>
      <c r="H158" s="1181"/>
      <c r="I158" s="1181"/>
      <c r="J158" s="133"/>
      <c r="K158" s="164"/>
      <c r="M158" s="134"/>
      <c r="AA158"/>
      <c r="AB158"/>
      <c r="AC158"/>
      <c r="AD158"/>
      <c r="AE158"/>
      <c r="AF158"/>
      <c r="AG158"/>
      <c r="AH158"/>
      <c r="AI158"/>
    </row>
    <row r="159" spans="1:35" s="213" customFormat="1" x14ac:dyDescent="0.25">
      <c r="A159" s="514"/>
      <c r="B159" s="134"/>
      <c r="C159" s="1173"/>
      <c r="D159" s="1173"/>
      <c r="E159" s="1173"/>
      <c r="F159" s="1173"/>
      <c r="G159" s="1181"/>
      <c r="H159" s="1181"/>
      <c r="I159" s="1181"/>
      <c r="J159" s="133"/>
      <c r="K159" s="164"/>
      <c r="M159" s="134"/>
      <c r="AA159"/>
      <c r="AB159"/>
      <c r="AC159"/>
      <c r="AD159"/>
      <c r="AE159"/>
      <c r="AF159"/>
      <c r="AG159"/>
      <c r="AH159"/>
      <c r="AI159"/>
    </row>
    <row r="160" spans="1:35" s="213" customFormat="1" x14ac:dyDescent="0.25">
      <c r="A160" s="514"/>
      <c r="B160" s="134"/>
      <c r="C160" s="1173"/>
      <c r="D160" s="1173"/>
      <c r="E160" s="1173"/>
      <c r="F160" s="1173"/>
      <c r="G160" s="1181"/>
      <c r="H160" s="1181"/>
      <c r="I160" s="1181"/>
      <c r="J160" s="133"/>
      <c r="K160" s="164"/>
      <c r="M160" s="134"/>
      <c r="AA160"/>
      <c r="AB160"/>
      <c r="AC160"/>
      <c r="AD160"/>
      <c r="AE160"/>
      <c r="AF160"/>
      <c r="AG160"/>
      <c r="AH160"/>
      <c r="AI160"/>
    </row>
    <row r="161" spans="1:35" s="213" customFormat="1" x14ac:dyDescent="0.25">
      <c r="A161" s="514"/>
      <c r="B161" s="134"/>
      <c r="C161" s="1173"/>
      <c r="D161" s="1173"/>
      <c r="E161" s="1173"/>
      <c r="F161" s="1173"/>
      <c r="G161" s="1181"/>
      <c r="H161" s="1181"/>
      <c r="I161" s="1181"/>
      <c r="J161" s="133"/>
      <c r="K161" s="164"/>
      <c r="M161" s="134"/>
      <c r="AA161"/>
      <c r="AB161"/>
      <c r="AC161"/>
      <c r="AD161"/>
      <c r="AE161"/>
      <c r="AF161"/>
      <c r="AG161"/>
      <c r="AH161"/>
      <c r="AI161"/>
    </row>
    <row r="162" spans="1:35" s="213" customFormat="1" x14ac:dyDescent="0.25">
      <c r="A162" s="514"/>
      <c r="B162" s="134"/>
      <c r="C162" s="1173"/>
      <c r="D162" s="1173"/>
      <c r="E162" s="1173"/>
      <c r="F162" s="1173"/>
      <c r="G162" s="1181"/>
      <c r="H162" s="1181"/>
      <c r="I162" s="1181"/>
      <c r="J162" s="133"/>
      <c r="K162" s="164"/>
      <c r="M162" s="134"/>
      <c r="AA162"/>
      <c r="AB162"/>
      <c r="AC162"/>
      <c r="AD162"/>
      <c r="AE162"/>
      <c r="AF162"/>
      <c r="AG162"/>
      <c r="AH162"/>
      <c r="AI162"/>
    </row>
    <row r="163" spans="1:35" s="213" customFormat="1" x14ac:dyDescent="0.25">
      <c r="A163" s="514"/>
      <c r="B163" s="134"/>
      <c r="C163" s="1173"/>
      <c r="D163" s="1173"/>
      <c r="E163" s="1173"/>
      <c r="F163" s="1173"/>
      <c r="G163" s="1181"/>
      <c r="H163" s="1181"/>
      <c r="I163" s="1181"/>
      <c r="J163" s="133"/>
      <c r="K163" s="164"/>
      <c r="M163" s="134"/>
      <c r="AA163"/>
      <c r="AB163"/>
      <c r="AC163"/>
      <c r="AD163"/>
      <c r="AE163"/>
      <c r="AF163"/>
      <c r="AG163"/>
      <c r="AH163"/>
      <c r="AI163"/>
    </row>
    <row r="164" spans="1:35" s="213" customFormat="1" x14ac:dyDescent="0.25">
      <c r="A164" s="514"/>
      <c r="B164" s="134"/>
      <c r="C164" s="1173"/>
      <c r="D164" s="1173"/>
      <c r="E164" s="1173"/>
      <c r="F164" s="1173"/>
      <c r="G164" s="1181"/>
      <c r="H164" s="1181"/>
      <c r="I164" s="1181"/>
      <c r="J164" s="133"/>
      <c r="K164" s="164"/>
      <c r="M164" s="134"/>
      <c r="AA164"/>
      <c r="AB164"/>
      <c r="AC164"/>
      <c r="AD164"/>
      <c r="AE164"/>
      <c r="AF164"/>
      <c r="AG164"/>
      <c r="AH164"/>
      <c r="AI164"/>
    </row>
    <row r="165" spans="1:35" s="213" customFormat="1" x14ac:dyDescent="0.25">
      <c r="A165" s="514"/>
      <c r="B165" s="134"/>
      <c r="C165" s="1173"/>
      <c r="D165" s="1173"/>
      <c r="E165" s="1173"/>
      <c r="F165" s="1173"/>
      <c r="G165" s="1181"/>
      <c r="H165" s="1181"/>
      <c r="I165" s="1181"/>
      <c r="J165" s="133"/>
      <c r="K165" s="164"/>
      <c r="M165" s="134"/>
      <c r="AA165"/>
      <c r="AB165"/>
      <c r="AC165"/>
      <c r="AD165"/>
      <c r="AE165"/>
      <c r="AF165"/>
      <c r="AG165"/>
      <c r="AH165"/>
      <c r="AI165"/>
    </row>
    <row r="166" spans="1:35" s="213" customFormat="1" x14ac:dyDescent="0.25">
      <c r="A166" s="514"/>
      <c r="B166" s="134"/>
      <c r="C166" s="1173"/>
      <c r="D166" s="1173"/>
      <c r="E166" s="1173"/>
      <c r="F166" s="1173"/>
      <c r="G166" s="1181"/>
      <c r="H166" s="1181"/>
      <c r="I166" s="1181"/>
      <c r="J166" s="133"/>
      <c r="K166" s="164"/>
      <c r="M166" s="134"/>
      <c r="AA166"/>
      <c r="AB166"/>
      <c r="AC166"/>
      <c r="AD166"/>
      <c r="AE166"/>
      <c r="AF166"/>
      <c r="AG166"/>
      <c r="AH166"/>
      <c r="AI166"/>
    </row>
    <row r="167" spans="1:35" s="213" customFormat="1" x14ac:dyDescent="0.25">
      <c r="A167" s="514"/>
      <c r="B167" s="134"/>
      <c r="C167" s="1173"/>
      <c r="D167" s="1173"/>
      <c r="E167" s="1173"/>
      <c r="F167" s="1173"/>
      <c r="G167" s="1181"/>
      <c r="H167" s="1181"/>
      <c r="I167" s="1181"/>
      <c r="J167" s="133"/>
      <c r="K167" s="164"/>
      <c r="M167" s="134"/>
      <c r="AA167"/>
      <c r="AB167"/>
      <c r="AC167"/>
      <c r="AD167"/>
      <c r="AE167"/>
      <c r="AF167"/>
      <c r="AG167"/>
      <c r="AH167"/>
      <c r="AI167"/>
    </row>
    <row r="168" spans="1:35" s="213" customFormat="1" x14ac:dyDescent="0.25">
      <c r="A168" s="514"/>
      <c r="B168" s="134"/>
      <c r="C168" s="1173"/>
      <c r="D168" s="1173"/>
      <c r="E168" s="1173"/>
      <c r="F168" s="1173"/>
      <c r="G168" s="1181"/>
      <c r="H168" s="1181"/>
      <c r="I168" s="1181"/>
      <c r="J168" s="133"/>
      <c r="K168" s="164"/>
      <c r="M168" s="134"/>
      <c r="AA168"/>
      <c r="AB168"/>
      <c r="AC168"/>
      <c r="AD168"/>
      <c r="AE168"/>
      <c r="AF168"/>
      <c r="AG168"/>
      <c r="AH168"/>
      <c r="AI168"/>
    </row>
    <row r="169" spans="1:35" s="213" customFormat="1" x14ac:dyDescent="0.25">
      <c r="A169" s="514"/>
      <c r="B169" s="134"/>
      <c r="C169" s="1173"/>
      <c r="D169" s="1173"/>
      <c r="E169" s="1173"/>
      <c r="F169" s="1173"/>
      <c r="G169" s="1181"/>
      <c r="H169" s="1181"/>
      <c r="I169" s="1181"/>
      <c r="J169" s="133"/>
      <c r="K169" s="164"/>
      <c r="M169" s="134"/>
      <c r="AA169"/>
      <c r="AB169"/>
      <c r="AC169"/>
      <c r="AD169"/>
      <c r="AE169"/>
      <c r="AF169"/>
      <c r="AG169"/>
      <c r="AH169"/>
      <c r="AI169"/>
    </row>
    <row r="170" spans="1:35" s="213" customFormat="1" x14ac:dyDescent="0.25">
      <c r="A170" s="514"/>
      <c r="B170" s="134"/>
      <c r="C170" s="1173"/>
      <c r="D170" s="1173"/>
      <c r="E170" s="1173"/>
      <c r="F170" s="1173"/>
      <c r="G170" s="1181"/>
      <c r="H170" s="1181"/>
      <c r="I170" s="1181"/>
      <c r="J170" s="133"/>
      <c r="K170" s="164"/>
      <c r="M170" s="134"/>
      <c r="AA170"/>
      <c r="AB170"/>
      <c r="AC170"/>
      <c r="AD170"/>
      <c r="AE170"/>
      <c r="AF170"/>
      <c r="AG170"/>
      <c r="AH170"/>
      <c r="AI170"/>
    </row>
    <row r="171" spans="1:35" s="213" customFormat="1" x14ac:dyDescent="0.25">
      <c r="A171" s="514"/>
      <c r="B171" s="134"/>
      <c r="C171" s="1173"/>
      <c r="D171" s="1173"/>
      <c r="E171" s="1173"/>
      <c r="F171" s="1173"/>
      <c r="G171" s="1181"/>
      <c r="H171" s="1181"/>
      <c r="I171" s="1181"/>
      <c r="J171" s="133"/>
      <c r="K171" s="164"/>
      <c r="M171" s="134"/>
      <c r="AA171"/>
      <c r="AB171"/>
      <c r="AC171"/>
      <c r="AD171"/>
      <c r="AE171"/>
      <c r="AF171"/>
      <c r="AG171"/>
      <c r="AH171"/>
      <c r="AI171"/>
    </row>
    <row r="172" spans="1:35" s="213" customFormat="1" x14ac:dyDescent="0.25">
      <c r="A172" s="514"/>
      <c r="B172" s="134"/>
      <c r="C172" s="1173"/>
      <c r="D172" s="1173"/>
      <c r="E172" s="1173"/>
      <c r="F172" s="1173"/>
      <c r="G172" s="1181"/>
      <c r="H172" s="1181"/>
      <c r="I172" s="1181"/>
      <c r="J172" s="133"/>
      <c r="K172" s="164"/>
      <c r="M172" s="134"/>
      <c r="AA172"/>
      <c r="AB172"/>
      <c r="AC172"/>
      <c r="AD172"/>
      <c r="AE172"/>
      <c r="AF172"/>
      <c r="AG172"/>
      <c r="AH172"/>
      <c r="AI172"/>
    </row>
    <row r="173" spans="1:35" s="213" customFormat="1" x14ac:dyDescent="0.25">
      <c r="A173" s="514"/>
      <c r="B173" s="134"/>
      <c r="C173" s="1173"/>
      <c r="D173" s="1173"/>
      <c r="E173" s="1173"/>
      <c r="F173" s="1173"/>
      <c r="G173" s="1181"/>
      <c r="H173" s="1181"/>
      <c r="I173" s="1181"/>
      <c r="J173" s="133"/>
      <c r="K173" s="164"/>
      <c r="M173" s="134"/>
      <c r="AA173"/>
      <c r="AB173"/>
      <c r="AC173"/>
      <c r="AD173"/>
      <c r="AE173"/>
      <c r="AF173"/>
      <c r="AG173"/>
      <c r="AH173"/>
      <c r="AI173"/>
    </row>
    <row r="174" spans="1:35" s="213" customFormat="1" x14ac:dyDescent="0.25">
      <c r="A174" s="514"/>
      <c r="B174" s="134"/>
      <c r="C174" s="1173"/>
      <c r="D174" s="1173"/>
      <c r="E174" s="1173"/>
      <c r="F174" s="1173"/>
      <c r="G174" s="1181"/>
      <c r="H174" s="1181"/>
      <c r="I174" s="1181"/>
      <c r="J174" s="133"/>
      <c r="K174" s="164"/>
      <c r="M174" s="134"/>
      <c r="AA174"/>
      <c r="AB174"/>
      <c r="AC174"/>
      <c r="AD174"/>
      <c r="AE174"/>
      <c r="AF174"/>
      <c r="AG174"/>
      <c r="AH174"/>
      <c r="AI174"/>
    </row>
    <row r="175" spans="1:35" s="213" customFormat="1" x14ac:dyDescent="0.25">
      <c r="A175" s="514"/>
      <c r="B175" s="134"/>
      <c r="C175" s="1173"/>
      <c r="D175" s="1173"/>
      <c r="E175" s="1173"/>
      <c r="F175" s="1173"/>
      <c r="G175" s="1181"/>
      <c r="H175" s="1181"/>
      <c r="I175" s="1181"/>
      <c r="J175" s="133"/>
      <c r="K175" s="164"/>
      <c r="M175" s="134"/>
      <c r="AA175"/>
      <c r="AB175"/>
      <c r="AC175"/>
      <c r="AD175"/>
      <c r="AE175"/>
      <c r="AF175"/>
      <c r="AG175"/>
      <c r="AH175"/>
      <c r="AI175"/>
    </row>
    <row r="176" spans="1:35" s="213" customFormat="1" x14ac:dyDescent="0.25">
      <c r="A176" s="514"/>
      <c r="B176" s="134"/>
      <c r="C176" s="1173"/>
      <c r="D176" s="1173"/>
      <c r="E176" s="1173"/>
      <c r="F176" s="1173"/>
      <c r="G176" s="1181"/>
      <c r="H176" s="1181"/>
      <c r="I176" s="1181"/>
      <c r="J176" s="133"/>
      <c r="K176" s="164"/>
      <c r="M176" s="134"/>
      <c r="AA176"/>
      <c r="AB176"/>
      <c r="AC176"/>
      <c r="AD176"/>
      <c r="AE176"/>
      <c r="AF176"/>
      <c r="AG176"/>
      <c r="AH176"/>
      <c r="AI176"/>
    </row>
    <row r="177" spans="1:35" s="213" customFormat="1" x14ac:dyDescent="0.25">
      <c r="A177" s="514"/>
      <c r="B177" s="134"/>
      <c r="C177" s="1173"/>
      <c r="D177" s="1173"/>
      <c r="E177" s="1173"/>
      <c r="F177" s="1173"/>
      <c r="G177" s="1181"/>
      <c r="H177" s="1181"/>
      <c r="I177" s="1181"/>
      <c r="J177" s="133"/>
      <c r="K177" s="164"/>
      <c r="M177" s="134"/>
      <c r="AA177"/>
      <c r="AB177"/>
      <c r="AC177"/>
      <c r="AD177"/>
      <c r="AE177"/>
      <c r="AF177"/>
      <c r="AG177"/>
      <c r="AH177"/>
      <c r="AI177"/>
    </row>
    <row r="178" spans="1:35" s="213" customFormat="1" x14ac:dyDescent="0.25">
      <c r="A178" s="514"/>
      <c r="B178" s="134"/>
      <c r="C178" s="1173"/>
      <c r="D178" s="1173"/>
      <c r="E178" s="1173"/>
      <c r="F178" s="1173"/>
      <c r="G178" s="1181"/>
      <c r="H178" s="1181"/>
      <c r="I178" s="1181"/>
      <c r="J178" s="133"/>
      <c r="K178" s="164"/>
      <c r="M178" s="134"/>
      <c r="AA178"/>
      <c r="AB178"/>
      <c r="AC178"/>
      <c r="AD178"/>
      <c r="AE178"/>
      <c r="AF178"/>
      <c r="AG178"/>
      <c r="AH178"/>
      <c r="AI178"/>
    </row>
    <row r="179" spans="1:35" s="213" customFormat="1" x14ac:dyDescent="0.25">
      <c r="A179" s="514"/>
      <c r="B179" s="134"/>
      <c r="C179" s="1173"/>
      <c r="D179" s="1173"/>
      <c r="E179" s="1173"/>
      <c r="F179" s="1173"/>
      <c r="G179" s="1181"/>
      <c r="H179" s="1181"/>
      <c r="I179" s="1181"/>
      <c r="J179" s="133"/>
      <c r="K179" s="164"/>
      <c r="M179" s="134"/>
      <c r="AA179"/>
      <c r="AB179"/>
      <c r="AC179"/>
      <c r="AD179"/>
      <c r="AE179"/>
      <c r="AF179"/>
      <c r="AG179"/>
      <c r="AH179"/>
      <c r="AI179"/>
    </row>
    <row r="180" spans="1:35" s="213" customFormat="1" x14ac:dyDescent="0.25">
      <c r="A180" s="514"/>
      <c r="B180" s="134"/>
      <c r="C180" s="1173"/>
      <c r="D180" s="1173"/>
      <c r="E180" s="1173"/>
      <c r="F180" s="1173"/>
      <c r="G180" s="1181"/>
      <c r="H180" s="1181"/>
      <c r="I180" s="1181"/>
      <c r="J180" s="133"/>
      <c r="K180" s="164"/>
      <c r="M180" s="134"/>
      <c r="AA180"/>
      <c r="AB180"/>
      <c r="AC180"/>
      <c r="AD180"/>
      <c r="AE180"/>
      <c r="AF180"/>
      <c r="AG180"/>
      <c r="AH180"/>
      <c r="AI180"/>
    </row>
    <row r="181" spans="1:35" s="213" customFormat="1" x14ac:dyDescent="0.25">
      <c r="A181" s="514"/>
      <c r="B181" s="134"/>
      <c r="C181" s="1173"/>
      <c r="D181" s="1173"/>
      <c r="E181" s="1173"/>
      <c r="F181" s="1173"/>
      <c r="G181" s="1181"/>
      <c r="H181" s="1181"/>
      <c r="I181" s="1181"/>
      <c r="J181" s="133"/>
      <c r="K181" s="164"/>
      <c r="M181" s="134"/>
      <c r="AA181"/>
      <c r="AB181"/>
      <c r="AC181"/>
      <c r="AD181"/>
      <c r="AE181"/>
      <c r="AF181"/>
      <c r="AG181"/>
      <c r="AH181"/>
      <c r="AI181"/>
    </row>
    <row r="182" spans="1:35" s="213" customFormat="1" x14ac:dyDescent="0.25">
      <c r="A182" s="514"/>
      <c r="B182" s="134"/>
      <c r="C182" s="1173"/>
      <c r="D182" s="1173"/>
      <c r="E182" s="1173"/>
      <c r="F182" s="1173"/>
      <c r="G182" s="1181"/>
      <c r="H182" s="1181"/>
      <c r="I182" s="1181"/>
      <c r="J182" s="133"/>
      <c r="K182" s="164"/>
      <c r="M182" s="134"/>
      <c r="AA182"/>
      <c r="AB182"/>
      <c r="AC182"/>
      <c r="AD182"/>
      <c r="AE182"/>
      <c r="AF182"/>
      <c r="AG182"/>
      <c r="AH182"/>
      <c r="AI182"/>
    </row>
    <row r="183" spans="1:35" s="213" customFormat="1" x14ac:dyDescent="0.25">
      <c r="A183" s="514"/>
      <c r="B183" s="134"/>
      <c r="C183" s="1173"/>
      <c r="D183" s="1173"/>
      <c r="E183" s="1173"/>
      <c r="F183" s="1173"/>
      <c r="G183" s="1181"/>
      <c r="H183" s="1181"/>
      <c r="I183" s="1181"/>
      <c r="J183" s="133"/>
      <c r="K183" s="164"/>
      <c r="M183" s="134"/>
      <c r="AA183"/>
      <c r="AB183"/>
      <c r="AC183"/>
      <c r="AD183"/>
      <c r="AE183"/>
      <c r="AF183"/>
      <c r="AG183"/>
      <c r="AH183"/>
      <c r="AI183"/>
    </row>
    <row r="184" spans="1:35" s="213" customFormat="1" x14ac:dyDescent="0.25">
      <c r="A184" s="514"/>
      <c r="B184" s="134"/>
      <c r="C184" s="1173"/>
      <c r="D184" s="1173"/>
      <c r="E184" s="1173"/>
      <c r="F184" s="1173"/>
      <c r="G184" s="1181"/>
      <c r="H184" s="1181"/>
      <c r="I184" s="1181"/>
      <c r="J184" s="133"/>
      <c r="K184" s="164"/>
      <c r="M184" s="134"/>
      <c r="AA184"/>
      <c r="AB184"/>
      <c r="AC184"/>
      <c r="AD184"/>
      <c r="AE184"/>
      <c r="AF184"/>
      <c r="AG184"/>
      <c r="AH184"/>
      <c r="AI184"/>
    </row>
    <row r="185" spans="1:35" s="213" customFormat="1" x14ac:dyDescent="0.25">
      <c r="A185" s="514"/>
      <c r="B185" s="134"/>
      <c r="C185" s="1173"/>
      <c r="D185" s="1173"/>
      <c r="E185" s="1173"/>
      <c r="F185" s="1173"/>
      <c r="G185" s="1181"/>
      <c r="H185" s="1181"/>
      <c r="I185" s="1181"/>
      <c r="J185" s="133"/>
      <c r="K185" s="164"/>
      <c r="M185" s="134"/>
      <c r="AA185"/>
      <c r="AB185"/>
      <c r="AC185"/>
      <c r="AD185"/>
      <c r="AE185"/>
      <c r="AF185"/>
      <c r="AG185"/>
      <c r="AH185"/>
      <c r="AI185"/>
    </row>
    <row r="186" spans="1:35" s="213" customFormat="1" x14ac:dyDescent="0.25">
      <c r="A186" s="514"/>
      <c r="B186" s="134"/>
      <c r="C186" s="1173"/>
      <c r="D186" s="1173"/>
      <c r="E186" s="1173"/>
      <c r="F186" s="1173"/>
      <c r="G186" s="1181"/>
      <c r="H186" s="1181"/>
      <c r="I186" s="1181"/>
      <c r="J186" s="133"/>
      <c r="K186" s="164"/>
      <c r="M186" s="134"/>
      <c r="AA186"/>
      <c r="AB186"/>
      <c r="AC186"/>
      <c r="AD186"/>
      <c r="AE186"/>
      <c r="AF186"/>
      <c r="AG186"/>
      <c r="AH186"/>
      <c r="AI186"/>
    </row>
    <row r="187" spans="1:35" s="213" customFormat="1" x14ac:dyDescent="0.25">
      <c r="A187" s="514"/>
      <c r="B187" s="134"/>
      <c r="C187" s="1173"/>
      <c r="D187" s="1173"/>
      <c r="E187" s="1173"/>
      <c r="F187" s="1173"/>
      <c r="G187" s="1181"/>
      <c r="H187" s="1181"/>
      <c r="I187" s="1181"/>
      <c r="J187" s="133"/>
      <c r="K187" s="164"/>
      <c r="M187" s="134"/>
      <c r="AA187"/>
      <c r="AB187"/>
      <c r="AC187"/>
      <c r="AD187"/>
      <c r="AE187"/>
      <c r="AF187"/>
      <c r="AG187"/>
      <c r="AH187"/>
      <c r="AI187"/>
    </row>
    <row r="188" spans="1:35" s="213" customFormat="1" x14ac:dyDescent="0.25">
      <c r="A188" s="514"/>
      <c r="B188" s="134"/>
      <c r="C188" s="1173"/>
      <c r="D188" s="1173"/>
      <c r="E188" s="1173"/>
      <c r="F188" s="1173"/>
      <c r="G188" s="1181"/>
      <c r="H188" s="1181"/>
      <c r="I188" s="1181"/>
      <c r="J188" s="133"/>
      <c r="K188" s="164"/>
      <c r="M188" s="134"/>
      <c r="AA188"/>
      <c r="AB188"/>
      <c r="AC188"/>
      <c r="AD188"/>
      <c r="AE188"/>
      <c r="AF188"/>
      <c r="AG188"/>
      <c r="AH188"/>
      <c r="AI188"/>
    </row>
    <row r="189" spans="1:35" s="213" customFormat="1" x14ac:dyDescent="0.25">
      <c r="A189" s="514"/>
      <c r="B189" s="134"/>
      <c r="C189" s="1173"/>
      <c r="D189" s="1173"/>
      <c r="E189" s="1173"/>
      <c r="F189" s="1173"/>
      <c r="G189" s="1181"/>
      <c r="H189" s="1181"/>
      <c r="I189" s="1181"/>
      <c r="J189" s="133"/>
      <c r="K189" s="164"/>
      <c r="M189" s="134"/>
      <c r="AA189"/>
      <c r="AB189"/>
      <c r="AC189"/>
      <c r="AD189"/>
      <c r="AE189"/>
      <c r="AF189"/>
      <c r="AG189"/>
      <c r="AH189"/>
      <c r="AI189"/>
    </row>
    <row r="190" spans="1:35" s="213" customFormat="1" x14ac:dyDescent="0.25">
      <c r="A190" s="514"/>
      <c r="B190" s="134"/>
      <c r="C190" s="1173"/>
      <c r="D190" s="1173"/>
      <c r="E190" s="1173"/>
      <c r="F190" s="1173"/>
      <c r="G190" s="1181"/>
      <c r="H190" s="1181"/>
      <c r="I190" s="1181"/>
      <c r="J190" s="133"/>
      <c r="K190" s="164"/>
      <c r="M190" s="134"/>
      <c r="AA190"/>
      <c r="AB190"/>
      <c r="AC190"/>
      <c r="AD190"/>
      <c r="AE190"/>
      <c r="AF190"/>
      <c r="AG190"/>
      <c r="AH190"/>
      <c r="AI190"/>
    </row>
    <row r="191" spans="1:35" s="213" customFormat="1" x14ac:dyDescent="0.25">
      <c r="A191" s="514"/>
      <c r="B191" s="134"/>
      <c r="C191" s="1173"/>
      <c r="D191" s="1173"/>
      <c r="E191" s="1173"/>
      <c r="F191" s="1173"/>
      <c r="G191" s="1181"/>
      <c r="H191" s="1181"/>
      <c r="I191" s="1181"/>
      <c r="J191" s="133"/>
      <c r="K191" s="164"/>
      <c r="M191" s="134"/>
      <c r="AA191"/>
      <c r="AB191"/>
      <c r="AC191"/>
      <c r="AD191"/>
      <c r="AE191"/>
      <c r="AF191"/>
      <c r="AG191"/>
      <c r="AH191"/>
      <c r="AI191"/>
    </row>
    <row r="192" spans="1:35" s="213" customFormat="1" x14ac:dyDescent="0.25">
      <c r="A192" s="514"/>
      <c r="B192" s="134"/>
      <c r="C192" s="1173"/>
      <c r="D192" s="1173"/>
      <c r="E192" s="1173"/>
      <c r="F192" s="1173"/>
      <c r="G192" s="1181"/>
      <c r="H192" s="1181"/>
      <c r="I192" s="1181"/>
      <c r="J192" s="133"/>
      <c r="K192" s="164"/>
      <c r="M192" s="134"/>
      <c r="AA192"/>
      <c r="AB192"/>
      <c r="AC192"/>
      <c r="AD192"/>
      <c r="AE192"/>
      <c r="AF192"/>
      <c r="AG192"/>
      <c r="AH192"/>
      <c r="AI192"/>
    </row>
    <row r="193" spans="1:35" s="213" customFormat="1" x14ac:dyDescent="0.25">
      <c r="A193" s="514"/>
      <c r="B193" s="134"/>
      <c r="C193" s="1173"/>
      <c r="D193" s="1173"/>
      <c r="E193" s="1173"/>
      <c r="F193" s="1173"/>
      <c r="G193" s="1181"/>
      <c r="H193" s="1181"/>
      <c r="I193" s="1181"/>
      <c r="J193" s="133"/>
      <c r="K193" s="164"/>
      <c r="M193" s="134"/>
      <c r="AA193"/>
      <c r="AB193"/>
      <c r="AC193"/>
      <c r="AD193"/>
      <c r="AE193"/>
      <c r="AF193"/>
      <c r="AG193"/>
      <c r="AH193"/>
      <c r="AI193"/>
    </row>
    <row r="194" spans="1:35" s="213" customFormat="1" x14ac:dyDescent="0.25">
      <c r="A194" s="514"/>
      <c r="B194" s="134"/>
      <c r="C194" s="1173"/>
      <c r="D194" s="1173"/>
      <c r="E194" s="1173"/>
      <c r="F194" s="1173"/>
      <c r="G194" s="1181"/>
      <c r="H194" s="1181"/>
      <c r="I194" s="1181"/>
      <c r="J194" s="133"/>
      <c r="K194" s="164"/>
      <c r="M194" s="134"/>
      <c r="AA194"/>
      <c r="AB194"/>
      <c r="AC194"/>
      <c r="AD194"/>
      <c r="AE194"/>
      <c r="AF194"/>
      <c r="AG194"/>
      <c r="AH194"/>
      <c r="AI194"/>
    </row>
    <row r="195" spans="1:35" s="213" customFormat="1" x14ac:dyDescent="0.25">
      <c r="A195" s="514"/>
      <c r="B195" s="134"/>
      <c r="C195" s="1173"/>
      <c r="D195" s="1173"/>
      <c r="E195" s="1173"/>
      <c r="F195" s="1173"/>
      <c r="G195" s="1181"/>
      <c r="H195" s="1181"/>
      <c r="I195" s="1181"/>
      <c r="J195" s="133"/>
      <c r="K195" s="164"/>
      <c r="M195" s="134"/>
      <c r="AA195"/>
      <c r="AB195"/>
      <c r="AC195"/>
      <c r="AD195"/>
      <c r="AE195"/>
      <c r="AF195"/>
      <c r="AG195"/>
      <c r="AH195"/>
      <c r="AI195"/>
    </row>
    <row r="196" spans="1:35" s="213" customFormat="1" x14ac:dyDescent="0.25">
      <c r="A196" s="514"/>
      <c r="B196" s="134"/>
      <c r="C196" s="1173"/>
      <c r="D196" s="1173"/>
      <c r="E196" s="1173"/>
      <c r="F196" s="1173"/>
      <c r="G196" s="1181"/>
      <c r="H196" s="1181"/>
      <c r="I196" s="1181"/>
      <c r="J196" s="133"/>
      <c r="K196" s="164"/>
      <c r="M196" s="134"/>
      <c r="AA196"/>
      <c r="AB196"/>
      <c r="AC196"/>
      <c r="AD196"/>
      <c r="AE196"/>
      <c r="AF196"/>
      <c r="AG196"/>
      <c r="AH196"/>
      <c r="AI196"/>
    </row>
    <row r="197" spans="1:35" s="213" customFormat="1" x14ac:dyDescent="0.25">
      <c r="A197" s="514"/>
      <c r="B197" s="134"/>
      <c r="C197" s="1173"/>
      <c r="D197" s="1173"/>
      <c r="E197" s="1173"/>
      <c r="F197" s="1173"/>
      <c r="G197" s="1181"/>
      <c r="H197" s="1181"/>
      <c r="I197" s="1181"/>
      <c r="J197" s="133"/>
      <c r="K197" s="164"/>
      <c r="M197" s="134"/>
      <c r="AA197"/>
      <c r="AB197"/>
      <c r="AC197"/>
      <c r="AD197"/>
      <c r="AE197"/>
      <c r="AF197"/>
      <c r="AG197"/>
      <c r="AH197"/>
      <c r="AI197"/>
    </row>
    <row r="198" spans="1:35" s="213" customFormat="1" x14ac:dyDescent="0.25">
      <c r="A198" s="514"/>
      <c r="B198" s="134"/>
      <c r="C198" s="1173"/>
      <c r="D198" s="1173"/>
      <c r="E198" s="1173"/>
      <c r="F198" s="1173"/>
      <c r="G198" s="1181"/>
      <c r="H198" s="1181"/>
      <c r="I198" s="1181"/>
      <c r="J198" s="133"/>
      <c r="K198" s="164"/>
      <c r="M198" s="134"/>
      <c r="AA198"/>
      <c r="AB198"/>
      <c r="AC198"/>
      <c r="AD198"/>
      <c r="AE198"/>
      <c r="AF198"/>
      <c r="AG198"/>
      <c r="AH198"/>
      <c r="AI198"/>
    </row>
    <row r="199" spans="1:35" s="213" customFormat="1" x14ac:dyDescent="0.25">
      <c r="A199" s="514"/>
      <c r="B199" s="134"/>
      <c r="C199" s="1173"/>
      <c r="D199" s="1173"/>
      <c r="E199" s="1173"/>
      <c r="F199" s="1173"/>
      <c r="G199" s="1181"/>
      <c r="H199" s="1181"/>
      <c r="I199" s="1181"/>
      <c r="J199" s="133"/>
      <c r="K199" s="164"/>
      <c r="M199" s="134"/>
      <c r="AA199"/>
      <c r="AB199"/>
      <c r="AC199"/>
      <c r="AD199"/>
      <c r="AE199"/>
      <c r="AF199"/>
      <c r="AG199"/>
      <c r="AH199"/>
      <c r="AI199"/>
    </row>
    <row r="200" spans="1:35" s="213" customFormat="1" x14ac:dyDescent="0.25">
      <c r="A200" s="514"/>
      <c r="B200" s="134"/>
      <c r="C200" s="1173"/>
      <c r="D200" s="1173"/>
      <c r="E200" s="1173"/>
      <c r="F200" s="1173"/>
      <c r="G200" s="1181"/>
      <c r="H200" s="1181"/>
      <c r="I200" s="1181"/>
      <c r="J200" s="133"/>
      <c r="K200" s="164"/>
      <c r="M200" s="134"/>
      <c r="AA200"/>
      <c r="AB200"/>
      <c r="AC200"/>
      <c r="AD200"/>
      <c r="AE200"/>
      <c r="AF200"/>
      <c r="AG200"/>
      <c r="AH200"/>
      <c r="AI200"/>
    </row>
    <row r="201" spans="1:35" s="213" customFormat="1" x14ac:dyDescent="0.25">
      <c r="A201" s="514"/>
      <c r="B201" s="134"/>
      <c r="C201" s="1173"/>
      <c r="D201" s="1173"/>
      <c r="E201" s="1173"/>
      <c r="F201" s="1173"/>
      <c r="G201" s="1181"/>
      <c r="H201" s="1181"/>
      <c r="I201" s="1181"/>
      <c r="J201" s="133"/>
      <c r="K201" s="164"/>
      <c r="M201" s="134"/>
      <c r="AA201"/>
      <c r="AB201"/>
      <c r="AC201"/>
      <c r="AD201"/>
      <c r="AE201"/>
      <c r="AF201"/>
      <c r="AG201"/>
      <c r="AH201"/>
      <c r="AI201"/>
    </row>
    <row r="202" spans="1:35" s="213" customFormat="1" x14ac:dyDescent="0.25">
      <c r="A202" s="514"/>
      <c r="B202" s="134"/>
      <c r="C202" s="1173"/>
      <c r="D202" s="1173"/>
      <c r="E202" s="1173"/>
      <c r="F202" s="1173"/>
      <c r="G202" s="1181"/>
      <c r="H202" s="1181"/>
      <c r="I202" s="1181"/>
      <c r="J202" s="133"/>
      <c r="K202" s="164"/>
      <c r="M202" s="134"/>
      <c r="AA202"/>
      <c r="AB202"/>
      <c r="AC202"/>
      <c r="AD202"/>
      <c r="AE202"/>
      <c r="AF202"/>
      <c r="AG202"/>
      <c r="AH202"/>
      <c r="AI202"/>
    </row>
    <row r="203" spans="1:35" s="213" customFormat="1" x14ac:dyDescent="0.25">
      <c r="A203" s="514"/>
      <c r="B203" s="134"/>
      <c r="C203" s="1173"/>
      <c r="D203" s="1173"/>
      <c r="E203" s="1173"/>
      <c r="F203" s="1173"/>
      <c r="G203" s="1181"/>
      <c r="H203" s="1181"/>
      <c r="I203" s="1181"/>
      <c r="J203" s="133"/>
      <c r="K203" s="164"/>
      <c r="M203" s="134"/>
      <c r="AA203"/>
      <c r="AB203"/>
      <c r="AC203"/>
      <c r="AD203"/>
      <c r="AE203"/>
      <c r="AF203"/>
      <c r="AG203"/>
      <c r="AH203"/>
      <c r="AI203"/>
    </row>
    <row r="204" spans="1:35" s="213" customFormat="1" x14ac:dyDescent="0.25">
      <c r="A204" s="514"/>
      <c r="B204" s="134"/>
      <c r="C204" s="1173"/>
      <c r="D204" s="1173"/>
      <c r="E204" s="1173"/>
      <c r="F204" s="1173"/>
      <c r="G204" s="1181"/>
      <c r="H204" s="1181"/>
      <c r="I204" s="1181"/>
      <c r="J204" s="133"/>
      <c r="K204" s="164"/>
      <c r="M204" s="134"/>
      <c r="AA204"/>
      <c r="AB204"/>
      <c r="AC204"/>
      <c r="AD204"/>
      <c r="AE204"/>
      <c r="AF204"/>
      <c r="AG204"/>
      <c r="AH204"/>
      <c r="AI204"/>
    </row>
    <row r="205" spans="1:35" s="213" customFormat="1" x14ac:dyDescent="0.25">
      <c r="A205" s="514"/>
      <c r="B205" s="134"/>
      <c r="C205" s="1173"/>
      <c r="D205" s="1173"/>
      <c r="E205" s="1173"/>
      <c r="F205" s="1173"/>
      <c r="G205" s="1181"/>
      <c r="H205" s="1181"/>
      <c r="I205" s="1181"/>
      <c r="J205" s="133"/>
      <c r="K205" s="164"/>
      <c r="M205" s="134"/>
      <c r="AA205"/>
      <c r="AB205"/>
      <c r="AC205"/>
      <c r="AD205"/>
      <c r="AE205"/>
      <c r="AF205"/>
      <c r="AG205"/>
      <c r="AH205"/>
      <c r="AI205"/>
    </row>
    <row r="206" spans="1:35" s="213" customFormat="1" x14ac:dyDescent="0.25">
      <c r="A206" s="514"/>
      <c r="B206" s="134"/>
      <c r="C206" s="1173"/>
      <c r="D206" s="1173"/>
      <c r="E206" s="1173"/>
      <c r="F206" s="1173"/>
      <c r="G206" s="1181"/>
      <c r="H206" s="1181"/>
      <c r="I206" s="1181"/>
      <c r="J206" s="133"/>
      <c r="K206" s="164"/>
      <c r="M206" s="134"/>
      <c r="AA206"/>
      <c r="AB206"/>
      <c r="AC206"/>
      <c r="AD206"/>
      <c r="AE206"/>
      <c r="AF206"/>
      <c r="AG206"/>
      <c r="AH206"/>
      <c r="AI206"/>
    </row>
    <row r="207" spans="1:35" s="213" customFormat="1" x14ac:dyDescent="0.25">
      <c r="A207" s="514"/>
      <c r="B207" s="134"/>
      <c r="C207" s="1173"/>
      <c r="D207" s="1173"/>
      <c r="E207" s="1173"/>
      <c r="F207" s="1173"/>
      <c r="G207" s="1181"/>
      <c r="H207" s="1181"/>
      <c r="I207" s="1181"/>
      <c r="J207" s="133"/>
      <c r="K207" s="164"/>
      <c r="M207" s="134"/>
      <c r="AA207"/>
      <c r="AB207"/>
      <c r="AC207"/>
      <c r="AD207"/>
      <c r="AE207"/>
      <c r="AF207"/>
      <c r="AG207"/>
      <c r="AH207"/>
      <c r="AI207"/>
    </row>
    <row r="208" spans="1:35" s="213" customFormat="1" x14ac:dyDescent="0.25">
      <c r="A208" s="514"/>
      <c r="B208" s="134"/>
      <c r="C208" s="1173"/>
      <c r="D208" s="1173"/>
      <c r="E208" s="1173"/>
      <c r="F208" s="1173"/>
      <c r="G208" s="1181"/>
      <c r="H208" s="1181"/>
      <c r="I208" s="1181"/>
      <c r="J208" s="133"/>
      <c r="K208" s="164"/>
      <c r="M208" s="134"/>
      <c r="AA208"/>
      <c r="AB208"/>
      <c r="AC208"/>
      <c r="AD208"/>
      <c r="AE208"/>
      <c r="AF208"/>
      <c r="AG208"/>
      <c r="AH208"/>
      <c r="AI208"/>
    </row>
    <row r="209" spans="1:35" s="213" customFormat="1" x14ac:dyDescent="0.25">
      <c r="A209" s="514"/>
      <c r="B209" s="134"/>
      <c r="C209" s="1173"/>
      <c r="D209" s="1173"/>
      <c r="E209" s="1173"/>
      <c r="F209" s="1173"/>
      <c r="G209" s="1181"/>
      <c r="H209" s="1181"/>
      <c r="I209" s="1181"/>
      <c r="J209" s="133"/>
      <c r="K209" s="164"/>
      <c r="M209" s="134"/>
      <c r="AA209"/>
      <c r="AB209"/>
      <c r="AC209"/>
      <c r="AD209"/>
      <c r="AE209"/>
      <c r="AF209"/>
      <c r="AG209"/>
      <c r="AH209"/>
      <c r="AI209"/>
    </row>
    <row r="210" spans="1:35" s="213" customFormat="1" x14ac:dyDescent="0.25">
      <c r="A210" s="514"/>
      <c r="B210" s="134"/>
      <c r="C210" s="1173"/>
      <c r="D210" s="1173"/>
      <c r="E210" s="1173"/>
      <c r="F210" s="1173"/>
      <c r="G210" s="1181"/>
      <c r="H210" s="1181"/>
      <c r="I210" s="1181"/>
      <c r="J210" s="133"/>
      <c r="K210" s="164"/>
      <c r="M210" s="134"/>
      <c r="AA210"/>
      <c r="AB210"/>
      <c r="AC210"/>
      <c r="AD210"/>
      <c r="AE210"/>
      <c r="AF210"/>
      <c r="AG210"/>
      <c r="AH210"/>
      <c r="AI210"/>
    </row>
    <row r="211" spans="1:35" s="213" customFormat="1" x14ac:dyDescent="0.25">
      <c r="A211" s="514"/>
      <c r="B211" s="134"/>
      <c r="C211" s="1173"/>
      <c r="D211" s="1173"/>
      <c r="E211" s="1173"/>
      <c r="F211" s="1173"/>
      <c r="G211" s="1181"/>
      <c r="H211" s="1181"/>
      <c r="I211" s="1181"/>
      <c r="J211" s="133"/>
      <c r="K211" s="164"/>
      <c r="M211" s="134"/>
      <c r="AA211"/>
      <c r="AB211"/>
      <c r="AC211"/>
      <c r="AD211"/>
      <c r="AE211"/>
      <c r="AF211"/>
      <c r="AG211"/>
      <c r="AH211"/>
      <c r="AI211"/>
    </row>
    <row r="212" spans="1:35" s="213" customFormat="1" x14ac:dyDescent="0.25">
      <c r="A212" s="514"/>
      <c r="B212" s="134"/>
      <c r="C212" s="1173"/>
      <c r="D212" s="1173"/>
      <c r="E212" s="1173"/>
      <c r="F212" s="1173"/>
      <c r="G212" s="1181"/>
      <c r="H212" s="1181"/>
      <c r="I212" s="1181"/>
      <c r="J212" s="133"/>
      <c r="K212" s="164"/>
      <c r="M212" s="134"/>
      <c r="AA212"/>
      <c r="AB212"/>
      <c r="AC212"/>
      <c r="AD212"/>
      <c r="AE212"/>
      <c r="AF212"/>
      <c r="AG212"/>
      <c r="AH212"/>
      <c r="AI212"/>
    </row>
    <row r="213" spans="1:35" s="213" customFormat="1" x14ac:dyDescent="0.25">
      <c r="A213" s="514"/>
      <c r="B213" s="134"/>
      <c r="C213" s="1173"/>
      <c r="D213" s="1173"/>
      <c r="E213" s="1173"/>
      <c r="F213" s="1173"/>
      <c r="G213" s="1181"/>
      <c r="H213" s="1181"/>
      <c r="I213" s="1181"/>
      <c r="J213" s="133"/>
      <c r="K213" s="164"/>
      <c r="M213" s="134"/>
      <c r="AA213"/>
      <c r="AB213"/>
      <c r="AC213"/>
      <c r="AD213"/>
      <c r="AE213"/>
      <c r="AF213"/>
      <c r="AG213"/>
      <c r="AH213"/>
      <c r="AI213"/>
    </row>
    <row r="214" spans="1:35" s="213" customFormat="1" x14ac:dyDescent="0.25">
      <c r="A214" s="514"/>
      <c r="B214" s="134"/>
      <c r="C214" s="1173"/>
      <c r="D214" s="1173"/>
      <c r="E214" s="1173"/>
      <c r="F214" s="1173"/>
      <c r="G214" s="1181"/>
      <c r="H214" s="1181"/>
      <c r="I214" s="1181"/>
      <c r="J214" s="133"/>
      <c r="K214" s="164"/>
      <c r="M214" s="134"/>
      <c r="AA214"/>
      <c r="AB214"/>
      <c r="AC214"/>
      <c r="AD214"/>
      <c r="AE214"/>
      <c r="AF214"/>
      <c r="AG214"/>
      <c r="AH214"/>
      <c r="AI214"/>
    </row>
    <row r="215" spans="1:35" s="213" customFormat="1" x14ac:dyDescent="0.25">
      <c r="A215" s="514"/>
      <c r="B215" s="134"/>
      <c r="C215" s="1173"/>
      <c r="D215" s="1173"/>
      <c r="E215" s="1173"/>
      <c r="F215" s="1173"/>
      <c r="G215" s="1181"/>
      <c r="H215" s="1181"/>
      <c r="I215" s="1181"/>
      <c r="J215" s="133"/>
      <c r="K215" s="164"/>
      <c r="M215" s="134"/>
      <c r="AA215"/>
      <c r="AB215"/>
      <c r="AC215"/>
      <c r="AD215"/>
      <c r="AE215"/>
      <c r="AF215"/>
      <c r="AG215"/>
      <c r="AH215"/>
      <c r="AI215"/>
    </row>
    <row r="216" spans="1:35" s="213" customFormat="1" x14ac:dyDescent="0.25">
      <c r="A216" s="514"/>
      <c r="B216" s="134"/>
      <c r="C216" s="1173"/>
      <c r="D216" s="1173"/>
      <c r="E216" s="1173"/>
      <c r="F216" s="1173"/>
      <c r="G216" s="1181"/>
      <c r="H216" s="1181"/>
      <c r="I216" s="1181"/>
      <c r="J216" s="133"/>
      <c r="K216" s="164"/>
      <c r="M216" s="134"/>
      <c r="AA216"/>
      <c r="AB216"/>
      <c r="AC216"/>
      <c r="AD216"/>
      <c r="AE216"/>
      <c r="AF216"/>
      <c r="AG216"/>
      <c r="AH216"/>
      <c r="AI216"/>
    </row>
    <row r="217" spans="1:35" s="213" customFormat="1" x14ac:dyDescent="0.25">
      <c r="A217" s="514"/>
      <c r="B217" s="134"/>
      <c r="C217" s="1173"/>
      <c r="D217" s="1173"/>
      <c r="E217" s="1173"/>
      <c r="F217" s="1173"/>
      <c r="G217" s="1181"/>
      <c r="H217" s="1181"/>
      <c r="I217" s="1181"/>
      <c r="J217" s="133"/>
      <c r="K217" s="164"/>
      <c r="M217" s="134"/>
      <c r="AA217"/>
      <c r="AB217"/>
      <c r="AC217"/>
      <c r="AD217"/>
      <c r="AE217"/>
      <c r="AF217"/>
      <c r="AG217"/>
      <c r="AH217"/>
      <c r="AI217"/>
    </row>
    <row r="218" spans="1:35" s="213" customFormat="1" x14ac:dyDescent="0.25">
      <c r="A218" s="514"/>
      <c r="B218" s="134"/>
      <c r="C218" s="1173"/>
      <c r="D218" s="1173"/>
      <c r="E218" s="1173"/>
      <c r="F218" s="1173"/>
      <c r="G218" s="1181"/>
      <c r="H218" s="1181"/>
      <c r="I218" s="1181"/>
      <c r="J218" s="133"/>
      <c r="K218" s="164"/>
      <c r="M218" s="134"/>
      <c r="AA218"/>
      <c r="AB218"/>
      <c r="AC218"/>
      <c r="AD218"/>
      <c r="AE218"/>
      <c r="AF218"/>
      <c r="AG218"/>
      <c r="AH218"/>
      <c r="AI218"/>
    </row>
    <row r="219" spans="1:35" s="213" customFormat="1" x14ac:dyDescent="0.25">
      <c r="A219" s="514"/>
      <c r="B219" s="134"/>
      <c r="C219" s="1173"/>
      <c r="D219" s="1173"/>
      <c r="E219" s="1173"/>
      <c r="F219" s="1173"/>
      <c r="G219" s="1181"/>
      <c r="H219" s="1181"/>
      <c r="I219" s="1181"/>
      <c r="J219" s="133"/>
      <c r="K219" s="164"/>
      <c r="M219" s="134"/>
      <c r="AA219"/>
      <c r="AB219"/>
      <c r="AC219"/>
      <c r="AD219"/>
      <c r="AE219"/>
      <c r="AF219"/>
      <c r="AG219"/>
      <c r="AH219"/>
      <c r="AI219"/>
    </row>
    <row r="220" spans="1:35" s="213" customFormat="1" x14ac:dyDescent="0.25">
      <c r="A220" s="514"/>
      <c r="B220" s="134"/>
      <c r="C220" s="1173"/>
      <c r="D220" s="1173"/>
      <c r="E220" s="1173"/>
      <c r="F220" s="1173"/>
      <c r="G220" s="1181"/>
      <c r="H220" s="1181"/>
      <c r="I220" s="1181"/>
      <c r="J220" s="133"/>
      <c r="K220" s="164"/>
      <c r="M220" s="134"/>
      <c r="AA220"/>
      <c r="AB220"/>
      <c r="AC220"/>
      <c r="AD220"/>
      <c r="AE220"/>
      <c r="AF220"/>
      <c r="AG220"/>
      <c r="AH220"/>
      <c r="AI220"/>
    </row>
    <row r="221" spans="1:35" s="213" customFormat="1" x14ac:dyDescent="0.25">
      <c r="A221" s="514"/>
      <c r="B221" s="134"/>
      <c r="C221" s="1173"/>
      <c r="D221" s="1173"/>
      <c r="E221" s="1173"/>
      <c r="F221" s="1173"/>
      <c r="G221" s="1181"/>
      <c r="H221" s="1181"/>
      <c r="I221" s="1181"/>
      <c r="J221" s="133"/>
      <c r="K221" s="164"/>
      <c r="M221" s="134"/>
      <c r="AA221"/>
      <c r="AB221"/>
      <c r="AC221"/>
      <c r="AD221"/>
      <c r="AE221"/>
      <c r="AF221"/>
      <c r="AG221"/>
      <c r="AH221"/>
      <c r="AI221"/>
    </row>
    <row r="222" spans="1:35" s="213" customFormat="1" x14ac:dyDescent="0.25">
      <c r="A222" s="514"/>
      <c r="B222" s="134"/>
      <c r="C222" s="1173"/>
      <c r="D222" s="1173"/>
      <c r="E222" s="1173"/>
      <c r="F222" s="1173"/>
      <c r="G222" s="1181"/>
      <c r="H222" s="1181"/>
      <c r="I222" s="1181"/>
      <c r="J222" s="133"/>
      <c r="K222" s="164"/>
      <c r="M222" s="134"/>
      <c r="AA222"/>
      <c r="AB222"/>
      <c r="AC222"/>
      <c r="AD222"/>
      <c r="AE222"/>
      <c r="AF222"/>
      <c r="AG222"/>
      <c r="AH222"/>
      <c r="AI222"/>
    </row>
    <row r="223" spans="1:35" s="213" customFormat="1" x14ac:dyDescent="0.25">
      <c r="A223" s="514"/>
      <c r="B223" s="134"/>
      <c r="C223" s="1173"/>
      <c r="D223" s="1173"/>
      <c r="E223" s="1173"/>
      <c r="F223" s="1173"/>
      <c r="G223" s="1181"/>
      <c r="H223" s="1181"/>
      <c r="I223" s="1181"/>
      <c r="J223" s="133"/>
      <c r="K223" s="164"/>
      <c r="M223" s="134"/>
      <c r="AA223"/>
      <c r="AB223"/>
      <c r="AC223"/>
      <c r="AD223"/>
      <c r="AE223"/>
      <c r="AF223"/>
      <c r="AG223"/>
      <c r="AH223"/>
      <c r="AI223"/>
    </row>
    <row r="224" spans="1:35" s="213" customFormat="1" x14ac:dyDescent="0.25">
      <c r="A224" s="514"/>
      <c r="B224" s="134"/>
      <c r="C224" s="1173"/>
      <c r="D224" s="1173"/>
      <c r="E224" s="1173"/>
      <c r="F224" s="1173"/>
      <c r="G224" s="1181"/>
      <c r="H224" s="1181"/>
      <c r="I224" s="1181"/>
      <c r="J224" s="133"/>
      <c r="K224" s="164"/>
      <c r="M224" s="134"/>
      <c r="AA224"/>
      <c r="AB224"/>
      <c r="AC224"/>
      <c r="AD224"/>
      <c r="AE224"/>
      <c r="AF224"/>
      <c r="AG224"/>
      <c r="AH224"/>
      <c r="AI224"/>
    </row>
    <row r="225" spans="1:35" s="213" customFormat="1" x14ac:dyDescent="0.25">
      <c r="A225" s="514"/>
      <c r="B225" s="134"/>
      <c r="C225" s="1173"/>
      <c r="D225" s="1173"/>
      <c r="E225" s="1173"/>
      <c r="F225" s="1173"/>
      <c r="G225" s="1181"/>
      <c r="H225" s="1181"/>
      <c r="I225" s="1181"/>
      <c r="J225" s="133"/>
      <c r="K225" s="164"/>
      <c r="M225" s="134"/>
      <c r="AA225"/>
      <c r="AB225"/>
      <c r="AC225"/>
      <c r="AD225"/>
      <c r="AE225"/>
      <c r="AF225"/>
      <c r="AG225"/>
      <c r="AH225"/>
      <c r="AI225"/>
    </row>
    <row r="226" spans="1:35" s="213" customFormat="1" x14ac:dyDescent="0.25">
      <c r="A226" s="514"/>
      <c r="B226" s="134"/>
      <c r="C226" s="1173"/>
      <c r="D226" s="1173"/>
      <c r="E226" s="1173"/>
      <c r="F226" s="1173"/>
      <c r="G226" s="1181"/>
      <c r="H226" s="1181"/>
      <c r="I226" s="1181"/>
      <c r="J226" s="133"/>
      <c r="K226" s="164"/>
      <c r="M226" s="134"/>
      <c r="AA226"/>
      <c r="AB226"/>
      <c r="AC226"/>
      <c r="AD226"/>
      <c r="AE226"/>
      <c r="AF226"/>
      <c r="AG226"/>
      <c r="AH226"/>
      <c r="AI226"/>
    </row>
    <row r="227" spans="1:35" s="213" customFormat="1" x14ac:dyDescent="0.25">
      <c r="A227" s="514"/>
      <c r="B227" s="134"/>
      <c r="C227" s="1173"/>
      <c r="D227" s="1173"/>
      <c r="E227" s="1173"/>
      <c r="F227" s="1173"/>
      <c r="G227" s="1181"/>
      <c r="H227" s="1181"/>
      <c r="I227" s="1181"/>
      <c r="J227" s="133"/>
      <c r="K227" s="164"/>
      <c r="M227" s="134"/>
      <c r="AA227"/>
      <c r="AB227"/>
      <c r="AC227"/>
      <c r="AD227"/>
      <c r="AE227"/>
      <c r="AF227"/>
      <c r="AG227"/>
      <c r="AH227"/>
      <c r="AI227"/>
    </row>
    <row r="228" spans="1:35" s="213" customFormat="1" x14ac:dyDescent="0.25">
      <c r="A228" s="514"/>
      <c r="B228" s="134"/>
      <c r="C228" s="1173"/>
      <c r="D228" s="1173"/>
      <c r="E228" s="1173"/>
      <c r="F228" s="1173"/>
      <c r="G228" s="1181"/>
      <c r="H228" s="1181"/>
      <c r="I228" s="1181"/>
      <c r="J228" s="133"/>
      <c r="K228" s="164"/>
      <c r="M228" s="134"/>
      <c r="AA228"/>
      <c r="AB228"/>
      <c r="AC228"/>
      <c r="AD228"/>
      <c r="AE228"/>
      <c r="AF228"/>
      <c r="AG228"/>
      <c r="AH228"/>
      <c r="AI228"/>
    </row>
    <row r="229" spans="1:35" s="213" customFormat="1" x14ac:dyDescent="0.25">
      <c r="A229" s="514"/>
      <c r="B229" s="134"/>
      <c r="C229" s="1173"/>
      <c r="D229" s="1173"/>
      <c r="E229" s="1173"/>
      <c r="F229" s="1173"/>
      <c r="G229" s="1181"/>
      <c r="H229" s="1181"/>
      <c r="I229" s="1181"/>
      <c r="J229" s="133"/>
      <c r="K229" s="164"/>
      <c r="M229" s="134"/>
      <c r="AA229"/>
      <c r="AB229"/>
      <c r="AC229"/>
      <c r="AD229"/>
      <c r="AE229"/>
      <c r="AF229"/>
      <c r="AG229"/>
      <c r="AH229"/>
      <c r="AI229"/>
    </row>
    <row r="230" spans="1:35" s="213" customFormat="1" x14ac:dyDescent="0.25">
      <c r="A230" s="514"/>
      <c r="B230" s="134"/>
      <c r="C230" s="1173"/>
      <c r="D230" s="1173"/>
      <c r="E230" s="1173"/>
      <c r="F230" s="1173"/>
      <c r="G230" s="1181"/>
      <c r="H230" s="1181"/>
      <c r="I230" s="1181"/>
      <c r="J230" s="133"/>
      <c r="K230" s="164"/>
      <c r="M230" s="134"/>
      <c r="AA230"/>
      <c r="AB230"/>
      <c r="AC230"/>
      <c r="AD230"/>
      <c r="AE230"/>
      <c r="AF230"/>
      <c r="AG230"/>
      <c r="AH230"/>
      <c r="AI230"/>
    </row>
    <row r="231" spans="1:35" s="213" customFormat="1" x14ac:dyDescent="0.25">
      <c r="A231" s="514"/>
      <c r="B231" s="134"/>
      <c r="C231" s="1173"/>
      <c r="D231" s="1173"/>
      <c r="E231" s="1173"/>
      <c r="F231" s="1173"/>
      <c r="G231" s="1181"/>
      <c r="H231" s="1181"/>
      <c r="I231" s="1181"/>
      <c r="J231" s="133"/>
      <c r="K231" s="164"/>
      <c r="M231" s="134"/>
      <c r="AA231"/>
      <c r="AB231"/>
      <c r="AC231"/>
      <c r="AD231"/>
      <c r="AE231"/>
      <c r="AF231"/>
      <c r="AG231"/>
      <c r="AH231"/>
      <c r="AI231"/>
    </row>
    <row r="232" spans="1:35" s="213" customFormat="1" x14ac:dyDescent="0.25">
      <c r="A232" s="514"/>
      <c r="B232" s="134"/>
      <c r="C232" s="1173"/>
      <c r="D232" s="1173"/>
      <c r="E232" s="1173"/>
      <c r="F232" s="1173"/>
      <c r="G232" s="1181"/>
      <c r="H232" s="1181"/>
      <c r="I232" s="1181"/>
      <c r="J232" s="133"/>
      <c r="K232" s="164"/>
      <c r="M232" s="134"/>
      <c r="AA232"/>
      <c r="AB232"/>
      <c r="AC232"/>
      <c r="AD232"/>
      <c r="AE232"/>
      <c r="AF232"/>
      <c r="AG232"/>
      <c r="AH232"/>
      <c r="AI232"/>
    </row>
    <row r="233" spans="1:35" s="213" customFormat="1" x14ac:dyDescent="0.25">
      <c r="A233" s="514"/>
      <c r="B233" s="134"/>
      <c r="C233" s="1173"/>
      <c r="D233" s="1173"/>
      <c r="E233" s="1173"/>
      <c r="F233" s="1173"/>
      <c r="G233" s="1181"/>
      <c r="H233" s="1181"/>
      <c r="I233" s="1181"/>
      <c r="J233" s="133"/>
      <c r="K233" s="164"/>
      <c r="M233" s="134"/>
      <c r="AA233"/>
      <c r="AB233"/>
      <c r="AC233"/>
      <c r="AD233"/>
      <c r="AE233"/>
      <c r="AF233"/>
      <c r="AG233"/>
      <c r="AH233"/>
      <c r="AI233"/>
    </row>
    <row r="234" spans="1:35" s="213" customFormat="1" x14ac:dyDescent="0.25">
      <c r="A234" s="514"/>
      <c r="B234" s="134"/>
      <c r="C234" s="1173"/>
      <c r="D234" s="1173"/>
      <c r="E234" s="1173"/>
      <c r="F234" s="1173"/>
      <c r="G234" s="1181"/>
      <c r="H234" s="1181"/>
      <c r="I234" s="1181"/>
      <c r="J234" s="133"/>
      <c r="K234" s="164"/>
      <c r="M234" s="134"/>
      <c r="AA234"/>
      <c r="AB234"/>
      <c r="AC234"/>
      <c r="AD234"/>
      <c r="AE234"/>
      <c r="AF234"/>
      <c r="AG234"/>
      <c r="AH234"/>
      <c r="AI234"/>
    </row>
    <row r="235" spans="1:35" s="213" customFormat="1" x14ac:dyDescent="0.25">
      <c r="A235" s="514"/>
      <c r="B235" s="134"/>
      <c r="C235" s="1173"/>
      <c r="D235" s="1173"/>
      <c r="E235" s="1173"/>
      <c r="F235" s="1173"/>
      <c r="G235" s="1181"/>
      <c r="H235" s="1181"/>
      <c r="I235" s="1181"/>
      <c r="J235" s="133"/>
      <c r="K235" s="164"/>
      <c r="M235" s="134"/>
      <c r="AA235"/>
      <c r="AB235"/>
      <c r="AC235"/>
      <c r="AD235"/>
      <c r="AE235"/>
      <c r="AF235"/>
      <c r="AG235"/>
      <c r="AH235"/>
      <c r="AI235"/>
    </row>
    <row r="236" spans="1:35" s="213" customFormat="1" x14ac:dyDescent="0.25">
      <c r="A236" s="514"/>
      <c r="B236" s="134"/>
      <c r="C236" s="1173"/>
      <c r="D236" s="1173"/>
      <c r="E236" s="1173"/>
      <c r="F236" s="1173"/>
      <c r="G236" s="1181"/>
      <c r="H236" s="1181"/>
      <c r="I236" s="1181"/>
      <c r="J236" s="133"/>
      <c r="K236" s="164"/>
      <c r="M236" s="134"/>
      <c r="AA236"/>
      <c r="AB236"/>
      <c r="AC236"/>
      <c r="AD236"/>
      <c r="AE236"/>
      <c r="AF236"/>
      <c r="AG236"/>
      <c r="AH236"/>
      <c r="AI236"/>
    </row>
    <row r="237" spans="1:35" s="213" customFormat="1" x14ac:dyDescent="0.25">
      <c r="A237" s="514"/>
      <c r="B237" s="134"/>
      <c r="C237" s="1173"/>
      <c r="D237" s="1173"/>
      <c r="E237" s="1173"/>
      <c r="F237" s="1173"/>
      <c r="G237" s="1181"/>
      <c r="H237" s="1181"/>
      <c r="I237" s="1181"/>
      <c r="J237" s="133"/>
      <c r="K237" s="164"/>
      <c r="M237" s="134"/>
      <c r="AA237"/>
      <c r="AB237"/>
      <c r="AC237"/>
      <c r="AD237"/>
      <c r="AE237"/>
      <c r="AF237"/>
      <c r="AG237"/>
      <c r="AH237"/>
      <c r="AI237"/>
    </row>
    <row r="238" spans="1:35" s="213" customFormat="1" x14ac:dyDescent="0.25">
      <c r="A238" s="514"/>
      <c r="B238" s="134"/>
      <c r="C238" s="1173"/>
      <c r="D238" s="1173"/>
      <c r="E238" s="1173"/>
      <c r="F238" s="1173"/>
      <c r="G238" s="1181"/>
      <c r="H238" s="1181"/>
      <c r="I238" s="1181"/>
      <c r="J238" s="133"/>
      <c r="K238" s="164"/>
      <c r="M238" s="134"/>
      <c r="AA238"/>
      <c r="AB238"/>
      <c r="AC238"/>
      <c r="AD238"/>
      <c r="AE238"/>
      <c r="AF238"/>
      <c r="AG238"/>
      <c r="AH238"/>
      <c r="AI238"/>
    </row>
    <row r="239" spans="1:35" s="213" customFormat="1" x14ac:dyDescent="0.25">
      <c r="A239" s="514"/>
      <c r="B239" s="134"/>
      <c r="C239" s="1173"/>
      <c r="D239" s="1173"/>
      <c r="E239" s="1173"/>
      <c r="F239" s="1173"/>
      <c r="G239" s="1181"/>
      <c r="H239" s="1181"/>
      <c r="I239" s="1181"/>
      <c r="J239" s="133"/>
      <c r="K239" s="164"/>
      <c r="M239" s="134"/>
      <c r="AA239"/>
      <c r="AB239"/>
      <c r="AC239"/>
      <c r="AD239"/>
      <c r="AE239"/>
      <c r="AF239"/>
      <c r="AG239"/>
      <c r="AH239"/>
      <c r="AI239"/>
    </row>
    <row r="240" spans="1:35" s="213" customFormat="1" x14ac:dyDescent="0.25">
      <c r="A240" s="514"/>
      <c r="B240" s="134"/>
      <c r="C240" s="1173"/>
      <c r="D240" s="1173"/>
      <c r="E240" s="1173"/>
      <c r="F240" s="1173"/>
      <c r="G240" s="1181"/>
      <c r="H240" s="1181"/>
      <c r="I240" s="1181"/>
      <c r="J240" s="133"/>
      <c r="K240" s="164"/>
      <c r="M240" s="134"/>
      <c r="AA240"/>
      <c r="AB240"/>
      <c r="AC240"/>
      <c r="AD240"/>
      <c r="AE240"/>
      <c r="AF240"/>
      <c r="AG240"/>
      <c r="AH240"/>
      <c r="AI240"/>
    </row>
    <row r="241" spans="1:35" s="213" customFormat="1" x14ac:dyDescent="0.25">
      <c r="A241" s="514"/>
      <c r="B241" s="134"/>
      <c r="C241" s="1173"/>
      <c r="D241" s="1173"/>
      <c r="E241" s="1173"/>
      <c r="F241" s="1173"/>
      <c r="G241" s="1181"/>
      <c r="H241" s="1181"/>
      <c r="I241" s="1181"/>
      <c r="J241" s="133"/>
      <c r="K241" s="164"/>
      <c r="M241" s="134"/>
      <c r="AA241"/>
      <c r="AB241"/>
      <c r="AC241"/>
      <c r="AD241"/>
      <c r="AE241"/>
      <c r="AF241"/>
      <c r="AG241"/>
      <c r="AH241"/>
      <c r="AI241"/>
    </row>
    <row r="242" spans="1:35" s="213" customFormat="1" x14ac:dyDescent="0.25">
      <c r="A242" s="514"/>
      <c r="B242" s="134"/>
      <c r="C242" s="1173"/>
      <c r="D242" s="1173"/>
      <c r="E242" s="1173"/>
      <c r="F242" s="1173"/>
      <c r="G242" s="1181"/>
      <c r="H242" s="1181"/>
      <c r="I242" s="1181"/>
      <c r="J242" s="133"/>
      <c r="K242" s="164"/>
      <c r="M242" s="134"/>
      <c r="AA242"/>
      <c r="AB242"/>
      <c r="AC242"/>
      <c r="AD242"/>
      <c r="AE242"/>
      <c r="AF242"/>
      <c r="AG242"/>
      <c r="AH242"/>
      <c r="AI242"/>
    </row>
    <row r="243" spans="1:35" s="213" customFormat="1" x14ac:dyDescent="0.25">
      <c r="A243" s="514"/>
      <c r="B243" s="134"/>
      <c r="C243" s="1173"/>
      <c r="D243" s="1173"/>
      <c r="E243" s="1173"/>
      <c r="F243" s="1173"/>
      <c r="G243" s="1181"/>
      <c r="H243" s="1181"/>
      <c r="I243" s="1181"/>
      <c r="J243" s="133"/>
      <c r="K243" s="164"/>
      <c r="M243" s="134"/>
      <c r="AA243"/>
      <c r="AB243"/>
      <c r="AC243"/>
      <c r="AD243"/>
      <c r="AE243"/>
      <c r="AF243"/>
      <c r="AG243"/>
      <c r="AH243"/>
      <c r="AI243"/>
    </row>
    <row r="244" spans="1:35" s="213" customFormat="1" x14ac:dyDescent="0.25">
      <c r="A244" s="514"/>
      <c r="B244" s="134"/>
      <c r="C244" s="1173"/>
      <c r="D244" s="1173"/>
      <c r="E244" s="1173"/>
      <c r="F244" s="1173"/>
      <c r="G244" s="1181"/>
      <c r="H244" s="1181"/>
      <c r="I244" s="1181"/>
      <c r="J244" s="133"/>
      <c r="K244" s="164"/>
      <c r="M244" s="134"/>
      <c r="AA244"/>
      <c r="AB244"/>
      <c r="AC244"/>
      <c r="AD244"/>
      <c r="AE244"/>
      <c r="AF244"/>
      <c r="AG244"/>
      <c r="AH244"/>
      <c r="AI244"/>
    </row>
    <row r="245" spans="1:35" s="213" customFormat="1" x14ac:dyDescent="0.25">
      <c r="A245" s="514"/>
      <c r="B245" s="134"/>
      <c r="C245" s="1173"/>
      <c r="D245" s="1173"/>
      <c r="E245" s="1173"/>
      <c r="F245" s="1173"/>
      <c r="G245" s="1181"/>
      <c r="H245" s="1181"/>
      <c r="I245" s="1181"/>
      <c r="J245" s="133"/>
      <c r="K245" s="164"/>
      <c r="M245" s="134"/>
      <c r="AA245"/>
      <c r="AB245"/>
      <c r="AC245"/>
      <c r="AD245"/>
      <c r="AE245"/>
      <c r="AF245"/>
      <c r="AG245"/>
      <c r="AH245"/>
      <c r="AI245"/>
    </row>
    <row r="246" spans="1:35" s="213" customFormat="1" x14ac:dyDescent="0.25">
      <c r="A246" s="514"/>
      <c r="B246" s="134"/>
      <c r="C246" s="1173"/>
      <c r="D246" s="1173"/>
      <c r="E246" s="1173"/>
      <c r="F246" s="1173"/>
      <c r="G246" s="1181"/>
      <c r="H246" s="1181"/>
      <c r="I246" s="1181"/>
      <c r="J246" s="133"/>
      <c r="K246" s="164"/>
      <c r="M246" s="134"/>
      <c r="AA246"/>
      <c r="AB246"/>
      <c r="AC246"/>
      <c r="AD246"/>
      <c r="AE246"/>
      <c r="AF246"/>
      <c r="AG246"/>
      <c r="AH246"/>
      <c r="AI246"/>
    </row>
    <row r="247" spans="1:35" s="213" customFormat="1" x14ac:dyDescent="0.25">
      <c r="A247" s="514"/>
      <c r="B247" s="134"/>
      <c r="C247" s="1173"/>
      <c r="D247" s="1173"/>
      <c r="E247" s="1173"/>
      <c r="F247" s="1173"/>
      <c r="G247" s="1181"/>
      <c r="H247" s="1181"/>
      <c r="I247" s="1181"/>
      <c r="J247" s="133"/>
      <c r="K247" s="164"/>
      <c r="M247" s="134"/>
      <c r="AA247"/>
      <c r="AB247"/>
      <c r="AC247"/>
      <c r="AD247"/>
      <c r="AE247"/>
      <c r="AF247"/>
      <c r="AG247"/>
      <c r="AH247"/>
      <c r="AI247"/>
    </row>
    <row r="248" spans="1:35" s="213" customFormat="1" x14ac:dyDescent="0.25">
      <c r="A248" s="514"/>
      <c r="B248" s="134"/>
      <c r="C248" s="1173"/>
      <c r="D248" s="1173"/>
      <c r="E248" s="1173"/>
      <c r="F248" s="1173"/>
      <c r="G248" s="1181"/>
      <c r="H248" s="1181"/>
      <c r="I248" s="1181"/>
      <c r="J248" s="133"/>
      <c r="K248" s="164"/>
      <c r="M248" s="134"/>
      <c r="AA248"/>
      <c r="AB248"/>
      <c r="AC248"/>
      <c r="AD248"/>
      <c r="AE248"/>
      <c r="AF248"/>
      <c r="AG248"/>
      <c r="AH248"/>
      <c r="AI248"/>
    </row>
    <row r="249" spans="1:35" s="213" customFormat="1" x14ac:dyDescent="0.25">
      <c r="A249" s="514"/>
      <c r="B249" s="134"/>
      <c r="C249" s="1173"/>
      <c r="D249" s="1173"/>
      <c r="E249" s="1173"/>
      <c r="F249" s="1173"/>
      <c r="G249" s="1181"/>
      <c r="H249" s="1181"/>
      <c r="I249" s="1181"/>
      <c r="J249" s="133"/>
      <c r="K249" s="164"/>
      <c r="M249" s="134"/>
      <c r="AA249"/>
      <c r="AB249"/>
      <c r="AC249"/>
      <c r="AD249"/>
      <c r="AE249"/>
      <c r="AF249"/>
      <c r="AG249"/>
      <c r="AH249"/>
      <c r="AI249"/>
    </row>
    <row r="250" spans="1:35" s="213" customFormat="1" x14ac:dyDescent="0.25">
      <c r="A250" s="514"/>
      <c r="B250" s="134"/>
      <c r="C250" s="1173"/>
      <c r="D250" s="1173"/>
      <c r="E250" s="1173"/>
      <c r="F250" s="1173"/>
      <c r="G250" s="1181"/>
      <c r="H250" s="1181"/>
      <c r="I250" s="1181"/>
      <c r="J250" s="133"/>
      <c r="K250" s="164"/>
      <c r="M250" s="134"/>
      <c r="AA250"/>
      <c r="AB250"/>
      <c r="AC250"/>
      <c r="AD250"/>
      <c r="AE250"/>
      <c r="AF250"/>
      <c r="AG250"/>
      <c r="AH250"/>
      <c r="AI250"/>
    </row>
    <row r="251" spans="1:35" s="213" customFormat="1" x14ac:dyDescent="0.25">
      <c r="A251" s="514"/>
      <c r="B251" s="134"/>
      <c r="C251" s="1173"/>
      <c r="D251" s="1173"/>
      <c r="E251" s="1173"/>
      <c r="F251" s="1173"/>
      <c r="G251" s="1181"/>
      <c r="H251" s="1181"/>
      <c r="I251" s="1181"/>
      <c r="J251" s="133"/>
      <c r="K251" s="164"/>
      <c r="M251" s="134"/>
      <c r="AA251"/>
      <c r="AB251"/>
      <c r="AC251"/>
      <c r="AD251"/>
      <c r="AE251"/>
      <c r="AF251"/>
      <c r="AG251"/>
      <c r="AH251"/>
      <c r="AI251"/>
    </row>
    <row r="252" spans="1:35" s="213" customFormat="1" x14ac:dyDescent="0.25">
      <c r="A252" s="514"/>
      <c r="B252" s="134"/>
      <c r="C252" s="1173"/>
      <c r="D252" s="1173"/>
      <c r="E252" s="1173"/>
      <c r="F252" s="1173"/>
      <c r="G252" s="1181"/>
      <c r="H252" s="1181"/>
      <c r="I252" s="1181"/>
      <c r="J252" s="133"/>
      <c r="K252" s="164"/>
      <c r="M252" s="134"/>
      <c r="AA252"/>
      <c r="AB252"/>
      <c r="AC252"/>
      <c r="AD252"/>
      <c r="AE252"/>
      <c r="AF252"/>
      <c r="AG252"/>
      <c r="AH252"/>
      <c r="AI252"/>
    </row>
    <row r="253" spans="1:35" s="213" customFormat="1" x14ac:dyDescent="0.25">
      <c r="A253" s="514"/>
      <c r="B253" s="134"/>
      <c r="C253" s="1173"/>
      <c r="D253" s="1173"/>
      <c r="E253" s="1173"/>
      <c r="F253" s="1173"/>
      <c r="G253" s="1181"/>
      <c r="H253" s="1181"/>
      <c r="I253" s="1181"/>
      <c r="J253" s="133"/>
      <c r="K253" s="164"/>
      <c r="M253" s="134"/>
      <c r="AA253"/>
      <c r="AB253"/>
      <c r="AC253"/>
      <c r="AD253"/>
      <c r="AE253"/>
      <c r="AF253"/>
      <c r="AG253"/>
      <c r="AH253"/>
      <c r="AI253"/>
    </row>
    <row r="254" spans="1:35" s="213" customFormat="1" x14ac:dyDescent="0.25">
      <c r="A254" s="514"/>
      <c r="B254" s="134"/>
      <c r="C254" s="1173"/>
      <c r="D254" s="1173"/>
      <c r="E254" s="1173"/>
      <c r="F254" s="1173"/>
      <c r="G254" s="1181"/>
      <c r="H254" s="1181"/>
      <c r="I254" s="1181"/>
      <c r="J254" s="133"/>
      <c r="K254" s="164"/>
      <c r="M254" s="134"/>
      <c r="AA254"/>
      <c r="AB254"/>
      <c r="AC254"/>
      <c r="AD254"/>
      <c r="AE254"/>
      <c r="AF254"/>
      <c r="AG254"/>
      <c r="AH254"/>
      <c r="AI254"/>
    </row>
    <row r="255" spans="1:35" s="213" customFormat="1" x14ac:dyDescent="0.25">
      <c r="A255" s="514"/>
      <c r="B255" s="134"/>
      <c r="C255" s="1173"/>
      <c r="D255" s="1173"/>
      <c r="E255" s="1173"/>
      <c r="F255" s="1173"/>
      <c r="G255" s="1181"/>
      <c r="H255" s="1181"/>
      <c r="I255" s="1181"/>
      <c r="J255" s="133"/>
      <c r="K255" s="164"/>
      <c r="M255" s="134"/>
      <c r="AA255"/>
      <c r="AB255"/>
      <c r="AC255"/>
      <c r="AD255"/>
      <c r="AE255"/>
      <c r="AF255"/>
      <c r="AG255"/>
      <c r="AH255"/>
      <c r="AI255"/>
    </row>
    <row r="256" spans="1:35" s="213" customFormat="1" x14ac:dyDescent="0.25">
      <c r="A256" s="514"/>
      <c r="B256" s="134"/>
      <c r="C256" s="1173"/>
      <c r="D256" s="1173"/>
      <c r="E256" s="1173"/>
      <c r="F256" s="1173"/>
      <c r="G256" s="1181"/>
      <c r="H256" s="1181"/>
      <c r="I256" s="1181"/>
      <c r="J256" s="133"/>
      <c r="K256" s="164"/>
      <c r="M256" s="134"/>
      <c r="AA256"/>
      <c r="AB256"/>
      <c r="AC256"/>
      <c r="AD256"/>
      <c r="AE256"/>
      <c r="AF256"/>
      <c r="AG256"/>
      <c r="AH256"/>
      <c r="AI256"/>
    </row>
    <row r="257" spans="1:35" s="213" customFormat="1" x14ac:dyDescent="0.25">
      <c r="A257" s="514"/>
      <c r="B257" s="134"/>
      <c r="C257" s="1173"/>
      <c r="D257" s="1173"/>
      <c r="E257" s="1173"/>
      <c r="F257" s="1173"/>
      <c r="G257" s="1181"/>
      <c r="H257" s="1181"/>
      <c r="I257" s="1181"/>
      <c r="J257" s="133"/>
      <c r="K257" s="164"/>
      <c r="M257" s="134"/>
      <c r="AA257"/>
      <c r="AB257"/>
      <c r="AC257"/>
      <c r="AD257"/>
      <c r="AE257"/>
      <c r="AF257"/>
      <c r="AG257"/>
      <c r="AH257"/>
      <c r="AI257"/>
    </row>
    <row r="258" spans="1:35" s="213" customFormat="1" x14ac:dyDescent="0.25">
      <c r="A258" s="514"/>
      <c r="B258" s="134"/>
      <c r="C258" s="1173"/>
      <c r="D258" s="1173"/>
      <c r="E258" s="1173"/>
      <c r="F258" s="1173"/>
      <c r="G258" s="1181"/>
      <c r="H258" s="1181"/>
      <c r="I258" s="1181"/>
      <c r="J258" s="133"/>
      <c r="K258" s="164"/>
      <c r="M258" s="134"/>
      <c r="AA258"/>
      <c r="AB258"/>
      <c r="AC258"/>
      <c r="AD258"/>
      <c r="AE258"/>
      <c r="AF258"/>
      <c r="AG258"/>
      <c r="AH258"/>
      <c r="AI258"/>
    </row>
    <row r="259" spans="1:35" s="213" customFormat="1" x14ac:dyDescent="0.25">
      <c r="A259" s="514"/>
      <c r="B259" s="134"/>
      <c r="C259" s="1173"/>
      <c r="D259" s="1173"/>
      <c r="E259" s="1173"/>
      <c r="F259" s="1173"/>
      <c r="G259" s="1181"/>
      <c r="H259" s="1181"/>
      <c r="I259" s="1181"/>
      <c r="J259" s="133"/>
      <c r="K259" s="164"/>
      <c r="M259" s="134"/>
      <c r="AA259"/>
      <c r="AB259"/>
      <c r="AC259"/>
      <c r="AD259"/>
      <c r="AE259"/>
      <c r="AF259"/>
      <c r="AG259"/>
      <c r="AH259"/>
      <c r="AI259"/>
    </row>
    <row r="260" spans="1:35" s="213" customFormat="1" x14ac:dyDescent="0.25">
      <c r="A260" s="514"/>
      <c r="B260" s="134"/>
      <c r="C260" s="1173"/>
      <c r="D260" s="1173"/>
      <c r="E260" s="1173"/>
      <c r="F260" s="1173"/>
      <c r="G260" s="1181"/>
      <c r="H260" s="1181"/>
      <c r="I260" s="1181"/>
      <c r="J260" s="133"/>
      <c r="K260" s="164"/>
      <c r="M260" s="134"/>
      <c r="AA260"/>
      <c r="AB260"/>
      <c r="AC260"/>
      <c r="AD260"/>
      <c r="AE260"/>
      <c r="AF260"/>
      <c r="AG260"/>
      <c r="AH260"/>
      <c r="AI260"/>
    </row>
    <row r="261" spans="1:35" s="213" customFormat="1" x14ac:dyDescent="0.25">
      <c r="A261" s="514"/>
      <c r="B261" s="134"/>
      <c r="C261" s="1173"/>
      <c r="D261" s="1173"/>
      <c r="E261" s="1173"/>
      <c r="F261" s="1173"/>
      <c r="G261" s="1181"/>
      <c r="H261" s="1181"/>
      <c r="I261" s="1181"/>
      <c r="J261" s="133"/>
      <c r="K261" s="164"/>
      <c r="M261" s="134"/>
      <c r="AA261"/>
      <c r="AB261"/>
      <c r="AC261"/>
      <c r="AD261"/>
      <c r="AE261"/>
      <c r="AF261"/>
      <c r="AG261"/>
      <c r="AH261"/>
      <c r="AI261"/>
    </row>
    <row r="262" spans="1:35" s="213" customFormat="1" x14ac:dyDescent="0.25">
      <c r="A262" s="514"/>
      <c r="B262" s="134"/>
      <c r="C262" s="1173"/>
      <c r="D262" s="1173"/>
      <c r="E262" s="1173"/>
      <c r="F262" s="1173"/>
      <c r="G262" s="1181"/>
      <c r="H262" s="1181"/>
      <c r="I262" s="1181"/>
      <c r="J262" s="133"/>
      <c r="K262" s="164"/>
      <c r="M262" s="134"/>
      <c r="AA262"/>
      <c r="AB262"/>
      <c r="AC262"/>
      <c r="AD262"/>
      <c r="AE262"/>
      <c r="AF262"/>
      <c r="AG262"/>
      <c r="AH262"/>
      <c r="AI262"/>
    </row>
    <row r="263" spans="1:35" s="213" customFormat="1" x14ac:dyDescent="0.25">
      <c r="A263" s="514"/>
      <c r="B263" s="134"/>
      <c r="C263" s="1173"/>
      <c r="D263" s="1173"/>
      <c r="E263" s="1173"/>
      <c r="F263" s="1173"/>
      <c r="G263" s="1181"/>
      <c r="H263" s="1181"/>
      <c r="I263" s="1181"/>
      <c r="J263" s="133"/>
      <c r="K263" s="164"/>
      <c r="M263" s="134"/>
      <c r="AA263"/>
      <c r="AB263"/>
      <c r="AC263"/>
      <c r="AD263"/>
      <c r="AE263"/>
      <c r="AF263"/>
      <c r="AG263"/>
      <c r="AH263"/>
      <c r="AI263"/>
    </row>
    <row r="264" spans="1:35" s="213" customFormat="1" x14ac:dyDescent="0.25">
      <c r="A264" s="514"/>
      <c r="B264" s="134"/>
      <c r="C264" s="1173"/>
      <c r="D264" s="1173"/>
      <c r="E264" s="1173"/>
      <c r="F264" s="1173"/>
      <c r="G264" s="1181"/>
      <c r="H264" s="1181"/>
      <c r="I264" s="1181"/>
      <c r="J264" s="133"/>
      <c r="K264" s="164"/>
      <c r="M264" s="134"/>
      <c r="AA264"/>
      <c r="AB264"/>
      <c r="AC264"/>
      <c r="AD264"/>
      <c r="AE264"/>
      <c r="AF264"/>
      <c r="AG264"/>
      <c r="AH264"/>
      <c r="AI264"/>
    </row>
    <row r="265" spans="1:35" s="213" customFormat="1" x14ac:dyDescent="0.25">
      <c r="A265" s="514"/>
      <c r="B265" s="134"/>
      <c r="C265" s="1173"/>
      <c r="D265" s="1173"/>
      <c r="E265" s="1173"/>
      <c r="F265" s="1173"/>
      <c r="G265" s="1181"/>
      <c r="H265" s="1181"/>
      <c r="I265" s="1181"/>
      <c r="J265" s="133"/>
      <c r="K265" s="164"/>
      <c r="M265" s="134"/>
      <c r="AA265"/>
      <c r="AB265"/>
      <c r="AC265"/>
      <c r="AD265"/>
      <c r="AE265"/>
      <c r="AF265"/>
      <c r="AG265"/>
      <c r="AH265"/>
      <c r="AI265"/>
    </row>
    <row r="266" spans="1:35" s="213" customFormat="1" x14ac:dyDescent="0.25">
      <c r="A266" s="514"/>
      <c r="B266" s="134"/>
      <c r="C266" s="1173"/>
      <c r="D266" s="1173"/>
      <c r="E266" s="1173"/>
      <c r="F266" s="1173"/>
      <c r="G266" s="1181"/>
      <c r="H266" s="1181"/>
      <c r="I266" s="1181"/>
      <c r="J266" s="133"/>
      <c r="K266" s="164"/>
      <c r="M266" s="134"/>
      <c r="AA266"/>
      <c r="AB266"/>
      <c r="AC266"/>
      <c r="AD266"/>
      <c r="AE266"/>
      <c r="AF266"/>
      <c r="AG266"/>
      <c r="AH266"/>
      <c r="AI266"/>
    </row>
    <row r="267" spans="1:35" s="213" customFormat="1" x14ac:dyDescent="0.25">
      <c r="A267" s="514"/>
      <c r="B267" s="134"/>
      <c r="C267" s="1173"/>
      <c r="D267" s="1173"/>
      <c r="E267" s="1173"/>
      <c r="F267" s="1173"/>
      <c r="G267" s="1181"/>
      <c r="H267" s="1181"/>
      <c r="I267" s="1181"/>
      <c r="J267" s="133"/>
      <c r="K267" s="164"/>
      <c r="M267" s="134"/>
      <c r="AA267"/>
      <c r="AB267"/>
      <c r="AC267"/>
      <c r="AD267"/>
      <c r="AE267"/>
      <c r="AF267"/>
      <c r="AG267"/>
      <c r="AH267"/>
      <c r="AI267"/>
    </row>
    <row r="268" spans="1:35" s="213" customFormat="1" x14ac:dyDescent="0.25">
      <c r="A268" s="514"/>
      <c r="B268" s="134"/>
      <c r="C268" s="1173"/>
      <c r="D268" s="1173"/>
      <c r="E268" s="1173"/>
      <c r="F268" s="1173"/>
      <c r="G268" s="1181"/>
      <c r="H268" s="1181"/>
      <c r="I268" s="1181"/>
      <c r="J268" s="133"/>
      <c r="K268" s="164"/>
      <c r="M268" s="134"/>
      <c r="AA268"/>
      <c r="AB268"/>
      <c r="AC268"/>
      <c r="AD268"/>
      <c r="AE268"/>
      <c r="AF268"/>
      <c r="AG268"/>
      <c r="AH268"/>
      <c r="AI268"/>
    </row>
    <row r="269" spans="1:35" s="213" customFormat="1" x14ac:dyDescent="0.25">
      <c r="A269" s="514"/>
      <c r="B269" s="134"/>
      <c r="C269" s="1173"/>
      <c r="D269" s="1173"/>
      <c r="E269" s="1173"/>
      <c r="F269" s="1173"/>
      <c r="G269" s="1181"/>
      <c r="H269" s="1181"/>
      <c r="I269" s="1181"/>
      <c r="J269" s="133"/>
      <c r="K269" s="164"/>
      <c r="M269" s="134"/>
      <c r="AA269"/>
      <c r="AB269"/>
      <c r="AC269"/>
      <c r="AD269"/>
      <c r="AE269"/>
      <c r="AF269"/>
      <c r="AG269"/>
      <c r="AH269"/>
      <c r="AI269"/>
    </row>
    <row r="270" spans="1:35" s="213" customFormat="1" x14ac:dyDescent="0.25">
      <c r="A270" s="514"/>
      <c r="B270" s="134"/>
      <c r="C270" s="1173"/>
      <c r="D270" s="1173"/>
      <c r="E270" s="1173"/>
      <c r="F270" s="1173"/>
      <c r="G270" s="1181"/>
      <c r="H270" s="1181"/>
      <c r="I270" s="1181"/>
      <c r="J270" s="133"/>
      <c r="K270" s="164"/>
      <c r="M270" s="134"/>
      <c r="AA270"/>
      <c r="AB270"/>
      <c r="AC270"/>
      <c r="AD270"/>
      <c r="AE270"/>
      <c r="AF270"/>
      <c r="AG270"/>
      <c r="AH270"/>
      <c r="AI270"/>
    </row>
    <row r="271" spans="1:35" s="213" customFormat="1" x14ac:dyDescent="0.25">
      <c r="A271" s="514"/>
      <c r="B271" s="134"/>
      <c r="C271" s="1173"/>
      <c r="D271" s="1173"/>
      <c r="E271" s="1173"/>
      <c r="F271" s="1173"/>
      <c r="G271" s="1181"/>
      <c r="H271" s="1181"/>
      <c r="I271" s="1181"/>
      <c r="J271" s="133"/>
      <c r="K271" s="164"/>
      <c r="M271" s="134"/>
      <c r="AA271"/>
      <c r="AB271"/>
      <c r="AC271"/>
      <c r="AD271"/>
      <c r="AE271"/>
      <c r="AF271"/>
      <c r="AG271"/>
      <c r="AH271"/>
      <c r="AI271"/>
    </row>
    <row r="272" spans="1:35" s="213" customFormat="1" x14ac:dyDescent="0.25">
      <c r="A272" s="514"/>
      <c r="B272" s="134"/>
      <c r="C272" s="1173"/>
      <c r="D272" s="1173"/>
      <c r="E272" s="1173"/>
      <c r="F272" s="1173"/>
      <c r="G272" s="1181"/>
      <c r="H272" s="1181"/>
      <c r="I272" s="1181"/>
      <c r="J272" s="133"/>
      <c r="K272" s="164"/>
      <c r="M272" s="134"/>
      <c r="AA272"/>
      <c r="AB272"/>
      <c r="AC272"/>
      <c r="AD272"/>
      <c r="AE272"/>
      <c r="AF272"/>
      <c r="AG272"/>
      <c r="AH272"/>
      <c r="AI272"/>
    </row>
    <row r="273" spans="1:35" s="213" customFormat="1" x14ac:dyDescent="0.25">
      <c r="A273" s="514"/>
      <c r="B273" s="134"/>
      <c r="C273" s="1173"/>
      <c r="D273" s="1173"/>
      <c r="E273" s="1173"/>
      <c r="F273" s="1173"/>
      <c r="G273" s="1181"/>
      <c r="H273" s="1181"/>
      <c r="I273" s="1181"/>
      <c r="J273" s="133"/>
      <c r="K273" s="164"/>
      <c r="M273" s="134"/>
      <c r="AA273"/>
      <c r="AB273"/>
      <c r="AC273"/>
      <c r="AD273"/>
      <c r="AE273"/>
      <c r="AF273"/>
      <c r="AG273"/>
      <c r="AH273"/>
      <c r="AI273"/>
    </row>
    <row r="274" spans="1:35" s="213" customFormat="1" x14ac:dyDescent="0.25">
      <c r="A274" s="514"/>
      <c r="B274" s="134"/>
      <c r="C274" s="1173"/>
      <c r="D274" s="1173"/>
      <c r="E274" s="1173"/>
      <c r="F274" s="1173"/>
      <c r="G274" s="1181"/>
      <c r="H274" s="1181"/>
      <c r="I274" s="1181"/>
      <c r="J274" s="133"/>
      <c r="K274" s="164"/>
      <c r="M274" s="134"/>
      <c r="AA274"/>
      <c r="AB274"/>
      <c r="AC274"/>
      <c r="AD274"/>
      <c r="AE274"/>
      <c r="AF274"/>
      <c r="AG274"/>
      <c r="AH274"/>
      <c r="AI274"/>
    </row>
    <row r="275" spans="1:35" s="213" customFormat="1" x14ac:dyDescent="0.25">
      <c r="A275" s="514"/>
      <c r="B275" s="134"/>
      <c r="C275" s="1173"/>
      <c r="D275" s="1173"/>
      <c r="E275" s="1173"/>
      <c r="F275" s="1173"/>
      <c r="G275" s="1181"/>
      <c r="H275" s="1181"/>
      <c r="I275" s="1181"/>
      <c r="J275" s="133"/>
      <c r="K275" s="164"/>
      <c r="M275" s="134"/>
      <c r="AA275"/>
      <c r="AB275"/>
      <c r="AC275"/>
      <c r="AD275"/>
      <c r="AE275"/>
      <c r="AF275"/>
      <c r="AG275"/>
      <c r="AH275"/>
      <c r="AI275"/>
    </row>
    <row r="276" spans="1:35" s="213" customFormat="1" x14ac:dyDescent="0.25">
      <c r="A276" s="514"/>
      <c r="B276" s="134"/>
      <c r="C276" s="1173"/>
      <c r="D276" s="1173"/>
      <c r="E276" s="1173"/>
      <c r="F276" s="1173"/>
      <c r="G276" s="1181"/>
      <c r="H276" s="1181"/>
      <c r="I276" s="1181"/>
      <c r="J276" s="133"/>
      <c r="K276" s="164"/>
      <c r="M276" s="134"/>
      <c r="AA276"/>
      <c r="AB276"/>
      <c r="AC276"/>
      <c r="AD276"/>
      <c r="AE276"/>
      <c r="AF276"/>
      <c r="AG276"/>
      <c r="AH276"/>
      <c r="AI276"/>
    </row>
    <row r="277" spans="1:35" s="213" customFormat="1" x14ac:dyDescent="0.25">
      <c r="A277" s="514"/>
      <c r="B277" s="134"/>
      <c r="C277" s="1173"/>
      <c r="D277" s="1173"/>
      <c r="E277" s="1173"/>
      <c r="F277" s="1173"/>
      <c r="G277" s="1181"/>
      <c r="H277" s="1181"/>
      <c r="I277" s="1181"/>
      <c r="J277" s="133"/>
      <c r="K277" s="164"/>
      <c r="M277" s="134"/>
      <c r="AA277"/>
      <c r="AB277"/>
      <c r="AC277"/>
      <c r="AD277"/>
      <c r="AE277"/>
      <c r="AF277"/>
      <c r="AG277"/>
      <c r="AH277"/>
      <c r="AI277"/>
    </row>
    <row r="278" spans="1:35" x14ac:dyDescent="0.25">
      <c r="AA278"/>
      <c r="AB278"/>
      <c r="AC278"/>
      <c r="AD278"/>
      <c r="AE278"/>
      <c r="AF278"/>
      <c r="AG278"/>
      <c r="AH278"/>
      <c r="AI278"/>
    </row>
    <row r="279" spans="1:35" x14ac:dyDescent="0.25">
      <c r="AA279"/>
      <c r="AB279"/>
      <c r="AC279"/>
      <c r="AD279"/>
      <c r="AE279"/>
      <c r="AF279"/>
      <c r="AG279"/>
      <c r="AH279"/>
      <c r="AI279"/>
    </row>
    <row r="280" spans="1:35" x14ac:dyDescent="0.25">
      <c r="AA280"/>
      <c r="AB280"/>
      <c r="AC280"/>
      <c r="AD280"/>
      <c r="AE280"/>
      <c r="AF280"/>
      <c r="AG280"/>
      <c r="AH280"/>
      <c r="AI280"/>
    </row>
    <row r="281" spans="1:35" x14ac:dyDescent="0.25">
      <c r="AA281"/>
      <c r="AB281"/>
      <c r="AC281"/>
      <c r="AD281"/>
      <c r="AE281"/>
      <c r="AF281"/>
      <c r="AG281"/>
      <c r="AH281"/>
      <c r="AI281"/>
    </row>
    <row r="282" spans="1:35" x14ac:dyDescent="0.25">
      <c r="AA282"/>
      <c r="AB282"/>
      <c r="AC282"/>
      <c r="AD282"/>
      <c r="AE282"/>
      <c r="AF282"/>
      <c r="AG282"/>
      <c r="AH282"/>
      <c r="AI282"/>
    </row>
    <row r="283" spans="1:35" x14ac:dyDescent="0.25">
      <c r="AA283"/>
      <c r="AB283"/>
      <c r="AC283"/>
      <c r="AD283"/>
      <c r="AE283"/>
      <c r="AF283"/>
      <c r="AG283"/>
      <c r="AH283"/>
      <c r="AI283"/>
    </row>
    <row r="284" spans="1:35" x14ac:dyDescent="0.25">
      <c r="AA284"/>
      <c r="AB284"/>
      <c r="AC284"/>
      <c r="AD284"/>
      <c r="AE284"/>
      <c r="AF284"/>
      <c r="AG284"/>
      <c r="AH284"/>
      <c r="AI284"/>
    </row>
    <row r="285" spans="1:35" x14ac:dyDescent="0.25">
      <c r="AA285"/>
      <c r="AB285"/>
      <c r="AC285"/>
      <c r="AD285"/>
      <c r="AE285"/>
      <c r="AF285"/>
      <c r="AG285"/>
      <c r="AH285"/>
      <c r="AI285"/>
    </row>
    <row r="286" spans="1:35" x14ac:dyDescent="0.25">
      <c r="AA286"/>
      <c r="AB286"/>
      <c r="AC286"/>
      <c r="AD286"/>
      <c r="AE286"/>
      <c r="AF286"/>
      <c r="AG286"/>
      <c r="AH286"/>
      <c r="AI286"/>
    </row>
    <row r="287" spans="1:35" x14ac:dyDescent="0.25">
      <c r="AA287"/>
      <c r="AB287"/>
      <c r="AC287"/>
      <c r="AD287"/>
      <c r="AE287"/>
      <c r="AF287"/>
      <c r="AG287"/>
      <c r="AH287"/>
      <c r="AI287"/>
    </row>
    <row r="288" spans="1: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sheetData>
  <sheetProtection formatCells="0" formatColumns="0" formatRows="0"/>
  <mergeCells count="1">
    <mergeCell ref="A1:B1"/>
  </mergeCells>
  <phoneticPr fontId="6" type="noConversion"/>
  <conditionalFormatting sqref="A116:B132 D116:J132">
    <cfRule type="expression" dxfId="202" priority="120">
      <formula>AND(NOT($J116=""),$J$1=1)</formula>
    </cfRule>
    <cfRule type="expression" dxfId="201" priority="122">
      <formula>LEN($A116)=2</formula>
    </cfRule>
  </conditionalFormatting>
  <conditionalFormatting sqref="A116:B132 D116:J132">
    <cfRule type="expression" dxfId="200" priority="121">
      <formula>LEN($A116)=4</formula>
    </cfRule>
  </conditionalFormatting>
  <conditionalFormatting sqref="C116:C133">
    <cfRule type="expression" dxfId="199" priority="47">
      <formula>LEN($A115)=4</formula>
    </cfRule>
  </conditionalFormatting>
  <conditionalFormatting sqref="C116:C133">
    <cfRule type="expression" dxfId="198" priority="701">
      <formula>AND(NOT($J115=""),$J$1=1)</formula>
    </cfRule>
    <cfRule type="expression" dxfId="197" priority="702">
      <formula>LEN($A115)=2</formula>
    </cfRule>
  </conditionalFormatting>
  <conditionalFormatting sqref="A4:J4 A5:F115 H5:J115">
    <cfRule type="expression" dxfId="196" priority="4">
      <formula>AND(NOT($J4=""),$J$1=1)</formula>
    </cfRule>
    <cfRule type="expression" dxfId="195" priority="6">
      <formula>LEN($A4)=2</formula>
    </cfRule>
  </conditionalFormatting>
  <conditionalFormatting sqref="A4:J4 A5:F115 H5:J115">
    <cfRule type="expression" dxfId="194" priority="5">
      <formula>LEN($A4)=4</formula>
    </cfRule>
  </conditionalFormatting>
  <conditionalFormatting sqref="G5:G115">
    <cfRule type="expression" dxfId="193" priority="1">
      <formula>AND(NOT($J5=""),$J$1=1)</formula>
    </cfRule>
    <cfRule type="expression" dxfId="192" priority="3">
      <formula>LEN($A5)=2</formula>
    </cfRule>
  </conditionalFormatting>
  <conditionalFormatting sqref="G5:G115">
    <cfRule type="expression" dxfId="191" priority="2">
      <formula>LEN($A5)=4</formula>
    </cfRule>
  </conditionalFormatting>
  <printOptions gridLines="1"/>
  <pageMargins left="0.39374999999999999" right="0.39374999999999999" top="0.39374999999999999" bottom="0.59097222222222223" header="0.51180555555555562" footer="0.31527777777777777"/>
  <pageSetup paperSize="9" orientation="landscape" r:id="rId1"/>
  <headerFooter alignWithMargins="0">
    <oddFooter>&amp;L&amp;8Mise à jour : janvier 2010&amp;C&amp;8&amp;F ! &amp;A&amp;R&amp;8page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4">
    <tabColor rgb="FFFF0000"/>
  </sheetPr>
  <dimension ref="A1:CB412"/>
  <sheetViews>
    <sheetView zoomScale="91" zoomScaleNormal="100" workbookViewId="0">
      <pane xSplit="2" ySplit="2" topLeftCell="K8" activePane="bottomRight" state="frozenSplit"/>
      <selection activeCell="A2" sqref="A2"/>
      <selection pane="topRight" activeCell="A2" sqref="A2"/>
      <selection pane="bottomLeft" activeCell="A2" sqref="A2"/>
      <selection pane="bottomRight" activeCell="K23" sqref="K23"/>
    </sheetView>
  </sheetViews>
  <sheetFormatPr baseColWidth="10" defaultColWidth="11.44140625" defaultRowHeight="13.2" x14ac:dyDescent="0.25"/>
  <cols>
    <col min="1" max="1" width="9.44140625" style="249" customWidth="1"/>
    <col min="2" max="2" width="83.88671875" style="249" customWidth="1"/>
    <col min="3" max="3" width="4.33203125" style="1053" customWidth="1"/>
    <col min="4" max="6" width="4.33203125" style="244" customWidth="1"/>
    <col min="7" max="7" width="4.44140625" style="391" customWidth="1"/>
    <col min="8" max="8" width="4.44140625" style="247" customWidth="1"/>
    <col min="9" max="9" width="4.44140625" style="228" customWidth="1"/>
    <col min="10" max="10" width="14.6640625" style="1169" customWidth="1"/>
    <col min="11" max="11" width="21.33203125" style="229" customWidth="1"/>
    <col min="12" max="24" width="11.44140625" style="229"/>
    <col min="25" max="25" width="12.88671875" style="229" customWidth="1"/>
    <col min="26" max="26" width="6" style="135" hidden="1" customWidth="1"/>
    <col min="27" max="27" width="6" style="303" hidden="1" customWidth="1"/>
    <col min="28" max="33" width="6" style="213" hidden="1" customWidth="1"/>
    <col min="34" max="34" width="12.88671875" style="229" customWidth="1"/>
    <col min="35" max="46" width="11.44140625" style="229"/>
    <col min="47" max="16384" width="11.44140625" style="50"/>
  </cols>
  <sheetData>
    <row r="1" spans="1:77" ht="15.6" x14ac:dyDescent="0.3">
      <c r="A1" s="1277" t="s">
        <v>930</v>
      </c>
      <c r="B1" s="1277"/>
      <c r="C1" s="1098">
        <v>1</v>
      </c>
      <c r="D1" s="1099" t="str">
        <f>"variante"&amp;IF(C1&gt;1,"s","")</f>
        <v>variante</v>
      </c>
      <c r="E1" s="1098"/>
      <c r="F1" s="1098"/>
      <c r="G1" s="388"/>
      <c r="H1" s="228"/>
      <c r="J1" s="1167">
        <f>'Score ISO'!E2</f>
        <v>1</v>
      </c>
      <c r="Z1" s="301"/>
      <c r="AA1" s="213"/>
    </row>
    <row r="2" spans="1:77" s="326" customFormat="1" x14ac:dyDescent="0.25">
      <c r="A2" s="519" t="s">
        <v>523</v>
      </c>
      <c r="B2" s="324" t="s">
        <v>399</v>
      </c>
      <c r="C2" s="1170" t="s">
        <v>400</v>
      </c>
      <c r="D2" s="1100" t="s">
        <v>401</v>
      </c>
      <c r="E2" s="1100" t="s">
        <v>402</v>
      </c>
      <c r="F2" s="1100" t="s">
        <v>403</v>
      </c>
      <c r="G2" s="325" t="s">
        <v>569</v>
      </c>
      <c r="H2" s="325" t="s">
        <v>404</v>
      </c>
      <c r="I2" s="526" t="s">
        <v>479</v>
      </c>
      <c r="J2" s="1168" t="s">
        <v>6846</v>
      </c>
      <c r="K2" s="525" t="s">
        <v>405</v>
      </c>
      <c r="L2" s="525"/>
      <c r="M2" s="525"/>
      <c r="N2" s="525"/>
      <c r="O2" s="525"/>
      <c r="P2" s="525"/>
      <c r="Q2" s="525"/>
      <c r="R2" s="525"/>
      <c r="S2" s="525"/>
      <c r="T2" s="525"/>
      <c r="U2" s="525"/>
      <c r="V2" s="525"/>
      <c r="W2" s="525"/>
      <c r="X2" s="525"/>
      <c r="Y2" s="525"/>
      <c r="Z2" s="523" t="s">
        <v>1409</v>
      </c>
      <c r="AA2" s="523" t="s">
        <v>1410</v>
      </c>
      <c r="AB2" s="523" t="s">
        <v>1411</v>
      </c>
      <c r="AC2" s="523" t="s">
        <v>1412</v>
      </c>
      <c r="AD2" s="523" t="s">
        <v>1413</v>
      </c>
      <c r="AE2" s="523" t="s">
        <v>1414</v>
      </c>
      <c r="AF2" s="523" t="s">
        <v>1415</v>
      </c>
      <c r="AG2" s="523" t="s">
        <v>1416</v>
      </c>
      <c r="AH2" s="525"/>
      <c r="AI2" s="525"/>
      <c r="AJ2" s="525"/>
      <c r="AK2" s="525"/>
      <c r="AL2" s="525"/>
      <c r="AM2" s="525"/>
      <c r="AN2" s="525"/>
      <c r="AO2" s="525"/>
      <c r="AP2" s="525"/>
      <c r="AQ2" s="525"/>
      <c r="AR2" s="525"/>
      <c r="AS2" s="525"/>
      <c r="AT2" s="525"/>
    </row>
    <row r="3" spans="1:77" s="34" customFormat="1" x14ac:dyDescent="0.25">
      <c r="A3" s="1156" t="s">
        <v>2137</v>
      </c>
      <c r="B3" s="1157" t="s">
        <v>2138</v>
      </c>
      <c r="C3" s="226"/>
      <c r="D3" s="226"/>
      <c r="E3" s="226"/>
      <c r="F3" s="227"/>
      <c r="G3" s="389"/>
      <c r="H3" s="232"/>
      <c r="I3" s="233"/>
      <c r="J3" s="1072"/>
      <c r="K3" s="234"/>
      <c r="L3" s="234"/>
      <c r="M3" s="234"/>
      <c r="N3" s="234"/>
      <c r="O3" s="234"/>
      <c r="P3" s="234"/>
      <c r="Q3" s="234"/>
      <c r="R3" s="234"/>
      <c r="S3" s="234"/>
      <c r="T3" s="234"/>
      <c r="U3" s="234"/>
      <c r="V3" s="234"/>
      <c r="W3" s="234"/>
      <c r="X3" s="234"/>
      <c r="Y3" s="234"/>
      <c r="Z3"/>
      <c r="AA3"/>
      <c r="AB3"/>
      <c r="AC3"/>
      <c r="AD3"/>
      <c r="AE3"/>
      <c r="AF3"/>
      <c r="AG3"/>
      <c r="AH3"/>
      <c r="AI3" s="234"/>
      <c r="AJ3" s="234"/>
      <c r="AK3" s="234"/>
      <c r="AL3" s="234"/>
      <c r="AM3" s="234"/>
      <c r="AN3" s="234"/>
      <c r="AO3" s="234"/>
      <c r="AP3" s="234"/>
      <c r="AQ3" s="234"/>
      <c r="AR3" s="234"/>
      <c r="AS3" s="234"/>
      <c r="AT3" s="234"/>
    </row>
    <row r="4" spans="1:77" s="34" customFormat="1" x14ac:dyDescent="0.25">
      <c r="A4" s="1158" t="s">
        <v>735</v>
      </c>
      <c r="B4" s="235" t="s">
        <v>736</v>
      </c>
      <c r="C4" s="226"/>
      <c r="D4" s="226"/>
      <c r="E4" s="226"/>
      <c r="F4" s="1140"/>
      <c r="G4" s="389"/>
      <c r="H4" s="232"/>
      <c r="I4" s="233"/>
      <c r="J4" s="1072"/>
      <c r="K4" s="234"/>
      <c r="L4" s="234"/>
      <c r="M4" s="234"/>
      <c r="N4" s="234"/>
      <c r="O4" s="234"/>
      <c r="P4" s="234"/>
      <c r="Q4" s="234"/>
      <c r="R4" s="234"/>
      <c r="S4" s="234"/>
      <c r="T4" s="234"/>
      <c r="U4" s="234"/>
      <c r="V4" s="234"/>
      <c r="W4" s="234"/>
      <c r="X4" s="234"/>
      <c r="Y4" s="234"/>
      <c r="Z4"/>
      <c r="AA4"/>
      <c r="AB4"/>
      <c r="AC4"/>
      <c r="AD4"/>
      <c r="AE4"/>
      <c r="AF4"/>
      <c r="AG4"/>
      <c r="AH4"/>
      <c r="AI4"/>
      <c r="AJ4" s="234"/>
      <c r="AK4" s="234"/>
      <c r="AL4" s="234"/>
      <c r="AM4" s="234"/>
      <c r="AN4" s="234"/>
      <c r="AO4" s="234"/>
      <c r="AP4" s="234"/>
      <c r="AQ4" s="234"/>
      <c r="AR4" s="234"/>
      <c r="AS4" s="234"/>
      <c r="AT4" s="234"/>
      <c r="BY4" s="34">
        <f>IF(INDEX(Tab_actions,70,1)=1,INDEX(Tab_actions,70,8),0)</f>
        <v>0</v>
      </c>
    </row>
    <row r="5" spans="1:77" s="34" customFormat="1" ht="20.399999999999999" x14ac:dyDescent="0.25">
      <c r="A5" s="128" t="s">
        <v>931</v>
      </c>
      <c r="B5" s="128" t="s">
        <v>932</v>
      </c>
      <c r="C5" s="136"/>
      <c r="D5" s="136"/>
      <c r="E5" s="136"/>
      <c r="F5" s="136"/>
      <c r="G5" s="133">
        <v>2</v>
      </c>
      <c r="H5" s="133"/>
      <c r="I5" s="133"/>
      <c r="J5" s="133" t="s">
        <v>7039</v>
      </c>
      <c r="K5" s="234"/>
      <c r="L5" s="234"/>
      <c r="M5" s="234"/>
      <c r="N5" s="234"/>
      <c r="O5" s="234"/>
      <c r="P5" s="234"/>
      <c r="Q5" s="234"/>
      <c r="R5" s="234"/>
      <c r="S5" s="234"/>
      <c r="T5" s="234"/>
      <c r="U5" s="234"/>
      <c r="V5" s="234"/>
      <c r="W5" s="234"/>
      <c r="X5" s="234"/>
      <c r="Y5" s="234"/>
      <c r="Z5">
        <f>IF(AND('4 Ope'!C5&gt;Tmin, NOT('4 Ope'!$I5="")),'4 Ope'!$I5,0)</f>
        <v>0</v>
      </c>
      <c r="AA5">
        <f>IF(AND('4 Ope'!C5&gt;Tmin, NOT('4 Ope'!$I5="")),'4 Ope'!$I5,0)</f>
        <v>0</v>
      </c>
      <c r="AB5">
        <f>IF(AND('4 Ope'!D5&gt;Tmin, NOT('4 Ope'!$I5="")),'4 Ope'!$I5,0)</f>
        <v>0</v>
      </c>
      <c r="AC5">
        <f>IF(AND('4 Ope'!E5&gt;Tmin, NOT('4 Ope'!$I5="")),'4 Ope'!$I5,0)</f>
        <v>0</v>
      </c>
      <c r="AD5">
        <f>IF(AND('4 Ope'!F5&gt;Tmin, NOT('4 Ope'!$I5="")),'4 Ope'!$I5,0)</f>
        <v>0</v>
      </c>
      <c r="AE5">
        <f>IF(AND('4 Ope'!C5&lt;Tmax, NOT('4 Ope'!$H5="")),'4 Ope'!$H5,4)</f>
        <v>4</v>
      </c>
      <c r="AF5">
        <f>IF(AND('4 Ope'!D5&lt;Tmax, NOT('4 Ope'!$H5="")),'4 Ope'!$H5,4)</f>
        <v>4</v>
      </c>
      <c r="AG5">
        <f>IF(AND('4 Ope'!E5&lt;Tmax, NOT('4 Ope'!$H5="")),'4 Ope'!$H5,4)</f>
        <v>4</v>
      </c>
      <c r="AH5">
        <f>IF(AND('4 Ope'!F5&lt;Tmax, NOT('4 Ope'!$H5="")),'4 Ope'!$H5,4)</f>
        <v>4</v>
      </c>
      <c r="AI5"/>
      <c r="AJ5" s="234"/>
      <c r="AK5" s="234"/>
      <c r="AL5" s="234"/>
      <c r="AM5" s="234"/>
      <c r="AN5" s="234"/>
      <c r="AO5" s="234"/>
      <c r="AP5" s="234"/>
      <c r="AQ5" s="234"/>
      <c r="AR5" s="234"/>
      <c r="AS5" s="234"/>
      <c r="AT5" s="234"/>
    </row>
    <row r="6" spans="1:77" s="34" customFormat="1" ht="20.399999999999999" x14ac:dyDescent="0.25">
      <c r="A6" s="128" t="s">
        <v>934</v>
      </c>
      <c r="B6" s="128" t="s">
        <v>7292</v>
      </c>
      <c r="C6" s="136"/>
      <c r="D6" s="136"/>
      <c r="E6" s="136"/>
      <c r="F6" s="136"/>
      <c r="G6" s="133">
        <v>2</v>
      </c>
      <c r="H6" s="133"/>
      <c r="I6" s="133"/>
      <c r="J6" s="133" t="s">
        <v>7039</v>
      </c>
      <c r="K6" s="234"/>
      <c r="L6" s="234"/>
      <c r="M6" s="234"/>
      <c r="N6" s="234"/>
      <c r="O6" s="234"/>
      <c r="P6" s="234"/>
      <c r="Q6" s="234"/>
      <c r="R6" s="234"/>
      <c r="S6" s="234"/>
      <c r="T6" s="234"/>
      <c r="U6" s="234"/>
      <c r="V6" s="234"/>
      <c r="W6" s="234"/>
      <c r="X6" s="234"/>
      <c r="Y6" s="234"/>
      <c r="Z6">
        <f>IF(AND('4 Ope'!C6&gt;Tmin, NOT('4 Ope'!$I6="")),'4 Ope'!$I6,0)</f>
        <v>0</v>
      </c>
      <c r="AA6">
        <f>IF(AND('4 Ope'!C6&gt;Tmin, NOT('4 Ope'!$I6="")),'4 Ope'!$I6,0)</f>
        <v>0</v>
      </c>
      <c r="AB6">
        <f>IF(AND('4 Ope'!D6&gt;Tmin, NOT('4 Ope'!$I6="")),'4 Ope'!$I6,0)</f>
        <v>0</v>
      </c>
      <c r="AC6">
        <f>IF(AND('4 Ope'!E6&gt;Tmin, NOT('4 Ope'!$I6="")),'4 Ope'!$I6,0)</f>
        <v>0</v>
      </c>
      <c r="AD6">
        <f>IF(AND('4 Ope'!F6&gt;Tmin, NOT('4 Ope'!$I6="")),'4 Ope'!$I6,0)</f>
        <v>0</v>
      </c>
      <c r="AE6">
        <f>IF(AND('4 Ope'!C6&lt;Tmax, NOT('4 Ope'!$H6="")),'4 Ope'!$H6,4)</f>
        <v>4</v>
      </c>
      <c r="AF6">
        <f>IF(AND('4 Ope'!D6&lt;Tmax, NOT('4 Ope'!$H6="")),'4 Ope'!$H6,4)</f>
        <v>4</v>
      </c>
      <c r="AG6">
        <f>IF(AND('4 Ope'!E6&lt;Tmax, NOT('4 Ope'!$H6="")),'4 Ope'!$H6,4)</f>
        <v>4</v>
      </c>
      <c r="AH6">
        <f>IF(AND('4 Ope'!F6&lt;Tmax, NOT('4 Ope'!$H6="")),'4 Ope'!$H6,4)</f>
        <v>4</v>
      </c>
      <c r="AI6"/>
      <c r="AJ6" s="234"/>
      <c r="AK6" s="234"/>
      <c r="AL6" s="234"/>
      <c r="AM6" s="234"/>
      <c r="AN6" s="234"/>
      <c r="AO6" s="234"/>
      <c r="AP6" s="234"/>
      <c r="AQ6" s="234"/>
      <c r="AR6" s="234"/>
      <c r="AS6" s="234"/>
      <c r="AT6" s="234"/>
    </row>
    <row r="7" spans="1:77" s="34" customFormat="1" ht="20.399999999999999" x14ac:dyDescent="0.25">
      <c r="A7" s="128" t="s">
        <v>935</v>
      </c>
      <c r="B7" s="128" t="s">
        <v>7293</v>
      </c>
      <c r="C7" s="136"/>
      <c r="D7" s="136"/>
      <c r="E7" s="136"/>
      <c r="F7" s="136"/>
      <c r="G7" s="133">
        <v>2</v>
      </c>
      <c r="H7" s="133"/>
      <c r="I7" s="133"/>
      <c r="J7" s="133" t="s">
        <v>7039</v>
      </c>
      <c r="K7" s="234"/>
      <c r="L7" s="234"/>
      <c r="M7" s="234"/>
      <c r="N7" s="234"/>
      <c r="O7" s="234"/>
      <c r="P7" s="234"/>
      <c r="Q7" s="234"/>
      <c r="R7" s="234"/>
      <c r="S7" s="234"/>
      <c r="T7" s="234"/>
      <c r="U7" s="234"/>
      <c r="V7" s="234"/>
      <c r="W7" s="234"/>
      <c r="X7" s="234"/>
      <c r="Y7" s="234"/>
      <c r="Z7">
        <f>IF(AND('4 Ope'!C7&gt;Tmin, NOT('4 Ope'!$I7="")),'4 Ope'!$I7,0)</f>
        <v>0</v>
      </c>
      <c r="AA7">
        <f>IF(AND('4 Ope'!C7&gt;Tmin, NOT('4 Ope'!$I7="")),'4 Ope'!$I7,0)</f>
        <v>0</v>
      </c>
      <c r="AB7">
        <f>IF(AND('4 Ope'!D7&gt;Tmin, NOT('4 Ope'!$I7="")),'4 Ope'!$I7,0)</f>
        <v>0</v>
      </c>
      <c r="AC7">
        <f>IF(AND('4 Ope'!E7&gt;Tmin, NOT('4 Ope'!$I7="")),'4 Ope'!$I7,0)</f>
        <v>0</v>
      </c>
      <c r="AD7">
        <f>IF(AND('4 Ope'!F7&gt;Tmin, NOT('4 Ope'!$I7="")),'4 Ope'!$I7,0)</f>
        <v>0</v>
      </c>
      <c r="AE7">
        <f>IF(AND('4 Ope'!C7&lt;Tmax, NOT('4 Ope'!$H7="")),'4 Ope'!$H7,4)</f>
        <v>4</v>
      </c>
      <c r="AF7">
        <f>IF(AND('4 Ope'!D7&lt;Tmax, NOT('4 Ope'!$H7="")),'4 Ope'!$H7,4)</f>
        <v>4</v>
      </c>
      <c r="AG7">
        <f>IF(AND('4 Ope'!E7&lt;Tmax, NOT('4 Ope'!$H7="")),'4 Ope'!$H7,4)</f>
        <v>4</v>
      </c>
      <c r="AH7">
        <f>IF(AND('4 Ope'!F7&lt;Tmax, NOT('4 Ope'!$H7="")),'4 Ope'!$H7,4)</f>
        <v>4</v>
      </c>
      <c r="AI7"/>
      <c r="AJ7" s="234"/>
      <c r="AK7" s="234"/>
      <c r="AL7" s="234"/>
      <c r="AM7" s="234"/>
      <c r="AN7" s="234"/>
      <c r="AO7" s="234"/>
      <c r="AP7" s="234"/>
      <c r="AQ7" s="234"/>
      <c r="AR7" s="234"/>
      <c r="AS7" s="234"/>
      <c r="AT7" s="234"/>
    </row>
    <row r="8" spans="1:77" s="34" customFormat="1" ht="20.399999999999999" x14ac:dyDescent="0.25">
      <c r="A8" s="128" t="s">
        <v>936</v>
      </c>
      <c r="B8" s="128" t="s">
        <v>7435</v>
      </c>
      <c r="C8" s="136"/>
      <c r="D8" s="136"/>
      <c r="E8" s="136"/>
      <c r="F8" s="136"/>
      <c r="G8" s="133">
        <v>2</v>
      </c>
      <c r="H8" s="133"/>
      <c r="I8" s="133"/>
      <c r="J8" s="133" t="s">
        <v>7151</v>
      </c>
      <c r="K8" s="234"/>
      <c r="L8" s="234"/>
      <c r="M8" s="234"/>
      <c r="N8" s="234"/>
      <c r="O8" s="234"/>
      <c r="P8" s="234"/>
      <c r="Q8" s="234"/>
      <c r="R8" s="234"/>
      <c r="S8" s="234"/>
      <c r="T8" s="234"/>
      <c r="U8" s="234"/>
      <c r="V8" s="234"/>
      <c r="W8" s="234"/>
      <c r="X8" s="234"/>
      <c r="Y8" s="234"/>
      <c r="Z8">
        <f>IF(AND('4 Ope'!C8&gt;Tmin, NOT('4 Ope'!$I8="")),'4 Ope'!$I8,0)</f>
        <v>0</v>
      </c>
      <c r="AA8">
        <f>IF(AND('4 Ope'!C8&gt;Tmin, NOT('4 Ope'!$I8="")),'4 Ope'!$I8,0)</f>
        <v>0</v>
      </c>
      <c r="AB8">
        <f>IF(AND('4 Ope'!D8&gt;Tmin, NOT('4 Ope'!$I8="")),'4 Ope'!$I8,0)</f>
        <v>0</v>
      </c>
      <c r="AC8">
        <f>IF(AND('4 Ope'!E8&gt;Tmin, NOT('4 Ope'!$I8="")),'4 Ope'!$I8,0)</f>
        <v>0</v>
      </c>
      <c r="AD8">
        <f>IF(AND('4 Ope'!F8&gt;Tmin, NOT('4 Ope'!$I8="")),'4 Ope'!$I8,0)</f>
        <v>0</v>
      </c>
      <c r="AE8">
        <f>IF(AND('4 Ope'!C8&lt;Tmax, NOT('4 Ope'!$H8="")),'4 Ope'!$H8,4)</f>
        <v>4</v>
      </c>
      <c r="AF8">
        <f>IF(AND('4 Ope'!D8&lt;Tmax, NOT('4 Ope'!$H8="")),'4 Ope'!$H8,4)</f>
        <v>4</v>
      </c>
      <c r="AG8">
        <f>IF(AND('4 Ope'!E8&lt;Tmax, NOT('4 Ope'!$H8="")),'4 Ope'!$H8,4)</f>
        <v>4</v>
      </c>
      <c r="AH8">
        <f>IF(AND('4 Ope'!F8&lt;Tmax, NOT('4 Ope'!$H8="")),'4 Ope'!$H8,4)</f>
        <v>4</v>
      </c>
      <c r="AI8"/>
      <c r="AJ8" s="234"/>
      <c r="AK8" s="234"/>
      <c r="AL8" s="234"/>
      <c r="AM8" s="234"/>
      <c r="AN8" s="234"/>
      <c r="AO8" s="234"/>
      <c r="AP8" s="234"/>
      <c r="AQ8" s="234"/>
      <c r="AR8" s="234"/>
      <c r="AS8" s="234"/>
      <c r="AT8" s="234"/>
    </row>
    <row r="9" spans="1:77" s="34" customFormat="1" ht="20.399999999999999" x14ac:dyDescent="0.25">
      <c r="A9" s="128" t="s">
        <v>937</v>
      </c>
      <c r="B9" s="128" t="s">
        <v>7294</v>
      </c>
      <c r="C9" s="136"/>
      <c r="D9" s="136"/>
      <c r="E9" s="136"/>
      <c r="F9" s="136"/>
      <c r="G9" s="133">
        <v>2</v>
      </c>
      <c r="H9" s="133"/>
      <c r="I9" s="133"/>
      <c r="J9" s="133" t="s">
        <v>7151</v>
      </c>
      <c r="K9" s="234"/>
      <c r="L9" s="234"/>
      <c r="M9" s="234"/>
      <c r="N9" s="234"/>
      <c r="O9" s="234"/>
      <c r="P9" s="234"/>
      <c r="Q9" s="234"/>
      <c r="R9" s="234"/>
      <c r="S9" s="234"/>
      <c r="T9" s="234"/>
      <c r="U9" s="234"/>
      <c r="V9" s="234"/>
      <c r="W9" s="234"/>
      <c r="X9" s="234"/>
      <c r="Y9" s="234"/>
      <c r="Z9">
        <f>IF(AND('4 Ope'!C9&gt;Tmin, NOT('4 Ope'!$I9="")),'4 Ope'!$I9,0)</f>
        <v>0</v>
      </c>
      <c r="AA9">
        <f>IF(AND('4 Ope'!C9&gt;Tmin, NOT('4 Ope'!$I9="")),'4 Ope'!$I9,0)</f>
        <v>0</v>
      </c>
      <c r="AB9">
        <f>IF(AND('4 Ope'!D9&gt;Tmin, NOT('4 Ope'!$I9="")),'4 Ope'!$I9,0)</f>
        <v>0</v>
      </c>
      <c r="AC9">
        <f>IF(AND('4 Ope'!E9&gt;Tmin, NOT('4 Ope'!$I9="")),'4 Ope'!$I9,0)</f>
        <v>0</v>
      </c>
      <c r="AD9">
        <f>IF(AND('4 Ope'!F9&gt;Tmin, NOT('4 Ope'!$I9="")),'4 Ope'!$I9,0)</f>
        <v>0</v>
      </c>
      <c r="AE9">
        <f>IF(AND('4 Ope'!C9&lt;Tmax, NOT('4 Ope'!$H9="")),'4 Ope'!$H9,4)</f>
        <v>4</v>
      </c>
      <c r="AF9">
        <f>IF(AND('4 Ope'!D9&lt;Tmax, NOT('4 Ope'!$H9="")),'4 Ope'!$H9,4)</f>
        <v>4</v>
      </c>
      <c r="AG9">
        <f>IF(AND('4 Ope'!E9&lt;Tmax, NOT('4 Ope'!$H9="")),'4 Ope'!$H9,4)</f>
        <v>4</v>
      </c>
      <c r="AH9">
        <f>IF(AND('4 Ope'!F9&lt;Tmax, NOT('4 Ope'!$H9="")),'4 Ope'!$H9,4)</f>
        <v>4</v>
      </c>
      <c r="AI9"/>
      <c r="AJ9" s="234"/>
      <c r="AK9" s="234"/>
      <c r="AL9" s="234"/>
      <c r="AM9" s="234"/>
      <c r="AN9" s="234"/>
      <c r="AO9" s="234"/>
      <c r="AP9" s="234"/>
      <c r="AQ9" s="234"/>
      <c r="AR9" s="234"/>
      <c r="AS9" s="234"/>
      <c r="AT9" s="234"/>
    </row>
    <row r="10" spans="1:77" s="34" customFormat="1" ht="20.399999999999999" x14ac:dyDescent="0.25">
      <c r="A10" s="128" t="s">
        <v>938</v>
      </c>
      <c r="B10" s="128" t="s">
        <v>7295</v>
      </c>
      <c r="C10" s="136"/>
      <c r="D10" s="136"/>
      <c r="E10" s="136"/>
      <c r="F10" s="136"/>
      <c r="G10" s="133">
        <v>2</v>
      </c>
      <c r="H10" s="133"/>
      <c r="I10" s="133"/>
      <c r="J10" s="133" t="s">
        <v>7100</v>
      </c>
      <c r="K10" s="1155"/>
      <c r="L10" s="234"/>
      <c r="M10" s="234"/>
      <c r="N10" s="234"/>
      <c r="O10" s="234"/>
      <c r="P10" s="234"/>
      <c r="Q10" s="234"/>
      <c r="R10" s="234"/>
      <c r="S10" s="234"/>
      <c r="T10" s="234"/>
      <c r="U10" s="234"/>
      <c r="V10" s="234"/>
      <c r="W10" s="234"/>
      <c r="X10" s="234"/>
      <c r="Y10" s="234"/>
      <c r="Z10">
        <f>IF(AND('4 Ope'!C10&gt;Tmin, NOT('4 Ope'!$I10="")),'4 Ope'!$I10,0)</f>
        <v>0</v>
      </c>
      <c r="AA10">
        <f>IF(AND('4 Ope'!C10&gt;Tmin, NOT('4 Ope'!$I10="")),'4 Ope'!$I10,0)</f>
        <v>0</v>
      </c>
      <c r="AB10">
        <f>IF(AND('4 Ope'!D10&gt;Tmin, NOT('4 Ope'!$I10="")),'4 Ope'!$I10,0)</f>
        <v>0</v>
      </c>
      <c r="AC10">
        <f>IF(AND('4 Ope'!E10&gt;Tmin, NOT('4 Ope'!$I10="")),'4 Ope'!$I10,0)</f>
        <v>0</v>
      </c>
      <c r="AD10">
        <f>IF(AND('4 Ope'!F10&gt;Tmin, NOT('4 Ope'!$I10="")),'4 Ope'!$I10,0)</f>
        <v>0</v>
      </c>
      <c r="AE10">
        <f>IF(AND('4 Ope'!C10&lt;Tmax, NOT('4 Ope'!$H10="")),'4 Ope'!$H10,4)</f>
        <v>4</v>
      </c>
      <c r="AF10">
        <f>IF(AND('4 Ope'!D10&lt;Tmax, NOT('4 Ope'!$H10="")),'4 Ope'!$H10,4)</f>
        <v>4</v>
      </c>
      <c r="AG10">
        <f>IF(AND('4 Ope'!E10&lt;Tmax, NOT('4 Ope'!$H10="")),'4 Ope'!$H10,4)</f>
        <v>4</v>
      </c>
      <c r="AH10">
        <f>IF(AND('4 Ope'!F10&lt;Tmax, NOT('4 Ope'!$H10="")),'4 Ope'!$H10,4)</f>
        <v>4</v>
      </c>
      <c r="AI10"/>
      <c r="AJ10" s="234"/>
      <c r="AK10" s="234"/>
      <c r="AL10" s="234"/>
      <c r="AM10" s="234"/>
      <c r="AN10" s="234"/>
      <c r="AO10" s="234"/>
      <c r="AP10" s="234"/>
      <c r="AQ10" s="234"/>
      <c r="AR10" s="234"/>
      <c r="AS10" s="234"/>
      <c r="AT10" s="234"/>
    </row>
    <row r="11" spans="1:77" s="237" customFormat="1" x14ac:dyDescent="0.25">
      <c r="A11" s="128" t="s">
        <v>7296</v>
      </c>
      <c r="B11" s="128" t="s">
        <v>7297</v>
      </c>
      <c r="C11" s="136"/>
      <c r="D11" s="136"/>
      <c r="E11" s="136"/>
      <c r="F11" s="136"/>
      <c r="G11" s="133">
        <v>2</v>
      </c>
      <c r="H11" s="133"/>
      <c r="I11" s="133"/>
      <c r="J11" s="133" t="s">
        <v>7100</v>
      </c>
      <c r="K11" s="236"/>
      <c r="L11" s="236"/>
      <c r="M11" s="236"/>
      <c r="N11" s="236"/>
      <c r="O11" s="236"/>
      <c r="P11" s="236"/>
      <c r="Q11" s="236"/>
      <c r="R11" s="236"/>
      <c r="S11" s="236"/>
      <c r="T11" s="236"/>
      <c r="U11" s="236"/>
      <c r="V11" s="236"/>
      <c r="W11" s="236"/>
      <c r="X11" s="236"/>
      <c r="Y11" s="236"/>
      <c r="Z11">
        <f>IF(AND('4 Ope'!C11&gt;Tmin, NOT('4 Ope'!$I11="")),'4 Ope'!$I11,0)</f>
        <v>0</v>
      </c>
      <c r="AA11">
        <f>IF(AND('4 Ope'!C11&gt;Tmin, NOT('4 Ope'!$I11="")),'4 Ope'!$I11,0)</f>
        <v>0</v>
      </c>
      <c r="AB11">
        <f>IF(AND('4 Ope'!D11&gt;Tmin, NOT('4 Ope'!$I11="")),'4 Ope'!$I11,0)</f>
        <v>0</v>
      </c>
      <c r="AC11">
        <f>IF(AND('4 Ope'!E11&gt;Tmin, NOT('4 Ope'!$I11="")),'4 Ope'!$I11,0)</f>
        <v>0</v>
      </c>
      <c r="AD11">
        <f>IF(AND('4 Ope'!F11&gt;Tmin, NOT('4 Ope'!$I11="")),'4 Ope'!$I11,0)</f>
        <v>0</v>
      </c>
      <c r="AE11">
        <f>IF(AND('4 Ope'!C11&lt;Tmax, NOT('4 Ope'!$H11="")),'4 Ope'!$H11,4)</f>
        <v>4</v>
      </c>
      <c r="AF11">
        <f>IF(AND('4 Ope'!D11&lt;Tmax, NOT('4 Ope'!$H11="")),'4 Ope'!$H11,4)</f>
        <v>4</v>
      </c>
      <c r="AG11">
        <f>IF(AND('4 Ope'!E11&lt;Tmax, NOT('4 Ope'!$H11="")),'4 Ope'!$H11,4)</f>
        <v>4</v>
      </c>
      <c r="AH11">
        <f>IF(AND('4 Ope'!F11&lt;Tmax, NOT('4 Ope'!$H11="")),'4 Ope'!$H11,4)</f>
        <v>4</v>
      </c>
      <c r="AI11"/>
      <c r="AJ11" s="236"/>
      <c r="AK11" s="236"/>
      <c r="AL11" s="236"/>
      <c r="AM11" s="236"/>
      <c r="AN11" s="236"/>
      <c r="AO11" s="236"/>
      <c r="AP11" s="236"/>
      <c r="AQ11" s="236"/>
      <c r="AR11" s="236"/>
      <c r="AS11" s="236"/>
      <c r="AT11" s="236"/>
      <c r="BY11" s="237">
        <f>IF(INDEX(Tab_actions,17,1)=1,INDEX(Tab_actions,17,12),0)</f>
        <v>0</v>
      </c>
    </row>
    <row r="12" spans="1:77" s="240" customFormat="1" ht="30.6" x14ac:dyDescent="0.25">
      <c r="A12" s="128" t="s">
        <v>7298</v>
      </c>
      <c r="B12" s="128" t="s">
        <v>7299</v>
      </c>
      <c r="C12" s="136"/>
      <c r="D12" s="136"/>
      <c r="E12" s="136"/>
      <c r="F12" s="136"/>
      <c r="G12" s="133">
        <v>2</v>
      </c>
      <c r="H12" s="133"/>
      <c r="I12" s="133"/>
      <c r="J12" s="133" t="s">
        <v>7149</v>
      </c>
      <c r="K12" s="239"/>
      <c r="L12" s="239"/>
      <c r="M12" s="239"/>
      <c r="N12" s="239"/>
      <c r="O12" s="239"/>
      <c r="P12" s="239"/>
      <c r="Q12" s="239"/>
      <c r="R12" s="239"/>
      <c r="S12" s="239"/>
      <c r="T12" s="239"/>
      <c r="U12" s="239"/>
      <c r="V12" s="239"/>
      <c r="W12" s="239"/>
      <c r="X12" s="239"/>
      <c r="Y12" s="239"/>
      <c r="Z12">
        <f>IF(AND('4 Ope'!C12&gt;Tmin, NOT('4 Ope'!$I12="")),'4 Ope'!$I12,0)</f>
        <v>0</v>
      </c>
      <c r="AA12">
        <f>IF(AND('4 Ope'!C12&gt;Tmin, NOT('4 Ope'!$I12="")),'4 Ope'!$I12,0)</f>
        <v>0</v>
      </c>
      <c r="AB12">
        <f>IF(AND('4 Ope'!D12&gt;Tmin, NOT('4 Ope'!$I12="")),'4 Ope'!$I12,0)</f>
        <v>0</v>
      </c>
      <c r="AC12">
        <f>IF(AND('4 Ope'!E12&gt;Tmin, NOT('4 Ope'!$I12="")),'4 Ope'!$I12,0)</f>
        <v>0</v>
      </c>
      <c r="AD12">
        <f>IF(AND('4 Ope'!F12&gt;Tmin, NOT('4 Ope'!$I12="")),'4 Ope'!$I12,0)</f>
        <v>0</v>
      </c>
      <c r="AE12">
        <f>IF(AND('4 Ope'!C12&lt;Tmax, NOT('4 Ope'!$H12="")),'4 Ope'!$H12,4)</f>
        <v>4</v>
      </c>
      <c r="AF12">
        <f>IF(AND('4 Ope'!D12&lt;Tmax, NOT('4 Ope'!$H12="")),'4 Ope'!$H12,4)</f>
        <v>4</v>
      </c>
      <c r="AG12">
        <f>IF(AND('4 Ope'!E12&lt;Tmax, NOT('4 Ope'!$H12="")),'4 Ope'!$H12,4)</f>
        <v>4</v>
      </c>
      <c r="AH12">
        <f>IF(AND('4 Ope'!F12&lt;Tmax, NOT('4 Ope'!$H12="")),'4 Ope'!$H12,4)</f>
        <v>4</v>
      </c>
      <c r="AI12"/>
      <c r="AJ12" s="239"/>
      <c r="AK12" s="239"/>
      <c r="AL12" s="239"/>
      <c r="AM12" s="239"/>
      <c r="AN12" s="239"/>
      <c r="AO12" s="239"/>
      <c r="AP12" s="239"/>
      <c r="AQ12" s="239"/>
      <c r="AR12" s="239"/>
      <c r="AS12" s="239"/>
      <c r="AT12" s="239"/>
    </row>
    <row r="13" spans="1:77" s="34" customFormat="1" ht="20.399999999999999" x14ac:dyDescent="0.25">
      <c r="A13" s="128" t="s">
        <v>7300</v>
      </c>
      <c r="B13" s="128" t="s">
        <v>7266</v>
      </c>
      <c r="C13" s="136"/>
      <c r="D13" s="136"/>
      <c r="E13" s="136"/>
      <c r="F13" s="136"/>
      <c r="G13" s="133">
        <v>2</v>
      </c>
      <c r="H13" s="133"/>
      <c r="I13" s="133"/>
      <c r="J13" s="133" t="s">
        <v>7149</v>
      </c>
      <c r="K13" s="234"/>
      <c r="L13" s="234"/>
      <c r="M13" s="234"/>
      <c r="N13" s="234"/>
      <c r="O13" s="234"/>
      <c r="P13" s="234"/>
      <c r="Q13" s="234"/>
      <c r="R13" s="234"/>
      <c r="S13" s="234"/>
      <c r="T13" s="234"/>
      <c r="U13" s="234"/>
      <c r="V13" s="234"/>
      <c r="W13" s="234"/>
      <c r="X13" s="234"/>
      <c r="Y13" s="234"/>
      <c r="Z13">
        <f>IF(AND('4 Ope'!C13&gt;Tmin, NOT('4 Ope'!$I13="")),'4 Ope'!$I13,0)</f>
        <v>0</v>
      </c>
      <c r="AA13">
        <f>IF(AND('4 Ope'!C13&gt;Tmin, NOT('4 Ope'!$I13="")),'4 Ope'!$I13,0)</f>
        <v>0</v>
      </c>
      <c r="AB13">
        <f>IF(AND('4 Ope'!D13&gt;Tmin, NOT('4 Ope'!$I13="")),'4 Ope'!$I13,0)</f>
        <v>0</v>
      </c>
      <c r="AC13">
        <f>IF(AND('4 Ope'!E13&gt;Tmin, NOT('4 Ope'!$I13="")),'4 Ope'!$I13,0)</f>
        <v>0</v>
      </c>
      <c r="AD13">
        <f>IF(AND('4 Ope'!F13&gt;Tmin, NOT('4 Ope'!$I13="")),'4 Ope'!$I13,0)</f>
        <v>0</v>
      </c>
      <c r="AE13">
        <f>IF(AND('4 Ope'!C13&lt;Tmax, NOT('4 Ope'!$H13="")),'4 Ope'!$H13,4)</f>
        <v>4</v>
      </c>
      <c r="AF13">
        <f>IF(AND('4 Ope'!D13&lt;Tmax, NOT('4 Ope'!$H13="")),'4 Ope'!$H13,4)</f>
        <v>4</v>
      </c>
      <c r="AG13">
        <f>IF(AND('4 Ope'!E13&lt;Tmax, NOT('4 Ope'!$H13="")),'4 Ope'!$H13,4)</f>
        <v>4</v>
      </c>
      <c r="AH13">
        <f>IF(AND('4 Ope'!F13&lt;Tmax, NOT('4 Ope'!$H13="")),'4 Ope'!$H13,4)</f>
        <v>4</v>
      </c>
      <c r="AI13"/>
      <c r="AJ13" s="234"/>
      <c r="AK13" s="234"/>
      <c r="AL13" s="234"/>
      <c r="AM13" s="234"/>
      <c r="AN13" s="234"/>
      <c r="AO13" s="234"/>
      <c r="AP13" s="234"/>
      <c r="AQ13" s="234"/>
      <c r="AR13" s="234"/>
      <c r="AS13" s="234"/>
      <c r="AT13" s="234"/>
      <c r="BX13" s="34">
        <f>IF(INDEX(Tab_actions,33,1)=1,INDEX(Tab_actions,33,8),0)</f>
        <v>0</v>
      </c>
      <c r="BY13" s="34">
        <f>IF(INDEX(Tab_actions,40,1)=1,INDEX(Tab_actions,40,12),0)</f>
        <v>0</v>
      </c>
    </row>
    <row r="14" spans="1:77" s="34" customFormat="1" x14ac:dyDescent="0.25">
      <c r="A14" s="128" t="s">
        <v>650</v>
      </c>
      <c r="B14" s="128" t="s">
        <v>737</v>
      </c>
      <c r="C14" s="136"/>
      <c r="D14" s="136"/>
      <c r="E14" s="136"/>
      <c r="F14" s="136"/>
      <c r="G14" s="133"/>
      <c r="H14" s="133"/>
      <c r="I14" s="133"/>
      <c r="J14" s="133"/>
      <c r="K14" s="234"/>
      <c r="L14" s="234"/>
      <c r="M14" s="234"/>
      <c r="N14" s="234"/>
      <c r="O14" s="234"/>
      <c r="P14" s="234"/>
      <c r="Q14" s="234"/>
      <c r="R14" s="234"/>
      <c r="S14" s="234"/>
      <c r="T14" s="234"/>
      <c r="U14" s="234"/>
      <c r="V14" s="234"/>
      <c r="W14" s="234"/>
      <c r="X14" s="234"/>
      <c r="Y14" s="234"/>
      <c r="Z14"/>
      <c r="AA14"/>
      <c r="AB14"/>
      <c r="AC14"/>
      <c r="AD14"/>
      <c r="AE14"/>
      <c r="AF14"/>
      <c r="AG14"/>
      <c r="AH14"/>
      <c r="AI14"/>
      <c r="AJ14" s="234"/>
      <c r="AK14" s="234"/>
      <c r="AL14" s="234"/>
      <c r="AM14" s="234"/>
      <c r="AN14" s="234"/>
      <c r="AO14" s="234"/>
      <c r="AP14" s="234"/>
      <c r="AQ14" s="234"/>
      <c r="AR14" s="234"/>
      <c r="AS14" s="234"/>
      <c r="AT14" s="234"/>
    </row>
    <row r="15" spans="1:77" s="34" customFormat="1" ht="20.399999999999999" x14ac:dyDescent="0.25">
      <c r="A15" s="128" t="s">
        <v>939</v>
      </c>
      <c r="B15" s="128" t="s">
        <v>7301</v>
      </c>
      <c r="C15" s="136">
        <v>0</v>
      </c>
      <c r="D15" s="136"/>
      <c r="E15" s="136"/>
      <c r="F15" s="136"/>
      <c r="G15" s="133">
        <v>2</v>
      </c>
      <c r="H15" s="133"/>
      <c r="I15" s="133"/>
      <c r="J15" s="133" t="s">
        <v>7102</v>
      </c>
      <c r="K15" s="234" t="s">
        <v>7517</v>
      </c>
      <c r="L15" s="234"/>
      <c r="M15" s="234"/>
      <c r="N15" s="234"/>
      <c r="O15" s="234"/>
      <c r="P15" s="234"/>
      <c r="Q15" s="234"/>
      <c r="R15" s="234"/>
      <c r="S15" s="234"/>
      <c r="T15" s="234"/>
      <c r="U15" s="234"/>
      <c r="V15" s="234"/>
      <c r="W15" s="234"/>
      <c r="X15" s="234"/>
      <c r="Y15" s="234"/>
      <c r="Z15">
        <f>IF(AND('4 Ope'!C15&gt;Tmin, NOT('4 Ope'!$I15="")),'4 Ope'!$I15,0)</f>
        <v>0</v>
      </c>
      <c r="AA15">
        <f>IF(AND('4 Ope'!C15&gt;Tmin, NOT('4 Ope'!$I15="")),'4 Ope'!$I15,0)</f>
        <v>0</v>
      </c>
      <c r="AB15">
        <f>IF(AND('4 Ope'!D15&gt;Tmin, NOT('4 Ope'!$I15="")),'4 Ope'!$I15,0)</f>
        <v>0</v>
      </c>
      <c r="AC15">
        <f>IF(AND('4 Ope'!E15&gt;Tmin, NOT('4 Ope'!$I15="")),'4 Ope'!$I15,0)</f>
        <v>0</v>
      </c>
      <c r="AD15">
        <f>IF(AND('4 Ope'!F15&gt;Tmin, NOT('4 Ope'!$I15="")),'4 Ope'!$I15,0)</f>
        <v>0</v>
      </c>
      <c r="AE15">
        <f>IF(AND('4 Ope'!C15&lt;Tmax, NOT('4 Ope'!$H15="")),'4 Ope'!$H15,4)</f>
        <v>4</v>
      </c>
      <c r="AF15">
        <f>IF(AND('4 Ope'!D15&lt;Tmax, NOT('4 Ope'!$H15="")),'4 Ope'!$H15,4)</f>
        <v>4</v>
      </c>
      <c r="AG15">
        <f>IF(AND('4 Ope'!E15&lt;Tmax, NOT('4 Ope'!$H15="")),'4 Ope'!$H15,4)</f>
        <v>4</v>
      </c>
      <c r="AH15">
        <f>IF(AND('4 Ope'!F15&lt;Tmax, NOT('4 Ope'!$H15="")),'4 Ope'!$H15,4)</f>
        <v>4</v>
      </c>
      <c r="AI15"/>
      <c r="AJ15" s="234"/>
      <c r="AK15" s="234"/>
      <c r="AL15" s="234"/>
      <c r="AM15" s="234"/>
      <c r="AN15" s="234"/>
      <c r="AO15" s="234"/>
      <c r="AP15" s="234"/>
      <c r="AQ15" s="234"/>
      <c r="AR15" s="234"/>
      <c r="AS15" s="234"/>
      <c r="AT15" s="234"/>
    </row>
    <row r="16" spans="1:77" s="34" customFormat="1" ht="20.399999999999999" x14ac:dyDescent="0.25">
      <c r="A16" s="128" t="s">
        <v>940</v>
      </c>
      <c r="B16" s="128" t="s">
        <v>7302</v>
      </c>
      <c r="C16" s="136">
        <v>0</v>
      </c>
      <c r="D16" s="136"/>
      <c r="E16" s="136"/>
      <c r="F16" s="136"/>
      <c r="G16" s="133">
        <v>2</v>
      </c>
      <c r="H16" s="133"/>
      <c r="I16" s="133"/>
      <c r="J16" s="133" t="s">
        <v>7102</v>
      </c>
      <c r="K16" s="234" t="s">
        <v>7518</v>
      </c>
      <c r="L16" s="234"/>
      <c r="M16" s="234"/>
      <c r="N16" s="234"/>
      <c r="O16" s="234"/>
      <c r="P16" s="234"/>
      <c r="Q16" s="234"/>
      <c r="R16" s="234"/>
      <c r="S16" s="234"/>
      <c r="T16" s="234"/>
      <c r="U16" s="234"/>
      <c r="V16" s="234"/>
      <c r="W16" s="234"/>
      <c r="X16" s="234"/>
      <c r="Y16" s="234"/>
      <c r="Z16">
        <f>IF(AND('4 Ope'!C16&gt;Tmin, NOT('4 Ope'!$I16="")),'4 Ope'!$I16,0)</f>
        <v>0</v>
      </c>
      <c r="AA16">
        <f>IF(AND('4 Ope'!C16&gt;Tmin, NOT('4 Ope'!$I16="")),'4 Ope'!$I16,0)</f>
        <v>0</v>
      </c>
      <c r="AB16">
        <f>IF(AND('4 Ope'!D16&gt;Tmin, NOT('4 Ope'!$I16="")),'4 Ope'!$I16,0)</f>
        <v>0</v>
      </c>
      <c r="AC16">
        <f>IF(AND('4 Ope'!E16&gt;Tmin, NOT('4 Ope'!$I16="")),'4 Ope'!$I16,0)</f>
        <v>0</v>
      </c>
      <c r="AD16">
        <f>IF(AND('4 Ope'!F16&gt;Tmin, NOT('4 Ope'!$I16="")),'4 Ope'!$I16,0)</f>
        <v>0</v>
      </c>
      <c r="AE16">
        <f>IF(AND('4 Ope'!C16&lt;Tmax, NOT('4 Ope'!$H16="")),'4 Ope'!$H16,4)</f>
        <v>4</v>
      </c>
      <c r="AF16">
        <f>IF(AND('4 Ope'!D16&lt;Tmax, NOT('4 Ope'!$H16="")),'4 Ope'!$H16,4)</f>
        <v>4</v>
      </c>
      <c r="AG16">
        <f>IF(AND('4 Ope'!E16&lt;Tmax, NOT('4 Ope'!$H16="")),'4 Ope'!$H16,4)</f>
        <v>4</v>
      </c>
      <c r="AH16">
        <f>IF(AND('4 Ope'!F16&lt;Tmax, NOT('4 Ope'!$H16="")),'4 Ope'!$H16,4)</f>
        <v>4</v>
      </c>
      <c r="AI16"/>
      <c r="AJ16" s="234"/>
      <c r="AK16" s="234"/>
      <c r="AL16" s="234"/>
      <c r="AM16" s="234"/>
      <c r="AN16" s="234"/>
      <c r="AO16" s="234"/>
      <c r="AP16" s="234"/>
      <c r="AQ16" s="234"/>
      <c r="AR16" s="234"/>
      <c r="AS16" s="234"/>
      <c r="AT16" s="234"/>
    </row>
    <row r="17" spans="1:46" s="34" customFormat="1" ht="20.399999999999999" x14ac:dyDescent="0.25">
      <c r="A17" s="128" t="s">
        <v>941</v>
      </c>
      <c r="B17" s="128" t="s">
        <v>263</v>
      </c>
      <c r="C17" s="136">
        <v>0</v>
      </c>
      <c r="D17" s="136"/>
      <c r="E17" s="136"/>
      <c r="F17" s="136"/>
      <c r="G17" s="133">
        <v>2</v>
      </c>
      <c r="H17" s="133">
        <v>3</v>
      </c>
      <c r="I17" s="133"/>
      <c r="J17" s="133"/>
      <c r="K17" s="234" t="s">
        <v>7519</v>
      </c>
      <c r="L17" s="234"/>
      <c r="M17" s="234"/>
      <c r="N17" s="234"/>
      <c r="O17" s="234"/>
      <c r="P17" s="234"/>
      <c r="Q17" s="234"/>
      <c r="R17" s="234"/>
      <c r="S17" s="234"/>
      <c r="T17" s="234"/>
      <c r="U17" s="234"/>
      <c r="V17" s="234"/>
      <c r="W17" s="234"/>
      <c r="X17" s="234"/>
      <c r="Y17" s="234"/>
      <c r="Z17">
        <f>IF(AND('4 Ope'!C17&gt;Tmin, NOT('4 Ope'!$I17="")),'4 Ope'!$I17,0)</f>
        <v>0</v>
      </c>
      <c r="AA17">
        <f>IF(AND('4 Ope'!C17&gt;Tmin, NOT('4 Ope'!$I17="")),'4 Ope'!$I17,0)</f>
        <v>0</v>
      </c>
      <c r="AB17">
        <f>IF(AND('4 Ope'!D17&gt;Tmin, NOT('4 Ope'!$I17="")),'4 Ope'!$I17,0)</f>
        <v>0</v>
      </c>
      <c r="AC17">
        <f>IF(AND('4 Ope'!E17&gt;Tmin, NOT('4 Ope'!$I17="")),'4 Ope'!$I17,0)</f>
        <v>0</v>
      </c>
      <c r="AD17">
        <f>IF(AND('4 Ope'!F17&gt;Tmin, NOT('4 Ope'!$I17="")),'4 Ope'!$I17,0)</f>
        <v>0</v>
      </c>
      <c r="AE17">
        <f>IF(AND('4 Ope'!C17&lt;Tmax, NOT('4 Ope'!$H17="")),'4 Ope'!$H17,4)</f>
        <v>3</v>
      </c>
      <c r="AF17">
        <f>IF(AND('4 Ope'!D17&lt;Tmax, NOT('4 Ope'!$H17="")),'4 Ope'!$H17,4)</f>
        <v>3</v>
      </c>
      <c r="AG17">
        <f>IF(AND('4 Ope'!E17&lt;Tmax, NOT('4 Ope'!$H17="")),'4 Ope'!$H17,4)</f>
        <v>3</v>
      </c>
      <c r="AH17">
        <f>IF(AND('4 Ope'!F17&lt;Tmax, NOT('4 Ope'!$H17="")),'4 Ope'!$H17,4)</f>
        <v>3</v>
      </c>
      <c r="AI17"/>
      <c r="AJ17" s="234"/>
      <c r="AK17" s="234"/>
      <c r="AL17" s="234"/>
      <c r="AM17" s="234"/>
      <c r="AN17" s="234"/>
      <c r="AO17" s="234"/>
      <c r="AP17" s="234"/>
      <c r="AQ17" s="234"/>
      <c r="AR17" s="234"/>
      <c r="AS17" s="234"/>
      <c r="AT17" s="234"/>
    </row>
    <row r="18" spans="1:46" s="34" customFormat="1" ht="20.399999999999999" x14ac:dyDescent="0.25">
      <c r="A18" s="128" t="s">
        <v>942</v>
      </c>
      <c r="B18" s="128" t="s">
        <v>2332</v>
      </c>
      <c r="C18" s="136">
        <v>0</v>
      </c>
      <c r="D18" s="136"/>
      <c r="E18" s="136"/>
      <c r="F18" s="136"/>
      <c r="G18" s="133">
        <v>4</v>
      </c>
      <c r="H18" s="133"/>
      <c r="I18" s="133"/>
      <c r="J18" s="133"/>
      <c r="K18" s="234" t="s">
        <v>7518</v>
      </c>
      <c r="L18" s="234"/>
      <c r="M18" s="234"/>
      <c r="N18" s="234"/>
      <c r="O18" s="234"/>
      <c r="P18" s="234"/>
      <c r="Q18" s="234"/>
      <c r="R18" s="234"/>
      <c r="S18" s="234"/>
      <c r="T18" s="234"/>
      <c r="U18" s="234"/>
      <c r="V18" s="234"/>
      <c r="W18" s="234"/>
      <c r="X18" s="234"/>
      <c r="Y18" s="234"/>
      <c r="Z18">
        <f>IF(AND('4 Ope'!C18&gt;Tmin, NOT('4 Ope'!$I18="")),'4 Ope'!$I18,0)</f>
        <v>0</v>
      </c>
      <c r="AA18">
        <f>IF(AND('4 Ope'!C18&gt;Tmin, NOT('4 Ope'!$I18="")),'4 Ope'!$I18,0)</f>
        <v>0</v>
      </c>
      <c r="AB18">
        <f>IF(AND('4 Ope'!D18&gt;Tmin, NOT('4 Ope'!$I18="")),'4 Ope'!$I18,0)</f>
        <v>0</v>
      </c>
      <c r="AC18">
        <f>IF(AND('4 Ope'!E18&gt;Tmin, NOT('4 Ope'!$I18="")),'4 Ope'!$I18,0)</f>
        <v>0</v>
      </c>
      <c r="AD18">
        <f>IF(AND('4 Ope'!F18&gt;Tmin, NOT('4 Ope'!$I18="")),'4 Ope'!$I18,0)</f>
        <v>0</v>
      </c>
      <c r="AE18">
        <f>IF(AND('4 Ope'!C18&lt;Tmax, NOT('4 Ope'!$H18="")),'4 Ope'!$H18,4)</f>
        <v>4</v>
      </c>
      <c r="AF18">
        <f>IF(AND('4 Ope'!D18&lt;Tmax, NOT('4 Ope'!$H18="")),'4 Ope'!$H18,4)</f>
        <v>4</v>
      </c>
      <c r="AG18">
        <f>IF(AND('4 Ope'!E18&lt;Tmax, NOT('4 Ope'!$H18="")),'4 Ope'!$H18,4)</f>
        <v>4</v>
      </c>
      <c r="AH18">
        <f>IF(AND('4 Ope'!F18&lt;Tmax, NOT('4 Ope'!$H18="")),'4 Ope'!$H18,4)</f>
        <v>4</v>
      </c>
      <c r="AI18"/>
      <c r="AJ18" s="234"/>
      <c r="AK18" s="234"/>
      <c r="AL18" s="234"/>
      <c r="AM18" s="234"/>
      <c r="AN18" s="234"/>
      <c r="AO18" s="234"/>
      <c r="AP18" s="234"/>
      <c r="AQ18" s="234"/>
      <c r="AR18" s="234"/>
      <c r="AS18" s="234"/>
      <c r="AT18" s="234"/>
    </row>
    <row r="19" spans="1:46" s="34" customFormat="1" ht="20.399999999999999" x14ac:dyDescent="0.25">
      <c r="A19" s="128" t="s">
        <v>943</v>
      </c>
      <c r="B19" s="128" t="s">
        <v>7303</v>
      </c>
      <c r="C19" s="136">
        <v>0</v>
      </c>
      <c r="D19" s="136"/>
      <c r="E19" s="136"/>
      <c r="F19" s="136"/>
      <c r="G19" s="133">
        <v>4</v>
      </c>
      <c r="H19" s="133">
        <v>2</v>
      </c>
      <c r="I19" s="133"/>
      <c r="J19" s="133"/>
      <c r="K19" s="234" t="s">
        <v>7518</v>
      </c>
      <c r="L19" s="234"/>
      <c r="M19" s="234"/>
      <c r="N19" s="234"/>
      <c r="O19" s="234"/>
      <c r="P19" s="234"/>
      <c r="Q19" s="234"/>
      <c r="R19" s="234"/>
      <c r="S19" s="234"/>
      <c r="T19" s="234"/>
      <c r="U19" s="234"/>
      <c r="V19" s="234"/>
      <c r="W19" s="234"/>
      <c r="X19" s="234"/>
      <c r="Y19" s="234"/>
      <c r="Z19">
        <f>IF(AND('4 Ope'!C19&gt;Tmin, NOT('4 Ope'!$I19="")),'4 Ope'!$I19,0)</f>
        <v>0</v>
      </c>
      <c r="AA19">
        <f>IF(AND('4 Ope'!C19&gt;Tmin, NOT('4 Ope'!$I19="")),'4 Ope'!$I19,0)</f>
        <v>0</v>
      </c>
      <c r="AB19">
        <f>IF(AND('4 Ope'!D19&gt;Tmin, NOT('4 Ope'!$I19="")),'4 Ope'!$I19,0)</f>
        <v>0</v>
      </c>
      <c r="AC19">
        <f>IF(AND('4 Ope'!E19&gt;Tmin, NOT('4 Ope'!$I19="")),'4 Ope'!$I19,0)</f>
        <v>0</v>
      </c>
      <c r="AD19">
        <f>IF(AND('4 Ope'!F19&gt;Tmin, NOT('4 Ope'!$I19="")),'4 Ope'!$I19,0)</f>
        <v>0</v>
      </c>
      <c r="AE19">
        <f>IF(AND('4 Ope'!C19&lt;Tmax, NOT('4 Ope'!$H19="")),'4 Ope'!$H19,4)</f>
        <v>2</v>
      </c>
      <c r="AF19">
        <f>IF(AND('4 Ope'!D19&lt;Tmax, NOT('4 Ope'!$H19="")),'4 Ope'!$H19,4)</f>
        <v>2</v>
      </c>
      <c r="AG19">
        <f>IF(AND('4 Ope'!E19&lt;Tmax, NOT('4 Ope'!$H19="")),'4 Ope'!$H19,4)</f>
        <v>2</v>
      </c>
      <c r="AH19">
        <f>IF(AND('4 Ope'!F19&lt;Tmax, NOT('4 Ope'!$H19="")),'4 Ope'!$H19,4)</f>
        <v>2</v>
      </c>
      <c r="AI19"/>
      <c r="AJ19" s="234"/>
      <c r="AK19" s="234"/>
      <c r="AL19" s="234"/>
      <c r="AM19" s="234"/>
      <c r="AN19" s="234"/>
      <c r="AO19" s="234"/>
      <c r="AP19" s="234"/>
      <c r="AQ19" s="234"/>
      <c r="AR19" s="234"/>
      <c r="AS19" s="234"/>
      <c r="AT19" s="234"/>
    </row>
    <row r="20" spans="1:46" s="34" customFormat="1" ht="20.399999999999999" x14ac:dyDescent="0.25">
      <c r="A20" s="128" t="s">
        <v>944</v>
      </c>
      <c r="B20" s="128" t="s">
        <v>264</v>
      </c>
      <c r="C20" s="136">
        <v>0</v>
      </c>
      <c r="D20" s="136"/>
      <c r="E20" s="136"/>
      <c r="F20" s="136"/>
      <c r="G20" s="133">
        <v>4</v>
      </c>
      <c r="H20" s="133">
        <v>3</v>
      </c>
      <c r="I20" s="133"/>
      <c r="J20" s="133"/>
      <c r="K20" s="234" t="s">
        <v>7494</v>
      </c>
      <c r="L20" s="234"/>
      <c r="M20" s="234"/>
      <c r="N20" s="234"/>
      <c r="O20" s="234"/>
      <c r="P20" s="234"/>
      <c r="Q20" s="234"/>
      <c r="R20" s="234"/>
      <c r="S20" s="234"/>
      <c r="T20" s="234"/>
      <c r="U20" s="234"/>
      <c r="V20" s="234"/>
      <c r="W20" s="234"/>
      <c r="X20" s="234"/>
      <c r="Y20" s="234"/>
      <c r="Z20">
        <f>IF(AND('4 Ope'!C20&gt;Tmin, NOT('4 Ope'!$I20="")),'4 Ope'!$I20,0)</f>
        <v>0</v>
      </c>
      <c r="AA20">
        <f>IF(AND('4 Ope'!C20&gt;Tmin, NOT('4 Ope'!$I20="")),'4 Ope'!$I20,0)</f>
        <v>0</v>
      </c>
      <c r="AB20">
        <f>IF(AND('4 Ope'!D20&gt;Tmin, NOT('4 Ope'!$I20="")),'4 Ope'!$I20,0)</f>
        <v>0</v>
      </c>
      <c r="AC20">
        <f>IF(AND('4 Ope'!E20&gt;Tmin, NOT('4 Ope'!$I20="")),'4 Ope'!$I20,0)</f>
        <v>0</v>
      </c>
      <c r="AD20">
        <f>IF(AND('4 Ope'!F20&gt;Tmin, NOT('4 Ope'!$I20="")),'4 Ope'!$I20,0)</f>
        <v>0</v>
      </c>
      <c r="AE20">
        <f>IF(AND('4 Ope'!C20&lt;Tmax, NOT('4 Ope'!$H20="")),'4 Ope'!$H20,4)</f>
        <v>3</v>
      </c>
      <c r="AF20">
        <f>IF(AND('4 Ope'!D20&lt;Tmax, NOT('4 Ope'!$H20="")),'4 Ope'!$H20,4)</f>
        <v>3</v>
      </c>
      <c r="AG20">
        <f>IF(AND('4 Ope'!E20&lt;Tmax, NOT('4 Ope'!$H20="")),'4 Ope'!$H20,4)</f>
        <v>3</v>
      </c>
      <c r="AH20">
        <f>IF(AND('4 Ope'!F20&lt;Tmax, NOT('4 Ope'!$H20="")),'4 Ope'!$H20,4)</f>
        <v>3</v>
      </c>
      <c r="AI20"/>
      <c r="AJ20" s="234"/>
      <c r="AK20" s="234"/>
      <c r="AL20" s="234"/>
      <c r="AM20" s="234"/>
      <c r="AN20" s="234"/>
      <c r="AO20" s="234"/>
      <c r="AP20" s="234"/>
      <c r="AQ20" s="234"/>
      <c r="AR20" s="234"/>
      <c r="AS20" s="234"/>
      <c r="AT20" s="234"/>
    </row>
    <row r="21" spans="1:46" s="34" customFormat="1" x14ac:dyDescent="0.25">
      <c r="A21" s="128" t="s">
        <v>945</v>
      </c>
      <c r="B21" s="128" t="s">
        <v>7304</v>
      </c>
      <c r="C21" s="136">
        <v>0</v>
      </c>
      <c r="D21" s="136"/>
      <c r="E21" s="136"/>
      <c r="F21" s="136"/>
      <c r="G21" s="133">
        <v>4</v>
      </c>
      <c r="H21" s="133">
        <v>3</v>
      </c>
      <c r="I21" s="133"/>
      <c r="J21" s="133"/>
      <c r="K21" s="234" t="s">
        <v>7519</v>
      </c>
      <c r="L21" s="234"/>
      <c r="M21" s="234"/>
      <c r="N21" s="234"/>
      <c r="O21" s="234"/>
      <c r="P21" s="234"/>
      <c r="Q21" s="234"/>
      <c r="R21" s="234"/>
      <c r="S21" s="234"/>
      <c r="T21" s="234"/>
      <c r="U21" s="234"/>
      <c r="V21" s="234"/>
      <c r="W21" s="234"/>
      <c r="X21" s="234"/>
      <c r="Y21" s="234"/>
      <c r="Z21">
        <f>IF(AND('4 Ope'!C21&gt;Tmin, NOT('4 Ope'!$I21="")),'4 Ope'!$I21,0)</f>
        <v>0</v>
      </c>
      <c r="AA21">
        <f>IF(AND('4 Ope'!C21&gt;Tmin, NOT('4 Ope'!$I21="")),'4 Ope'!$I21,0)</f>
        <v>0</v>
      </c>
      <c r="AB21">
        <f>IF(AND('4 Ope'!D21&gt;Tmin, NOT('4 Ope'!$I21="")),'4 Ope'!$I21,0)</f>
        <v>0</v>
      </c>
      <c r="AC21">
        <f>IF(AND('4 Ope'!E21&gt;Tmin, NOT('4 Ope'!$I21="")),'4 Ope'!$I21,0)</f>
        <v>0</v>
      </c>
      <c r="AD21">
        <f>IF(AND('4 Ope'!F21&gt;Tmin, NOT('4 Ope'!$I21="")),'4 Ope'!$I21,0)</f>
        <v>0</v>
      </c>
      <c r="AE21">
        <f>IF(AND('4 Ope'!C21&lt;Tmax, NOT('4 Ope'!$H21="")),'4 Ope'!$H21,4)</f>
        <v>3</v>
      </c>
      <c r="AF21">
        <f>IF(AND('4 Ope'!D21&lt;Tmax, NOT('4 Ope'!$H21="")),'4 Ope'!$H21,4)</f>
        <v>3</v>
      </c>
      <c r="AG21">
        <f>IF(AND('4 Ope'!E21&lt;Tmax, NOT('4 Ope'!$H21="")),'4 Ope'!$H21,4)</f>
        <v>3</v>
      </c>
      <c r="AH21">
        <f>IF(AND('4 Ope'!F21&lt;Tmax, NOT('4 Ope'!$H21="")),'4 Ope'!$H21,4)</f>
        <v>3</v>
      </c>
      <c r="AI21"/>
      <c r="AJ21" s="234"/>
      <c r="AK21" s="234"/>
      <c r="AL21" s="234"/>
      <c r="AM21" s="234"/>
      <c r="AN21" s="234"/>
      <c r="AO21" s="234"/>
      <c r="AP21" s="234"/>
      <c r="AQ21" s="234"/>
      <c r="AR21" s="234"/>
      <c r="AS21" s="234"/>
      <c r="AT21" s="234"/>
    </row>
    <row r="22" spans="1:46" s="34" customFormat="1" ht="20.399999999999999" x14ac:dyDescent="0.25">
      <c r="A22" s="128" t="s">
        <v>946</v>
      </c>
      <c r="B22" s="128" t="s">
        <v>7305</v>
      </c>
      <c r="C22" s="136">
        <v>0</v>
      </c>
      <c r="D22" s="136"/>
      <c r="E22" s="136"/>
      <c r="F22" s="136"/>
      <c r="G22" s="133">
        <v>2</v>
      </c>
      <c r="H22" s="133">
        <v>3</v>
      </c>
      <c r="I22" s="133"/>
      <c r="J22" s="133"/>
      <c r="K22" s="234" t="s">
        <v>7494</v>
      </c>
      <c r="L22" s="234"/>
      <c r="M22" s="234"/>
      <c r="N22" s="234"/>
      <c r="O22" s="234"/>
      <c r="P22" s="234"/>
      <c r="Q22" s="234"/>
      <c r="R22" s="234"/>
      <c r="S22" s="234"/>
      <c r="T22" s="234"/>
      <c r="U22" s="234"/>
      <c r="V22" s="234"/>
      <c r="W22" s="234"/>
      <c r="X22" s="234"/>
      <c r="Y22" s="234"/>
      <c r="Z22">
        <f>IF(AND('4 Ope'!C22&gt;Tmin, NOT('4 Ope'!$I22="")),'4 Ope'!$I22,0)</f>
        <v>0</v>
      </c>
      <c r="AA22">
        <f>IF(AND('4 Ope'!C22&gt;Tmin, NOT('4 Ope'!$I22="")),'4 Ope'!$I22,0)</f>
        <v>0</v>
      </c>
      <c r="AB22">
        <f>IF(AND('4 Ope'!D22&gt;Tmin, NOT('4 Ope'!$I22="")),'4 Ope'!$I22,0)</f>
        <v>0</v>
      </c>
      <c r="AC22">
        <f>IF(AND('4 Ope'!E22&gt;Tmin, NOT('4 Ope'!$I22="")),'4 Ope'!$I22,0)</f>
        <v>0</v>
      </c>
      <c r="AD22">
        <f>IF(AND('4 Ope'!F22&gt;Tmin, NOT('4 Ope'!$I22="")),'4 Ope'!$I22,0)</f>
        <v>0</v>
      </c>
      <c r="AE22">
        <f>IF(AND('4 Ope'!C22&lt;Tmax, NOT('4 Ope'!$H22="")),'4 Ope'!$H22,4)</f>
        <v>3</v>
      </c>
      <c r="AF22">
        <f>IF(AND('4 Ope'!D22&lt;Tmax, NOT('4 Ope'!$H22="")),'4 Ope'!$H22,4)</f>
        <v>3</v>
      </c>
      <c r="AG22">
        <f>IF(AND('4 Ope'!E22&lt;Tmax, NOT('4 Ope'!$H22="")),'4 Ope'!$H22,4)</f>
        <v>3</v>
      </c>
      <c r="AH22">
        <f>IF(AND('4 Ope'!F22&lt;Tmax, NOT('4 Ope'!$H22="")),'4 Ope'!$H22,4)</f>
        <v>3</v>
      </c>
      <c r="AI22"/>
      <c r="AJ22" s="234"/>
      <c r="AK22" s="234"/>
      <c r="AL22" s="234"/>
      <c r="AM22" s="234"/>
      <c r="AN22" s="234"/>
      <c r="AO22" s="234"/>
      <c r="AP22" s="234"/>
      <c r="AQ22" s="234"/>
      <c r="AR22" s="234"/>
      <c r="AS22" s="234"/>
      <c r="AT22" s="234"/>
    </row>
    <row r="23" spans="1:46" s="34" customFormat="1" ht="20.399999999999999" x14ac:dyDescent="0.25">
      <c r="A23" s="128" t="s">
        <v>7306</v>
      </c>
      <c r="B23" s="128" t="s">
        <v>7307</v>
      </c>
      <c r="C23" s="136">
        <v>0</v>
      </c>
      <c r="D23" s="136"/>
      <c r="E23" s="136"/>
      <c r="F23" s="136"/>
      <c r="G23" s="133">
        <v>2</v>
      </c>
      <c r="H23" s="133"/>
      <c r="I23" s="133"/>
      <c r="J23" s="133" t="s">
        <v>7102</v>
      </c>
      <c r="K23" s="234" t="s">
        <v>7494</v>
      </c>
      <c r="L23" s="234"/>
      <c r="M23" s="234"/>
      <c r="N23" s="234"/>
      <c r="O23" s="234"/>
      <c r="P23" s="234"/>
      <c r="Q23" s="234"/>
      <c r="R23" s="234"/>
      <c r="S23" s="234"/>
      <c r="T23" s="234"/>
      <c r="U23" s="234"/>
      <c r="V23" s="234"/>
      <c r="W23" s="234"/>
      <c r="X23" s="234"/>
      <c r="Y23" s="234"/>
      <c r="Z23">
        <f>IF(AND('4 Ope'!C23&gt;Tmin, NOT('4 Ope'!$I23="")),'4 Ope'!$I23,0)</f>
        <v>0</v>
      </c>
      <c r="AA23">
        <f>IF(AND('4 Ope'!C23&gt;Tmin, NOT('4 Ope'!$I23="")),'4 Ope'!$I23,0)</f>
        <v>0</v>
      </c>
      <c r="AB23">
        <f>IF(AND('4 Ope'!D23&gt;Tmin, NOT('4 Ope'!$I23="")),'4 Ope'!$I23,0)</f>
        <v>0</v>
      </c>
      <c r="AC23">
        <f>IF(AND('4 Ope'!E23&gt;Tmin, NOT('4 Ope'!$I23="")),'4 Ope'!$I23,0)</f>
        <v>0</v>
      </c>
      <c r="AD23">
        <f>IF(AND('4 Ope'!F23&gt;Tmin, NOT('4 Ope'!$I23="")),'4 Ope'!$I23,0)</f>
        <v>0</v>
      </c>
      <c r="AE23">
        <f>IF(AND('4 Ope'!C23&lt;Tmax, NOT('4 Ope'!$H23="")),'4 Ope'!$H23,4)</f>
        <v>4</v>
      </c>
      <c r="AF23">
        <f>IF(AND('4 Ope'!D23&lt;Tmax, NOT('4 Ope'!$H23="")),'4 Ope'!$H23,4)</f>
        <v>4</v>
      </c>
      <c r="AG23">
        <f>IF(AND('4 Ope'!E23&lt;Tmax, NOT('4 Ope'!$H23="")),'4 Ope'!$H23,4)</f>
        <v>4</v>
      </c>
      <c r="AH23">
        <f>IF(AND('4 Ope'!F23&lt;Tmax, NOT('4 Ope'!$H23="")),'4 Ope'!$H23,4)</f>
        <v>4</v>
      </c>
      <c r="AI23"/>
      <c r="AJ23" s="234"/>
      <c r="AK23" s="234"/>
      <c r="AL23" s="234"/>
      <c r="AM23" s="234"/>
      <c r="AN23" s="234"/>
      <c r="AO23" s="234"/>
      <c r="AP23" s="234"/>
      <c r="AQ23" s="234"/>
      <c r="AR23" s="234"/>
      <c r="AS23" s="234"/>
      <c r="AT23" s="234"/>
    </row>
    <row r="24" spans="1:46" s="34" customFormat="1" x14ac:dyDescent="0.25">
      <c r="A24" s="128" t="s">
        <v>622</v>
      </c>
      <c r="B24" s="128" t="s">
        <v>947</v>
      </c>
      <c r="C24" s="136"/>
      <c r="D24" s="136"/>
      <c r="E24" s="136"/>
      <c r="F24" s="136"/>
      <c r="G24" s="133"/>
      <c r="H24" s="133"/>
      <c r="I24" s="133"/>
      <c r="J24" s="133"/>
      <c r="K24" s="234"/>
      <c r="L24" s="234"/>
      <c r="M24" s="234"/>
      <c r="N24" s="234"/>
      <c r="O24" s="234"/>
      <c r="P24" s="234"/>
      <c r="Q24" s="234"/>
      <c r="R24" s="234"/>
      <c r="S24" s="234"/>
      <c r="T24" s="234"/>
      <c r="U24" s="234"/>
      <c r="V24" s="234"/>
      <c r="W24" s="234"/>
      <c r="X24" s="234"/>
      <c r="Y24" s="234"/>
      <c r="Z24"/>
      <c r="AA24"/>
      <c r="AB24"/>
      <c r="AC24"/>
      <c r="AD24"/>
      <c r="AE24"/>
      <c r="AF24"/>
      <c r="AG24"/>
      <c r="AH24"/>
      <c r="AI24"/>
      <c r="AJ24" s="234"/>
      <c r="AK24" s="234"/>
      <c r="AL24" s="234"/>
      <c r="AM24" s="234"/>
      <c r="AN24" s="234"/>
      <c r="AO24" s="234"/>
      <c r="AP24" s="234"/>
      <c r="AQ24" s="234"/>
      <c r="AR24" s="234"/>
      <c r="AS24" s="234"/>
      <c r="AT24" s="234"/>
    </row>
    <row r="25" spans="1:46" s="34" customFormat="1" ht="20.399999999999999" x14ac:dyDescent="0.25">
      <c r="A25" s="128" t="s">
        <v>948</v>
      </c>
      <c r="B25" s="128" t="s">
        <v>949</v>
      </c>
      <c r="C25" s="136">
        <v>1</v>
      </c>
      <c r="D25" s="136"/>
      <c r="E25" s="136"/>
      <c r="F25" s="136"/>
      <c r="G25" s="133">
        <v>4</v>
      </c>
      <c r="H25" s="133"/>
      <c r="I25" s="133"/>
      <c r="J25" s="133" t="s">
        <v>7113</v>
      </c>
      <c r="K25" s="234" t="s">
        <v>7510</v>
      </c>
      <c r="L25" s="234"/>
      <c r="M25" s="234"/>
      <c r="N25" s="234"/>
      <c r="O25" s="234"/>
      <c r="P25" s="234"/>
      <c r="Q25" s="234"/>
      <c r="R25" s="234"/>
      <c r="S25" s="234"/>
      <c r="T25" s="234"/>
      <c r="U25" s="234"/>
      <c r="V25" s="234"/>
      <c r="W25" s="234"/>
      <c r="X25" s="234"/>
      <c r="Y25" s="234"/>
      <c r="Z25">
        <f>IF(AND('4 Ope'!C25&gt;Tmin, NOT('4 Ope'!$I25="")),'4 Ope'!$I25,0)</f>
        <v>0</v>
      </c>
      <c r="AA25">
        <f>IF(AND('4 Ope'!C25&gt;Tmin, NOT('4 Ope'!$I25="")),'4 Ope'!$I25,0)</f>
        <v>0</v>
      </c>
      <c r="AB25">
        <f>IF(AND('4 Ope'!D25&gt;Tmin, NOT('4 Ope'!$I25="")),'4 Ope'!$I25,0)</f>
        <v>0</v>
      </c>
      <c r="AC25">
        <f>IF(AND('4 Ope'!E25&gt;Tmin, NOT('4 Ope'!$I25="")),'4 Ope'!$I25,0)</f>
        <v>0</v>
      </c>
      <c r="AD25">
        <f>IF(AND('4 Ope'!F25&gt;Tmin, NOT('4 Ope'!$I25="")),'4 Ope'!$I25,0)</f>
        <v>0</v>
      </c>
      <c r="AE25">
        <f>IF(AND('4 Ope'!C25&lt;Tmax, NOT('4 Ope'!$H25="")),'4 Ope'!$H25,4)</f>
        <v>4</v>
      </c>
      <c r="AF25">
        <f>IF(AND('4 Ope'!D25&lt;Tmax, NOT('4 Ope'!$H25="")),'4 Ope'!$H25,4)</f>
        <v>4</v>
      </c>
      <c r="AG25">
        <f>IF(AND('4 Ope'!E25&lt;Tmax, NOT('4 Ope'!$H25="")),'4 Ope'!$H25,4)</f>
        <v>4</v>
      </c>
      <c r="AH25">
        <f>IF(AND('4 Ope'!F25&lt;Tmax, NOT('4 Ope'!$H25="")),'4 Ope'!$H25,4)</f>
        <v>4</v>
      </c>
      <c r="AI25"/>
      <c r="AJ25" s="234"/>
      <c r="AK25" s="234"/>
      <c r="AL25" s="234"/>
      <c r="AM25" s="234"/>
      <c r="AN25" s="234"/>
      <c r="AO25" s="234"/>
      <c r="AP25" s="234"/>
      <c r="AQ25" s="234"/>
      <c r="AR25" s="234"/>
      <c r="AS25" s="234"/>
      <c r="AT25" s="234"/>
    </row>
    <row r="26" spans="1:46" s="34" customFormat="1" ht="20.399999999999999" x14ac:dyDescent="0.25">
      <c r="A26" s="128" t="s">
        <v>950</v>
      </c>
      <c r="B26" s="128" t="s">
        <v>951</v>
      </c>
      <c r="C26" s="136">
        <v>0</v>
      </c>
      <c r="D26" s="136"/>
      <c r="E26" s="136"/>
      <c r="F26" s="136"/>
      <c r="G26" s="133">
        <v>2</v>
      </c>
      <c r="H26" s="133"/>
      <c r="I26" s="133"/>
      <c r="J26" s="133"/>
      <c r="K26" s="234" t="s">
        <v>7508</v>
      </c>
      <c r="L26" s="234"/>
      <c r="M26" s="234"/>
      <c r="N26" s="234"/>
      <c r="O26" s="234"/>
      <c r="P26" s="234"/>
      <c r="Q26" s="234"/>
      <c r="R26" s="234"/>
      <c r="S26" s="234"/>
      <c r="T26" s="234"/>
      <c r="U26" s="234"/>
      <c r="V26" s="234"/>
      <c r="W26" s="234"/>
      <c r="X26" s="234"/>
      <c r="Y26" s="234"/>
      <c r="Z26">
        <f>IF(AND('4 Ope'!C26&gt;Tmin, NOT('4 Ope'!$I26="")),'4 Ope'!$I26,0)</f>
        <v>0</v>
      </c>
      <c r="AA26">
        <f>IF(AND('4 Ope'!C26&gt;Tmin, NOT('4 Ope'!$I26="")),'4 Ope'!$I26,0)</f>
        <v>0</v>
      </c>
      <c r="AB26">
        <f>IF(AND('4 Ope'!D26&gt;Tmin, NOT('4 Ope'!$I26="")),'4 Ope'!$I26,0)</f>
        <v>0</v>
      </c>
      <c r="AC26">
        <f>IF(AND('4 Ope'!E26&gt;Tmin, NOT('4 Ope'!$I26="")),'4 Ope'!$I26,0)</f>
        <v>0</v>
      </c>
      <c r="AD26">
        <f>IF(AND('4 Ope'!F26&gt;Tmin, NOT('4 Ope'!$I26="")),'4 Ope'!$I26,0)</f>
        <v>0</v>
      </c>
      <c r="AE26">
        <f>IF(AND('4 Ope'!C26&lt;Tmax, NOT('4 Ope'!$H26="")),'4 Ope'!$H26,4)</f>
        <v>4</v>
      </c>
      <c r="AF26">
        <f>IF(AND('4 Ope'!D26&lt;Tmax, NOT('4 Ope'!$H26="")),'4 Ope'!$H26,4)</f>
        <v>4</v>
      </c>
      <c r="AG26">
        <f>IF(AND('4 Ope'!E26&lt;Tmax, NOT('4 Ope'!$H26="")),'4 Ope'!$H26,4)</f>
        <v>4</v>
      </c>
      <c r="AH26">
        <f>IF(AND('4 Ope'!F26&lt;Tmax, NOT('4 Ope'!$H26="")),'4 Ope'!$H26,4)</f>
        <v>4</v>
      </c>
      <c r="AI26"/>
      <c r="AJ26" s="234"/>
      <c r="AK26" s="234"/>
      <c r="AL26" s="234"/>
      <c r="AM26" s="234"/>
      <c r="AN26" s="234"/>
      <c r="AO26" s="234"/>
      <c r="AP26" s="234"/>
      <c r="AQ26" s="234"/>
      <c r="AR26" s="234"/>
      <c r="AS26" s="234"/>
      <c r="AT26" s="234"/>
    </row>
    <row r="27" spans="1:46" s="34" customFormat="1" ht="40.799999999999997" x14ac:dyDescent="0.25">
      <c r="A27" s="128" t="s">
        <v>952</v>
      </c>
      <c r="B27" s="128" t="s">
        <v>953</v>
      </c>
      <c r="C27" s="136">
        <v>0</v>
      </c>
      <c r="D27" s="136"/>
      <c r="E27" s="136"/>
      <c r="F27" s="136"/>
      <c r="G27" s="133">
        <v>2</v>
      </c>
      <c r="H27" s="133"/>
      <c r="I27" s="133"/>
      <c r="J27" s="133"/>
      <c r="K27" s="234" t="s">
        <v>7508</v>
      </c>
      <c r="L27" s="234"/>
      <c r="M27" s="234"/>
      <c r="N27" s="234"/>
      <c r="O27" s="234"/>
      <c r="P27" s="234"/>
      <c r="Q27" s="234"/>
      <c r="R27" s="234"/>
      <c r="S27" s="234"/>
      <c r="T27" s="234"/>
      <c r="U27" s="234"/>
      <c r="V27" s="234"/>
      <c r="W27" s="234"/>
      <c r="X27" s="234"/>
      <c r="Y27" s="234"/>
      <c r="Z27">
        <f>IF(AND('4 Ope'!C27&gt;Tmin, NOT('4 Ope'!$I27="")),'4 Ope'!$I27,0)</f>
        <v>0</v>
      </c>
      <c r="AA27">
        <f>IF(AND('4 Ope'!C27&gt;Tmin, NOT('4 Ope'!$I27="")),'4 Ope'!$I27,0)</f>
        <v>0</v>
      </c>
      <c r="AB27">
        <f>IF(AND('4 Ope'!D27&gt;Tmin, NOT('4 Ope'!$I27="")),'4 Ope'!$I27,0)</f>
        <v>0</v>
      </c>
      <c r="AC27">
        <f>IF(AND('4 Ope'!E27&gt;Tmin, NOT('4 Ope'!$I27="")),'4 Ope'!$I27,0)</f>
        <v>0</v>
      </c>
      <c r="AD27">
        <f>IF(AND('4 Ope'!F27&gt;Tmin, NOT('4 Ope'!$I27="")),'4 Ope'!$I27,0)</f>
        <v>0</v>
      </c>
      <c r="AE27">
        <f>IF(AND('4 Ope'!C27&lt;Tmax, NOT('4 Ope'!$H27="")),'4 Ope'!$H27,4)</f>
        <v>4</v>
      </c>
      <c r="AF27">
        <f>IF(AND('4 Ope'!D27&lt;Tmax, NOT('4 Ope'!$H27="")),'4 Ope'!$H27,4)</f>
        <v>4</v>
      </c>
      <c r="AG27">
        <f>IF(AND('4 Ope'!E27&lt;Tmax, NOT('4 Ope'!$H27="")),'4 Ope'!$H27,4)</f>
        <v>4</v>
      </c>
      <c r="AH27">
        <f>IF(AND('4 Ope'!F27&lt;Tmax, NOT('4 Ope'!$H27="")),'4 Ope'!$H27,4)</f>
        <v>4</v>
      </c>
      <c r="AI27"/>
      <c r="AJ27" s="234"/>
      <c r="AK27" s="234"/>
      <c r="AL27" s="234"/>
      <c r="AM27" s="234"/>
      <c r="AN27" s="234"/>
      <c r="AO27" s="234"/>
      <c r="AP27" s="234"/>
      <c r="AQ27" s="234"/>
      <c r="AR27" s="234"/>
      <c r="AS27" s="234"/>
      <c r="AT27" s="234"/>
    </row>
    <row r="28" spans="1:46" s="34" customFormat="1" ht="20.399999999999999" x14ac:dyDescent="0.25">
      <c r="A28" s="128" t="s">
        <v>954</v>
      </c>
      <c r="B28" s="128" t="s">
        <v>449</v>
      </c>
      <c r="C28" s="136">
        <v>0</v>
      </c>
      <c r="D28" s="136"/>
      <c r="E28" s="136"/>
      <c r="F28" s="136"/>
      <c r="G28" s="133">
        <v>2</v>
      </c>
      <c r="H28" s="133">
        <v>3</v>
      </c>
      <c r="I28" s="133"/>
      <c r="J28" s="133"/>
      <c r="K28" s="234" t="s">
        <v>7494</v>
      </c>
      <c r="L28" s="234"/>
      <c r="M28" s="234"/>
      <c r="N28" s="234"/>
      <c r="O28" s="234"/>
      <c r="P28" s="234"/>
      <c r="Q28" s="234"/>
      <c r="R28" s="234"/>
      <c r="S28" s="234"/>
      <c r="T28" s="234"/>
      <c r="U28" s="234"/>
      <c r="V28" s="234"/>
      <c r="W28" s="234"/>
      <c r="X28" s="234"/>
      <c r="Y28" s="234"/>
      <c r="Z28">
        <f>IF(AND('4 Ope'!C28&gt;Tmin, NOT('4 Ope'!$I28="")),'4 Ope'!$I28,0)</f>
        <v>0</v>
      </c>
      <c r="AA28">
        <f>IF(AND('4 Ope'!C28&gt;Tmin, NOT('4 Ope'!$I28="")),'4 Ope'!$I28,0)</f>
        <v>0</v>
      </c>
      <c r="AB28">
        <f>IF(AND('4 Ope'!D28&gt;Tmin, NOT('4 Ope'!$I28="")),'4 Ope'!$I28,0)</f>
        <v>0</v>
      </c>
      <c r="AC28">
        <f>IF(AND('4 Ope'!E28&gt;Tmin, NOT('4 Ope'!$I28="")),'4 Ope'!$I28,0)</f>
        <v>0</v>
      </c>
      <c r="AD28">
        <f>IF(AND('4 Ope'!F28&gt;Tmin, NOT('4 Ope'!$I28="")),'4 Ope'!$I28,0)</f>
        <v>0</v>
      </c>
      <c r="AE28">
        <f>IF(AND('4 Ope'!C28&lt;Tmax, NOT('4 Ope'!$H28="")),'4 Ope'!$H28,4)</f>
        <v>3</v>
      </c>
      <c r="AF28">
        <f>IF(AND('4 Ope'!D28&lt;Tmax, NOT('4 Ope'!$H28="")),'4 Ope'!$H28,4)</f>
        <v>3</v>
      </c>
      <c r="AG28">
        <f>IF(AND('4 Ope'!E28&lt;Tmax, NOT('4 Ope'!$H28="")),'4 Ope'!$H28,4)</f>
        <v>3</v>
      </c>
      <c r="AH28">
        <f>IF(AND('4 Ope'!F28&lt;Tmax, NOT('4 Ope'!$H28="")),'4 Ope'!$H28,4)</f>
        <v>3</v>
      </c>
      <c r="AI28"/>
      <c r="AJ28" s="234"/>
      <c r="AK28" s="234"/>
      <c r="AL28" s="234"/>
      <c r="AM28" s="234"/>
      <c r="AN28" s="234"/>
      <c r="AO28" s="234"/>
      <c r="AP28" s="234"/>
      <c r="AQ28" s="234"/>
      <c r="AR28" s="234"/>
      <c r="AS28" s="234"/>
      <c r="AT28" s="234"/>
    </row>
    <row r="29" spans="1:46" s="34" customFormat="1" x14ac:dyDescent="0.25">
      <c r="A29" s="128" t="s">
        <v>955</v>
      </c>
      <c r="B29" s="128" t="s">
        <v>333</v>
      </c>
      <c r="C29" s="136">
        <v>0</v>
      </c>
      <c r="D29" s="136"/>
      <c r="E29" s="136"/>
      <c r="F29" s="136"/>
      <c r="G29" s="133">
        <v>2</v>
      </c>
      <c r="H29" s="133">
        <v>3</v>
      </c>
      <c r="I29" s="133"/>
      <c r="J29" s="133"/>
      <c r="K29" s="234" t="s">
        <v>7494</v>
      </c>
      <c r="L29" s="234"/>
      <c r="M29" s="234"/>
      <c r="N29" s="234"/>
      <c r="O29" s="234"/>
      <c r="P29" s="234"/>
      <c r="Q29" s="234"/>
      <c r="R29" s="234"/>
      <c r="S29" s="234"/>
      <c r="T29" s="234"/>
      <c r="U29" s="234"/>
      <c r="V29" s="234"/>
      <c r="W29" s="234"/>
      <c r="X29" s="234"/>
      <c r="Y29" s="234"/>
      <c r="Z29">
        <f>IF(AND('4 Ope'!C29&gt;Tmin, NOT('4 Ope'!$I29="")),'4 Ope'!$I29,0)</f>
        <v>0</v>
      </c>
      <c r="AA29">
        <f>IF(AND('4 Ope'!C29&gt;Tmin, NOT('4 Ope'!$I29="")),'4 Ope'!$I29,0)</f>
        <v>0</v>
      </c>
      <c r="AB29">
        <f>IF(AND('4 Ope'!D29&gt;Tmin, NOT('4 Ope'!$I29="")),'4 Ope'!$I29,0)</f>
        <v>0</v>
      </c>
      <c r="AC29">
        <f>IF(AND('4 Ope'!E29&gt;Tmin, NOT('4 Ope'!$I29="")),'4 Ope'!$I29,0)</f>
        <v>0</v>
      </c>
      <c r="AD29">
        <f>IF(AND('4 Ope'!F29&gt;Tmin, NOT('4 Ope'!$I29="")),'4 Ope'!$I29,0)</f>
        <v>0</v>
      </c>
      <c r="AE29">
        <f>IF(AND('4 Ope'!C29&lt;Tmax, NOT('4 Ope'!$H29="")),'4 Ope'!$H29,4)</f>
        <v>3</v>
      </c>
      <c r="AF29">
        <f>IF(AND('4 Ope'!D29&lt;Tmax, NOT('4 Ope'!$H29="")),'4 Ope'!$H29,4)</f>
        <v>3</v>
      </c>
      <c r="AG29">
        <f>IF(AND('4 Ope'!E29&lt;Tmax, NOT('4 Ope'!$H29="")),'4 Ope'!$H29,4)</f>
        <v>3</v>
      </c>
      <c r="AH29">
        <f>IF(AND('4 Ope'!F29&lt;Tmax, NOT('4 Ope'!$H29="")),'4 Ope'!$H29,4)</f>
        <v>3</v>
      </c>
      <c r="AI29"/>
      <c r="AJ29" s="234"/>
      <c r="AK29" s="234"/>
      <c r="AL29" s="234"/>
      <c r="AM29" s="234"/>
      <c r="AN29" s="234"/>
      <c r="AO29" s="234"/>
      <c r="AP29" s="234"/>
      <c r="AQ29" s="234"/>
      <c r="AR29" s="234"/>
      <c r="AS29" s="234"/>
      <c r="AT29" s="234"/>
    </row>
    <row r="30" spans="1:46" s="34" customFormat="1" ht="20.399999999999999" x14ac:dyDescent="0.25">
      <c r="A30" s="128" t="s">
        <v>956</v>
      </c>
      <c r="B30" s="128" t="s">
        <v>526</v>
      </c>
      <c r="C30" s="136">
        <v>0</v>
      </c>
      <c r="D30" s="136"/>
      <c r="E30" s="136"/>
      <c r="F30" s="136"/>
      <c r="G30" s="133">
        <v>2</v>
      </c>
      <c r="H30" s="133"/>
      <c r="I30" s="133"/>
      <c r="J30" s="133"/>
      <c r="K30" s="234" t="s">
        <v>7511</v>
      </c>
      <c r="L30" s="234"/>
      <c r="M30" s="234"/>
      <c r="N30" s="234"/>
      <c r="O30" s="234"/>
      <c r="P30" s="234"/>
      <c r="Q30" s="234"/>
      <c r="R30" s="234"/>
      <c r="S30" s="234"/>
      <c r="T30" s="234"/>
      <c r="U30" s="234"/>
      <c r="V30" s="234"/>
      <c r="W30" s="234"/>
      <c r="X30" s="234"/>
      <c r="Y30" s="234"/>
      <c r="Z30">
        <f>IF(AND('4 Ope'!C30&gt;Tmin, NOT('4 Ope'!$I30="")),'4 Ope'!$I30,0)</f>
        <v>0</v>
      </c>
      <c r="AA30">
        <f>IF(AND('4 Ope'!C30&gt;Tmin, NOT('4 Ope'!$I30="")),'4 Ope'!$I30,0)</f>
        <v>0</v>
      </c>
      <c r="AB30">
        <f>IF(AND('4 Ope'!D30&gt;Tmin, NOT('4 Ope'!$I30="")),'4 Ope'!$I30,0)</f>
        <v>0</v>
      </c>
      <c r="AC30">
        <f>IF(AND('4 Ope'!E30&gt;Tmin, NOT('4 Ope'!$I30="")),'4 Ope'!$I30,0)</f>
        <v>0</v>
      </c>
      <c r="AD30">
        <f>IF(AND('4 Ope'!F30&gt;Tmin, NOT('4 Ope'!$I30="")),'4 Ope'!$I30,0)</f>
        <v>0</v>
      </c>
      <c r="AE30">
        <f>IF(AND('4 Ope'!C30&lt;Tmax, NOT('4 Ope'!$H30="")),'4 Ope'!$H30,4)</f>
        <v>4</v>
      </c>
      <c r="AF30">
        <f>IF(AND('4 Ope'!D30&lt;Tmax, NOT('4 Ope'!$H30="")),'4 Ope'!$H30,4)</f>
        <v>4</v>
      </c>
      <c r="AG30">
        <f>IF(AND('4 Ope'!E30&lt;Tmax, NOT('4 Ope'!$H30="")),'4 Ope'!$H30,4)</f>
        <v>4</v>
      </c>
      <c r="AH30">
        <f>IF(AND('4 Ope'!F30&lt;Tmax, NOT('4 Ope'!$H30="")),'4 Ope'!$H30,4)</f>
        <v>4</v>
      </c>
      <c r="AI30"/>
      <c r="AJ30" s="234"/>
      <c r="AK30" s="234"/>
      <c r="AL30" s="234"/>
      <c r="AM30" s="234"/>
      <c r="AN30" s="234"/>
      <c r="AO30" s="234"/>
      <c r="AP30" s="234"/>
      <c r="AQ30" s="234"/>
      <c r="AR30" s="234"/>
      <c r="AS30" s="234"/>
      <c r="AT30" s="234"/>
    </row>
    <row r="31" spans="1:46" s="34" customFormat="1" x14ac:dyDescent="0.25">
      <c r="A31" s="128" t="s">
        <v>957</v>
      </c>
      <c r="B31" s="128" t="s">
        <v>389</v>
      </c>
      <c r="C31" s="136">
        <v>0</v>
      </c>
      <c r="D31" s="136"/>
      <c r="E31" s="136"/>
      <c r="F31" s="136"/>
      <c r="G31" s="133">
        <v>2</v>
      </c>
      <c r="H31" s="133"/>
      <c r="I31" s="133"/>
      <c r="J31" s="133"/>
      <c r="K31" s="234" t="s">
        <v>7512</v>
      </c>
      <c r="L31" s="234"/>
      <c r="M31" s="234"/>
      <c r="N31" s="234"/>
      <c r="O31" s="234"/>
      <c r="P31" s="234"/>
      <c r="Q31" s="234"/>
      <c r="R31" s="234"/>
      <c r="S31" s="234"/>
      <c r="T31" s="234"/>
      <c r="U31" s="234"/>
      <c r="V31" s="234"/>
      <c r="W31" s="234"/>
      <c r="X31" s="234"/>
      <c r="Y31" s="234"/>
      <c r="Z31">
        <f>IF(AND('4 Ope'!C31&gt;Tmin, NOT('4 Ope'!$I31="")),'4 Ope'!$I31,0)</f>
        <v>0</v>
      </c>
      <c r="AA31">
        <f>IF(AND('4 Ope'!C31&gt;Tmin, NOT('4 Ope'!$I31="")),'4 Ope'!$I31,0)</f>
        <v>0</v>
      </c>
      <c r="AB31">
        <f>IF(AND('4 Ope'!D31&gt;Tmin, NOT('4 Ope'!$I31="")),'4 Ope'!$I31,0)</f>
        <v>0</v>
      </c>
      <c r="AC31">
        <f>IF(AND('4 Ope'!E31&gt;Tmin, NOT('4 Ope'!$I31="")),'4 Ope'!$I31,0)</f>
        <v>0</v>
      </c>
      <c r="AD31">
        <f>IF(AND('4 Ope'!F31&gt;Tmin, NOT('4 Ope'!$I31="")),'4 Ope'!$I31,0)</f>
        <v>0</v>
      </c>
      <c r="AE31">
        <f>IF(AND('4 Ope'!C31&lt;Tmax, NOT('4 Ope'!$H31="")),'4 Ope'!$H31,4)</f>
        <v>4</v>
      </c>
      <c r="AF31">
        <f>IF(AND('4 Ope'!D31&lt;Tmax, NOT('4 Ope'!$H31="")),'4 Ope'!$H31,4)</f>
        <v>4</v>
      </c>
      <c r="AG31">
        <f>IF(AND('4 Ope'!E31&lt;Tmax, NOT('4 Ope'!$H31="")),'4 Ope'!$H31,4)</f>
        <v>4</v>
      </c>
      <c r="AH31">
        <f>IF(AND('4 Ope'!F31&lt;Tmax, NOT('4 Ope'!$H31="")),'4 Ope'!$H31,4)</f>
        <v>4</v>
      </c>
      <c r="AI31"/>
      <c r="AJ31" s="234"/>
      <c r="AK31" s="234"/>
      <c r="AL31" s="234"/>
      <c r="AM31" s="234"/>
      <c r="AN31" s="234"/>
      <c r="AO31" s="234"/>
      <c r="AP31" s="234"/>
      <c r="AQ31" s="234"/>
      <c r="AR31" s="234"/>
      <c r="AS31" s="234"/>
      <c r="AT31" s="234"/>
    </row>
    <row r="32" spans="1:46" s="34" customFormat="1" ht="20.399999999999999" x14ac:dyDescent="0.25">
      <c r="A32" s="128" t="s">
        <v>958</v>
      </c>
      <c r="B32" s="128" t="s">
        <v>32</v>
      </c>
      <c r="C32" s="136">
        <v>0</v>
      </c>
      <c r="D32" s="136"/>
      <c r="E32" s="136"/>
      <c r="F32" s="136"/>
      <c r="G32" s="133">
        <v>2</v>
      </c>
      <c r="H32" s="133">
        <v>2</v>
      </c>
      <c r="I32" s="133"/>
      <c r="J32" s="133"/>
      <c r="K32" s="234" t="s">
        <v>7508</v>
      </c>
      <c r="L32" s="234"/>
      <c r="M32" s="234"/>
      <c r="N32" s="234"/>
      <c r="O32" s="234"/>
      <c r="P32" s="234"/>
      <c r="Q32" s="234"/>
      <c r="R32" s="234"/>
      <c r="S32" s="234"/>
      <c r="T32" s="234"/>
      <c r="U32" s="234"/>
      <c r="V32" s="234"/>
      <c r="W32" s="234"/>
      <c r="X32" s="234"/>
      <c r="Y32" s="234"/>
      <c r="Z32">
        <f>IF(AND('4 Ope'!C32&gt;Tmin, NOT('4 Ope'!$I32="")),'4 Ope'!$I32,0)</f>
        <v>0</v>
      </c>
      <c r="AA32">
        <f>IF(AND('4 Ope'!C32&gt;Tmin, NOT('4 Ope'!$I32="")),'4 Ope'!$I32,0)</f>
        <v>0</v>
      </c>
      <c r="AB32">
        <f>IF(AND('4 Ope'!D32&gt;Tmin, NOT('4 Ope'!$I32="")),'4 Ope'!$I32,0)</f>
        <v>0</v>
      </c>
      <c r="AC32">
        <f>IF(AND('4 Ope'!E32&gt;Tmin, NOT('4 Ope'!$I32="")),'4 Ope'!$I32,0)</f>
        <v>0</v>
      </c>
      <c r="AD32">
        <f>IF(AND('4 Ope'!F32&gt;Tmin, NOT('4 Ope'!$I32="")),'4 Ope'!$I32,0)</f>
        <v>0</v>
      </c>
      <c r="AE32">
        <f>IF(AND('4 Ope'!C32&lt;Tmax, NOT('4 Ope'!$H32="")),'4 Ope'!$H32,4)</f>
        <v>2</v>
      </c>
      <c r="AF32">
        <f>IF(AND('4 Ope'!D32&lt;Tmax, NOT('4 Ope'!$H32="")),'4 Ope'!$H32,4)</f>
        <v>2</v>
      </c>
      <c r="AG32">
        <f>IF(AND('4 Ope'!E32&lt;Tmax, NOT('4 Ope'!$H32="")),'4 Ope'!$H32,4)</f>
        <v>2</v>
      </c>
      <c r="AH32">
        <f>IF(AND('4 Ope'!F32&lt;Tmax, NOT('4 Ope'!$H32="")),'4 Ope'!$H32,4)</f>
        <v>2</v>
      </c>
      <c r="AI32"/>
      <c r="AJ32" s="234"/>
      <c r="AK32" s="234"/>
      <c r="AL32" s="234"/>
      <c r="AM32" s="234"/>
      <c r="AN32" s="234"/>
      <c r="AO32" s="234"/>
      <c r="AP32" s="234"/>
      <c r="AQ32" s="234"/>
      <c r="AR32" s="234"/>
      <c r="AS32" s="234"/>
      <c r="AT32" s="234"/>
    </row>
    <row r="33" spans="1:46" s="213" customFormat="1" ht="30.6" x14ac:dyDescent="0.25">
      <c r="A33" s="128" t="s">
        <v>959</v>
      </c>
      <c r="B33" s="128" t="s">
        <v>559</v>
      </c>
      <c r="C33" s="136">
        <v>0</v>
      </c>
      <c r="D33" s="136"/>
      <c r="E33" s="136"/>
      <c r="F33" s="136"/>
      <c r="G33" s="133">
        <v>2</v>
      </c>
      <c r="H33" s="133">
        <v>3</v>
      </c>
      <c r="I33" s="133"/>
      <c r="J33" s="133"/>
      <c r="K33" s="128" t="s">
        <v>7511</v>
      </c>
      <c r="L33" s="227"/>
      <c r="M33" s="227"/>
      <c r="N33" s="227"/>
      <c r="O33" s="227"/>
      <c r="P33" s="227"/>
      <c r="Q33" s="227"/>
      <c r="R33" s="227"/>
      <c r="S33" s="227"/>
      <c r="T33" s="227"/>
      <c r="U33" s="227"/>
      <c r="V33" s="227"/>
      <c r="W33" s="227"/>
      <c r="X33" s="227"/>
      <c r="Y33" s="227"/>
      <c r="Z33">
        <f>IF(AND('4 Ope'!C33&gt;Tmin, NOT('4 Ope'!$I33="")),'4 Ope'!$I33,0)</f>
        <v>0</v>
      </c>
      <c r="AA33">
        <f>IF(AND('4 Ope'!C33&gt;Tmin, NOT('4 Ope'!$I33="")),'4 Ope'!$I33,0)</f>
        <v>0</v>
      </c>
      <c r="AB33">
        <f>IF(AND('4 Ope'!D33&gt;Tmin, NOT('4 Ope'!$I33="")),'4 Ope'!$I33,0)</f>
        <v>0</v>
      </c>
      <c r="AC33">
        <f>IF(AND('4 Ope'!E33&gt;Tmin, NOT('4 Ope'!$I33="")),'4 Ope'!$I33,0)</f>
        <v>0</v>
      </c>
      <c r="AD33">
        <f>IF(AND('4 Ope'!F33&gt;Tmin, NOT('4 Ope'!$I33="")),'4 Ope'!$I33,0)</f>
        <v>0</v>
      </c>
      <c r="AE33">
        <f>IF(AND('4 Ope'!C33&lt;Tmax, NOT('4 Ope'!$H33="")),'4 Ope'!$H33,4)</f>
        <v>3</v>
      </c>
      <c r="AF33">
        <f>IF(AND('4 Ope'!D33&lt;Tmax, NOT('4 Ope'!$H33="")),'4 Ope'!$H33,4)</f>
        <v>3</v>
      </c>
      <c r="AG33">
        <f>IF(AND('4 Ope'!E33&lt;Tmax, NOT('4 Ope'!$H33="")),'4 Ope'!$H33,4)</f>
        <v>3</v>
      </c>
      <c r="AH33">
        <f>IF(AND('4 Ope'!F33&lt;Tmax, NOT('4 Ope'!$H33="")),'4 Ope'!$H33,4)</f>
        <v>3</v>
      </c>
      <c r="AI33"/>
    </row>
    <row r="34" spans="1:46" s="213" customFormat="1" ht="40.799999999999997" x14ac:dyDescent="0.25">
      <c r="A34" s="128" t="s">
        <v>960</v>
      </c>
      <c r="B34" s="128" t="s">
        <v>63</v>
      </c>
      <c r="C34" s="136">
        <v>0</v>
      </c>
      <c r="D34" s="136"/>
      <c r="E34" s="136"/>
      <c r="F34" s="136"/>
      <c r="G34" s="133">
        <v>2</v>
      </c>
      <c r="H34" s="133">
        <v>3</v>
      </c>
      <c r="I34" s="133"/>
      <c r="J34" s="133"/>
      <c r="K34" s="128" t="s">
        <v>7494</v>
      </c>
      <c r="L34" s="227"/>
      <c r="M34" s="227"/>
      <c r="N34" s="227"/>
      <c r="O34" s="227"/>
      <c r="P34" s="227"/>
      <c r="Q34" s="227"/>
      <c r="R34" s="227"/>
      <c r="S34" s="227"/>
      <c r="T34" s="227"/>
      <c r="U34" s="227"/>
      <c r="V34" s="227"/>
      <c r="W34" s="227"/>
      <c r="X34" s="227"/>
      <c r="Y34" s="227"/>
      <c r="Z34">
        <f>IF(AND('4 Ope'!C34&gt;Tmin, NOT('4 Ope'!$I34="")),'4 Ope'!$I34,0)</f>
        <v>0</v>
      </c>
      <c r="AA34">
        <f>IF(AND('4 Ope'!C34&gt;Tmin, NOT('4 Ope'!$I34="")),'4 Ope'!$I34,0)</f>
        <v>0</v>
      </c>
      <c r="AB34">
        <f>IF(AND('4 Ope'!D34&gt;Tmin, NOT('4 Ope'!$I34="")),'4 Ope'!$I34,0)</f>
        <v>0</v>
      </c>
      <c r="AC34">
        <f>IF(AND('4 Ope'!E34&gt;Tmin, NOT('4 Ope'!$I34="")),'4 Ope'!$I34,0)</f>
        <v>0</v>
      </c>
      <c r="AD34">
        <f>IF(AND('4 Ope'!F34&gt;Tmin, NOT('4 Ope'!$I34="")),'4 Ope'!$I34,0)</f>
        <v>0</v>
      </c>
      <c r="AE34">
        <f>IF(AND('4 Ope'!C34&lt;Tmax, NOT('4 Ope'!$H34="")),'4 Ope'!$H34,4)</f>
        <v>3</v>
      </c>
      <c r="AF34">
        <f>IF(AND('4 Ope'!D34&lt;Tmax, NOT('4 Ope'!$H34="")),'4 Ope'!$H34,4)</f>
        <v>3</v>
      </c>
      <c r="AG34">
        <f>IF(AND('4 Ope'!E34&lt;Tmax, NOT('4 Ope'!$H34="")),'4 Ope'!$H34,4)</f>
        <v>3</v>
      </c>
      <c r="AH34">
        <f>IF(AND('4 Ope'!F34&lt;Tmax, NOT('4 Ope'!$H34="")),'4 Ope'!$H34,4)</f>
        <v>3</v>
      </c>
      <c r="AI34"/>
    </row>
    <row r="35" spans="1:46" s="213" customFormat="1" ht="30.6" x14ac:dyDescent="0.25">
      <c r="A35" s="128" t="s">
        <v>961</v>
      </c>
      <c r="B35" s="128" t="s">
        <v>220</v>
      </c>
      <c r="C35" s="136">
        <v>0</v>
      </c>
      <c r="D35" s="136"/>
      <c r="E35" s="136"/>
      <c r="F35" s="136"/>
      <c r="G35" s="133">
        <v>2</v>
      </c>
      <c r="H35" s="133">
        <v>3</v>
      </c>
      <c r="I35" s="133"/>
      <c r="J35" s="133"/>
      <c r="K35" s="128" t="s">
        <v>7511</v>
      </c>
      <c r="L35" s="227"/>
      <c r="M35" s="227"/>
      <c r="N35" s="227"/>
      <c r="O35" s="227"/>
      <c r="P35" s="227"/>
      <c r="Q35" s="227"/>
      <c r="R35" s="227"/>
      <c r="S35" s="227"/>
      <c r="T35" s="227"/>
      <c r="U35" s="227"/>
      <c r="V35" s="227"/>
      <c r="W35" s="227"/>
      <c r="X35" s="227"/>
      <c r="Y35" s="227"/>
      <c r="Z35">
        <f>IF(AND('4 Ope'!C35&gt;Tmin, NOT('4 Ope'!$I35="")),'4 Ope'!$I35,0)</f>
        <v>0</v>
      </c>
      <c r="AA35">
        <f>IF(AND('4 Ope'!C35&gt;Tmin, NOT('4 Ope'!$I35="")),'4 Ope'!$I35,0)</f>
        <v>0</v>
      </c>
      <c r="AB35">
        <f>IF(AND('4 Ope'!D35&gt;Tmin, NOT('4 Ope'!$I35="")),'4 Ope'!$I35,0)</f>
        <v>0</v>
      </c>
      <c r="AC35">
        <f>IF(AND('4 Ope'!E35&gt;Tmin, NOT('4 Ope'!$I35="")),'4 Ope'!$I35,0)</f>
        <v>0</v>
      </c>
      <c r="AD35">
        <f>IF(AND('4 Ope'!F35&gt;Tmin, NOT('4 Ope'!$I35="")),'4 Ope'!$I35,0)</f>
        <v>0</v>
      </c>
      <c r="AE35">
        <f>IF(AND('4 Ope'!C35&lt;Tmax, NOT('4 Ope'!$H35="")),'4 Ope'!$H35,4)</f>
        <v>3</v>
      </c>
      <c r="AF35">
        <f>IF(AND('4 Ope'!D35&lt;Tmax, NOT('4 Ope'!$H35="")),'4 Ope'!$H35,4)</f>
        <v>3</v>
      </c>
      <c r="AG35">
        <f>IF(AND('4 Ope'!E35&lt;Tmax, NOT('4 Ope'!$H35="")),'4 Ope'!$H35,4)</f>
        <v>3</v>
      </c>
      <c r="AH35">
        <f>IF(AND('4 Ope'!F35&lt;Tmax, NOT('4 Ope'!$H35="")),'4 Ope'!$H35,4)</f>
        <v>3</v>
      </c>
      <c r="AI35"/>
    </row>
    <row r="36" spans="1:46" s="34" customFormat="1" ht="20.399999999999999" x14ac:dyDescent="0.25">
      <c r="A36" s="128" t="s">
        <v>962</v>
      </c>
      <c r="B36" s="128" t="s">
        <v>560</v>
      </c>
      <c r="C36" s="136">
        <v>0</v>
      </c>
      <c r="D36" s="136"/>
      <c r="E36" s="136"/>
      <c r="F36" s="136"/>
      <c r="G36" s="133">
        <v>2</v>
      </c>
      <c r="H36" s="133">
        <v>3</v>
      </c>
      <c r="I36" s="133"/>
      <c r="J36" s="133"/>
      <c r="K36" s="234" t="s">
        <v>7508</v>
      </c>
      <c r="L36" s="234"/>
      <c r="M36" s="234"/>
      <c r="N36" s="234"/>
      <c r="O36" s="234"/>
      <c r="P36" s="234"/>
      <c r="Q36" s="234"/>
      <c r="R36" s="234"/>
      <c r="S36" s="234"/>
      <c r="T36" s="234"/>
      <c r="U36" s="234"/>
      <c r="V36" s="234"/>
      <c r="W36" s="234"/>
      <c r="X36" s="234"/>
      <c r="Y36" s="234"/>
      <c r="Z36">
        <f>IF(AND('4 Ope'!C36&gt;Tmin, NOT('4 Ope'!$I36="")),'4 Ope'!$I36,0)</f>
        <v>0</v>
      </c>
      <c r="AA36">
        <f>IF(AND('4 Ope'!C36&gt;Tmin, NOT('4 Ope'!$I36="")),'4 Ope'!$I36,0)</f>
        <v>0</v>
      </c>
      <c r="AB36">
        <f>IF(AND('4 Ope'!D36&gt;Tmin, NOT('4 Ope'!$I36="")),'4 Ope'!$I36,0)</f>
        <v>0</v>
      </c>
      <c r="AC36">
        <f>IF(AND('4 Ope'!E36&gt;Tmin, NOT('4 Ope'!$I36="")),'4 Ope'!$I36,0)</f>
        <v>0</v>
      </c>
      <c r="AD36">
        <f>IF(AND('4 Ope'!F36&gt;Tmin, NOT('4 Ope'!$I36="")),'4 Ope'!$I36,0)</f>
        <v>0</v>
      </c>
      <c r="AE36">
        <f>IF(AND('4 Ope'!C36&lt;Tmax, NOT('4 Ope'!$H36="")),'4 Ope'!$H36,4)</f>
        <v>3</v>
      </c>
      <c r="AF36">
        <f>IF(AND('4 Ope'!D36&lt;Tmax, NOT('4 Ope'!$H36="")),'4 Ope'!$H36,4)</f>
        <v>3</v>
      </c>
      <c r="AG36">
        <f>IF(AND('4 Ope'!E36&lt;Tmax, NOT('4 Ope'!$H36="")),'4 Ope'!$H36,4)</f>
        <v>3</v>
      </c>
      <c r="AH36">
        <f>IF(AND('4 Ope'!F36&lt;Tmax, NOT('4 Ope'!$H36="")),'4 Ope'!$H36,4)</f>
        <v>3</v>
      </c>
      <c r="AI36"/>
      <c r="AJ36" s="234"/>
      <c r="AK36" s="234"/>
      <c r="AL36" s="234"/>
      <c r="AM36" s="234"/>
      <c r="AN36" s="234"/>
      <c r="AO36" s="234"/>
      <c r="AP36" s="234"/>
      <c r="AQ36" s="234"/>
      <c r="AR36" s="234"/>
      <c r="AS36" s="234"/>
      <c r="AT36" s="234"/>
    </row>
    <row r="37" spans="1:46" s="34" customFormat="1" ht="20.399999999999999" x14ac:dyDescent="0.25">
      <c r="A37" s="128" t="s">
        <v>963</v>
      </c>
      <c r="B37" s="128" t="s">
        <v>68</v>
      </c>
      <c r="C37" s="136">
        <v>0</v>
      </c>
      <c r="D37" s="136"/>
      <c r="E37" s="136"/>
      <c r="F37" s="136"/>
      <c r="G37" s="133">
        <v>4</v>
      </c>
      <c r="H37" s="133">
        <v>3</v>
      </c>
      <c r="I37" s="133"/>
      <c r="J37" s="133"/>
      <c r="K37" s="234" t="s">
        <v>7508</v>
      </c>
      <c r="L37" s="234"/>
      <c r="M37" s="234"/>
      <c r="N37" s="234"/>
      <c r="O37" s="234"/>
      <c r="P37" s="234"/>
      <c r="Q37" s="234"/>
      <c r="R37" s="234"/>
      <c r="S37" s="234"/>
      <c r="T37" s="234"/>
      <c r="U37" s="234"/>
      <c r="V37" s="234"/>
      <c r="W37" s="234"/>
      <c r="X37" s="234"/>
      <c r="Y37" s="234"/>
      <c r="Z37">
        <f>IF(AND('4 Ope'!C37&gt;Tmin, NOT('4 Ope'!$I37="")),'4 Ope'!$I37,0)</f>
        <v>0</v>
      </c>
      <c r="AA37">
        <f>IF(AND('4 Ope'!C37&gt;Tmin, NOT('4 Ope'!$I37="")),'4 Ope'!$I37,0)</f>
        <v>0</v>
      </c>
      <c r="AB37">
        <f>IF(AND('4 Ope'!D37&gt;Tmin, NOT('4 Ope'!$I37="")),'4 Ope'!$I37,0)</f>
        <v>0</v>
      </c>
      <c r="AC37">
        <f>IF(AND('4 Ope'!E37&gt;Tmin, NOT('4 Ope'!$I37="")),'4 Ope'!$I37,0)</f>
        <v>0</v>
      </c>
      <c r="AD37">
        <f>IF(AND('4 Ope'!F37&gt;Tmin, NOT('4 Ope'!$I37="")),'4 Ope'!$I37,0)</f>
        <v>0</v>
      </c>
      <c r="AE37">
        <f>IF(AND('4 Ope'!C37&lt;Tmax, NOT('4 Ope'!$H37="")),'4 Ope'!$H37,4)</f>
        <v>3</v>
      </c>
      <c r="AF37">
        <f>IF(AND('4 Ope'!D37&lt;Tmax, NOT('4 Ope'!$H37="")),'4 Ope'!$H37,4)</f>
        <v>3</v>
      </c>
      <c r="AG37">
        <f>IF(AND('4 Ope'!E37&lt;Tmax, NOT('4 Ope'!$H37="")),'4 Ope'!$H37,4)</f>
        <v>3</v>
      </c>
      <c r="AH37">
        <f>IF(AND('4 Ope'!F37&lt;Tmax, NOT('4 Ope'!$H37="")),'4 Ope'!$H37,4)</f>
        <v>3</v>
      </c>
      <c r="AI37"/>
      <c r="AJ37" s="234"/>
      <c r="AK37" s="234"/>
      <c r="AL37" s="234"/>
      <c r="AM37" s="234"/>
      <c r="AN37" s="234"/>
      <c r="AO37" s="234"/>
      <c r="AP37" s="234"/>
      <c r="AQ37" s="234"/>
      <c r="AR37" s="234"/>
      <c r="AS37" s="234"/>
      <c r="AT37" s="234"/>
    </row>
    <row r="38" spans="1:46" s="240" customFormat="1" x14ac:dyDescent="0.25">
      <c r="A38" s="128" t="s">
        <v>964</v>
      </c>
      <c r="B38" s="128" t="s">
        <v>69</v>
      </c>
      <c r="C38" s="136">
        <v>0</v>
      </c>
      <c r="D38" s="136"/>
      <c r="E38" s="136"/>
      <c r="F38" s="136"/>
      <c r="G38" s="133">
        <v>4</v>
      </c>
      <c r="H38" s="133">
        <v>2</v>
      </c>
      <c r="I38" s="133"/>
      <c r="J38" s="133"/>
      <c r="K38" s="239" t="s">
        <v>7508</v>
      </c>
      <c r="L38" s="239"/>
      <c r="M38" s="239"/>
      <c r="N38" s="239"/>
      <c r="O38" s="239"/>
      <c r="P38" s="239"/>
      <c r="Q38" s="239"/>
      <c r="R38" s="239"/>
      <c r="S38" s="239"/>
      <c r="T38" s="239"/>
      <c r="U38" s="239"/>
      <c r="V38" s="239"/>
      <c r="W38" s="239"/>
      <c r="X38" s="239"/>
      <c r="Y38" s="239"/>
      <c r="Z38">
        <f>IF(AND('4 Ope'!C38&gt;Tmin, NOT('4 Ope'!$I38="")),'4 Ope'!$I38,0)</f>
        <v>0</v>
      </c>
      <c r="AA38">
        <f>IF(AND('4 Ope'!C38&gt;Tmin, NOT('4 Ope'!$I38="")),'4 Ope'!$I38,0)</f>
        <v>0</v>
      </c>
      <c r="AB38">
        <f>IF(AND('4 Ope'!D38&gt;Tmin, NOT('4 Ope'!$I38="")),'4 Ope'!$I38,0)</f>
        <v>0</v>
      </c>
      <c r="AC38">
        <f>IF(AND('4 Ope'!E38&gt;Tmin, NOT('4 Ope'!$I38="")),'4 Ope'!$I38,0)</f>
        <v>0</v>
      </c>
      <c r="AD38">
        <f>IF(AND('4 Ope'!F38&gt;Tmin, NOT('4 Ope'!$I38="")),'4 Ope'!$I38,0)</f>
        <v>0</v>
      </c>
      <c r="AE38">
        <f>IF(AND('4 Ope'!C38&lt;Tmax, NOT('4 Ope'!$H38="")),'4 Ope'!$H38,4)</f>
        <v>2</v>
      </c>
      <c r="AF38">
        <f>IF(AND('4 Ope'!D38&lt;Tmax, NOT('4 Ope'!$H38="")),'4 Ope'!$H38,4)</f>
        <v>2</v>
      </c>
      <c r="AG38">
        <f>IF(AND('4 Ope'!E38&lt;Tmax, NOT('4 Ope'!$H38="")),'4 Ope'!$H38,4)</f>
        <v>2</v>
      </c>
      <c r="AH38">
        <f>IF(AND('4 Ope'!F38&lt;Tmax, NOT('4 Ope'!$H38="")),'4 Ope'!$H38,4)</f>
        <v>2</v>
      </c>
      <c r="AI38"/>
      <c r="AJ38" s="239"/>
      <c r="AK38" s="239"/>
      <c r="AL38" s="239"/>
      <c r="AM38" s="239"/>
      <c r="AN38" s="239"/>
      <c r="AO38" s="239"/>
      <c r="AP38" s="239"/>
      <c r="AQ38" s="239"/>
      <c r="AR38" s="239"/>
      <c r="AS38" s="239"/>
      <c r="AT38" s="239"/>
    </row>
    <row r="39" spans="1:46" s="240" customFormat="1" x14ac:dyDescent="0.25">
      <c r="A39" s="128" t="s">
        <v>965</v>
      </c>
      <c r="B39" s="128" t="s">
        <v>70</v>
      </c>
      <c r="C39" s="136">
        <v>0</v>
      </c>
      <c r="D39" s="136"/>
      <c r="E39" s="136"/>
      <c r="F39" s="136"/>
      <c r="G39" s="133">
        <v>2</v>
      </c>
      <c r="H39" s="133">
        <v>3</v>
      </c>
      <c r="I39" s="133"/>
      <c r="J39" s="133"/>
      <c r="K39" s="239" t="s">
        <v>7511</v>
      </c>
      <c r="L39" s="239"/>
      <c r="M39" s="239"/>
      <c r="N39" s="239"/>
      <c r="O39" s="239"/>
      <c r="P39" s="239"/>
      <c r="Q39" s="239"/>
      <c r="R39" s="239"/>
      <c r="S39" s="239"/>
      <c r="T39" s="239"/>
      <c r="U39" s="239"/>
      <c r="V39" s="239"/>
      <c r="W39" s="239"/>
      <c r="X39" s="239"/>
      <c r="Y39" s="239"/>
      <c r="Z39">
        <f>IF(AND('4 Ope'!C39&gt;Tmin, NOT('4 Ope'!$I39="")),'4 Ope'!$I39,0)</f>
        <v>0</v>
      </c>
      <c r="AA39">
        <f>IF(AND('4 Ope'!C39&gt;Tmin, NOT('4 Ope'!$I39="")),'4 Ope'!$I39,0)</f>
        <v>0</v>
      </c>
      <c r="AB39">
        <f>IF(AND('4 Ope'!D39&gt;Tmin, NOT('4 Ope'!$I39="")),'4 Ope'!$I39,0)</f>
        <v>0</v>
      </c>
      <c r="AC39">
        <f>IF(AND('4 Ope'!E39&gt;Tmin, NOT('4 Ope'!$I39="")),'4 Ope'!$I39,0)</f>
        <v>0</v>
      </c>
      <c r="AD39">
        <f>IF(AND('4 Ope'!F39&gt;Tmin, NOT('4 Ope'!$I39="")),'4 Ope'!$I39,0)</f>
        <v>0</v>
      </c>
      <c r="AE39">
        <f>IF(AND('4 Ope'!C39&lt;Tmax, NOT('4 Ope'!$H39="")),'4 Ope'!$H39,4)</f>
        <v>3</v>
      </c>
      <c r="AF39">
        <f>IF(AND('4 Ope'!D39&lt;Tmax, NOT('4 Ope'!$H39="")),'4 Ope'!$H39,4)</f>
        <v>3</v>
      </c>
      <c r="AG39">
        <f>IF(AND('4 Ope'!E39&lt;Tmax, NOT('4 Ope'!$H39="")),'4 Ope'!$H39,4)</f>
        <v>3</v>
      </c>
      <c r="AH39">
        <f>IF(AND('4 Ope'!F39&lt;Tmax, NOT('4 Ope'!$H39="")),'4 Ope'!$H39,4)</f>
        <v>3</v>
      </c>
      <c r="AI39"/>
      <c r="AJ39" s="239"/>
      <c r="AK39" s="239"/>
      <c r="AL39" s="239"/>
      <c r="AM39" s="239"/>
      <c r="AN39" s="239"/>
      <c r="AO39" s="239"/>
      <c r="AP39" s="239"/>
      <c r="AQ39" s="239"/>
      <c r="AR39" s="239"/>
      <c r="AS39" s="239"/>
      <c r="AT39" s="239"/>
    </row>
    <row r="40" spans="1:46" s="240" customFormat="1" ht="20.399999999999999" x14ac:dyDescent="0.25">
      <c r="A40" s="128" t="s">
        <v>966</v>
      </c>
      <c r="B40" s="128" t="s">
        <v>7308</v>
      </c>
      <c r="C40" s="136">
        <v>0</v>
      </c>
      <c r="D40" s="136"/>
      <c r="E40" s="136"/>
      <c r="F40" s="136"/>
      <c r="G40" s="133">
        <v>2</v>
      </c>
      <c r="H40" s="133"/>
      <c r="I40" s="133"/>
      <c r="J40" s="133" t="s">
        <v>7113</v>
      </c>
      <c r="K40" s="239" t="s">
        <v>7494</v>
      </c>
      <c r="L40" s="239"/>
      <c r="M40" s="239"/>
      <c r="N40" s="239"/>
      <c r="O40" s="239"/>
      <c r="P40" s="239"/>
      <c r="Q40" s="239"/>
      <c r="R40" s="239"/>
      <c r="S40" s="239"/>
      <c r="T40" s="239"/>
      <c r="U40" s="239"/>
      <c r="V40" s="239"/>
      <c r="W40" s="239"/>
      <c r="X40" s="239"/>
      <c r="Y40" s="239"/>
      <c r="Z40">
        <f>IF(AND('4 Ope'!C40&gt;Tmin, NOT('4 Ope'!$I40="")),'4 Ope'!$I40,0)</f>
        <v>0</v>
      </c>
      <c r="AA40">
        <f>IF(AND('4 Ope'!C40&gt;Tmin, NOT('4 Ope'!$I40="")),'4 Ope'!$I40,0)</f>
        <v>0</v>
      </c>
      <c r="AB40">
        <f>IF(AND('4 Ope'!D40&gt;Tmin, NOT('4 Ope'!$I40="")),'4 Ope'!$I40,0)</f>
        <v>0</v>
      </c>
      <c r="AC40">
        <f>IF(AND('4 Ope'!E40&gt;Tmin, NOT('4 Ope'!$I40="")),'4 Ope'!$I40,0)</f>
        <v>0</v>
      </c>
      <c r="AD40">
        <f>IF(AND('4 Ope'!F40&gt;Tmin, NOT('4 Ope'!$I40="")),'4 Ope'!$I40,0)</f>
        <v>0</v>
      </c>
      <c r="AE40">
        <f>IF(AND('4 Ope'!C40&lt;Tmax, NOT('4 Ope'!$H40="")),'4 Ope'!$H40,4)</f>
        <v>4</v>
      </c>
      <c r="AF40">
        <f>IF(AND('4 Ope'!D40&lt;Tmax, NOT('4 Ope'!$H40="")),'4 Ope'!$H40,4)</f>
        <v>4</v>
      </c>
      <c r="AG40">
        <f>IF(AND('4 Ope'!E40&lt;Tmax, NOT('4 Ope'!$H40="")),'4 Ope'!$H40,4)</f>
        <v>4</v>
      </c>
      <c r="AH40">
        <f>IF(AND('4 Ope'!F40&lt;Tmax, NOT('4 Ope'!$H40="")),'4 Ope'!$H40,4)</f>
        <v>4</v>
      </c>
      <c r="AI40"/>
      <c r="AJ40" s="239"/>
      <c r="AK40" s="239"/>
      <c r="AL40" s="239"/>
      <c r="AM40" s="239"/>
      <c r="AN40" s="239"/>
      <c r="AO40" s="239"/>
      <c r="AP40" s="239"/>
      <c r="AQ40" s="239"/>
      <c r="AR40" s="239"/>
      <c r="AS40" s="239"/>
      <c r="AT40" s="239"/>
    </row>
    <row r="41" spans="1:46" s="240" customFormat="1" x14ac:dyDescent="0.25">
      <c r="A41" s="128" t="s">
        <v>7309</v>
      </c>
      <c r="B41" s="128" t="s">
        <v>304</v>
      </c>
      <c r="C41" s="136">
        <v>0</v>
      </c>
      <c r="D41" s="136"/>
      <c r="E41" s="136"/>
      <c r="F41" s="136"/>
      <c r="G41" s="133">
        <v>2</v>
      </c>
      <c r="H41" s="133">
        <v>3</v>
      </c>
      <c r="I41" s="133"/>
      <c r="J41" s="133"/>
      <c r="K41" s="239" t="s">
        <v>7494</v>
      </c>
      <c r="L41" s="239"/>
      <c r="M41" s="239"/>
      <c r="N41" s="239"/>
      <c r="O41" s="239"/>
      <c r="P41" s="239"/>
      <c r="Q41" s="239"/>
      <c r="R41" s="239"/>
      <c r="S41" s="239"/>
      <c r="T41" s="239"/>
      <c r="U41" s="239"/>
      <c r="V41" s="239"/>
      <c r="W41" s="239"/>
      <c r="X41" s="239"/>
      <c r="Y41" s="239"/>
      <c r="Z41">
        <f>IF(AND('4 Ope'!C41&gt;Tmin, NOT('4 Ope'!$I41="")),'4 Ope'!$I41,0)</f>
        <v>0</v>
      </c>
      <c r="AA41">
        <f>IF(AND('4 Ope'!C41&gt;Tmin, NOT('4 Ope'!$I41="")),'4 Ope'!$I41,0)</f>
        <v>0</v>
      </c>
      <c r="AB41">
        <f>IF(AND('4 Ope'!D41&gt;Tmin, NOT('4 Ope'!$I41="")),'4 Ope'!$I41,0)</f>
        <v>0</v>
      </c>
      <c r="AC41">
        <f>IF(AND('4 Ope'!E41&gt;Tmin, NOT('4 Ope'!$I41="")),'4 Ope'!$I41,0)</f>
        <v>0</v>
      </c>
      <c r="AD41">
        <f>IF(AND('4 Ope'!F41&gt;Tmin, NOT('4 Ope'!$I41="")),'4 Ope'!$I41,0)</f>
        <v>0</v>
      </c>
      <c r="AE41">
        <f>IF(AND('4 Ope'!C41&lt;Tmax, NOT('4 Ope'!$H41="")),'4 Ope'!$H41,4)</f>
        <v>3</v>
      </c>
      <c r="AF41">
        <f>IF(AND('4 Ope'!D41&lt;Tmax, NOT('4 Ope'!$H41="")),'4 Ope'!$H41,4)</f>
        <v>3</v>
      </c>
      <c r="AG41">
        <f>IF(AND('4 Ope'!E41&lt;Tmax, NOT('4 Ope'!$H41="")),'4 Ope'!$H41,4)</f>
        <v>3</v>
      </c>
      <c r="AH41">
        <f>IF(AND('4 Ope'!F41&lt;Tmax, NOT('4 Ope'!$H41="")),'4 Ope'!$H41,4)</f>
        <v>3</v>
      </c>
      <c r="AI41"/>
      <c r="AJ41" s="239"/>
      <c r="AK41" s="239"/>
      <c r="AL41" s="239"/>
      <c r="AM41" s="239"/>
      <c r="AN41" s="239"/>
      <c r="AO41" s="239"/>
      <c r="AP41" s="239"/>
      <c r="AQ41" s="239"/>
      <c r="AR41" s="239"/>
      <c r="AS41" s="239"/>
      <c r="AT41" s="239"/>
    </row>
    <row r="42" spans="1:46" s="240" customFormat="1" ht="40.799999999999997" x14ac:dyDescent="0.25">
      <c r="A42" s="128" t="s">
        <v>739</v>
      </c>
      <c r="B42" s="128" t="s">
        <v>7310</v>
      </c>
      <c r="C42" s="136"/>
      <c r="D42" s="136"/>
      <c r="E42" s="136"/>
      <c r="F42" s="136"/>
      <c r="G42" s="133"/>
      <c r="H42" s="133"/>
      <c r="I42" s="133"/>
      <c r="J42" s="133"/>
      <c r="K42" s="239"/>
      <c r="L42" s="239"/>
      <c r="M42" s="239"/>
      <c r="N42" s="239"/>
      <c r="O42" s="239"/>
      <c r="P42" s="239"/>
      <c r="Q42" s="239"/>
      <c r="R42" s="239"/>
      <c r="S42" s="239"/>
      <c r="T42" s="239"/>
      <c r="U42" s="239"/>
      <c r="V42" s="239"/>
      <c r="W42" s="239"/>
      <c r="X42" s="239"/>
      <c r="Y42" s="239"/>
      <c r="Z42"/>
      <c r="AA42"/>
      <c r="AB42"/>
      <c r="AC42"/>
      <c r="AD42"/>
      <c r="AE42"/>
      <c r="AF42"/>
      <c r="AG42"/>
      <c r="AH42"/>
      <c r="AI42"/>
      <c r="AJ42" s="239"/>
      <c r="AK42" s="239"/>
      <c r="AL42" s="239"/>
      <c r="AM42" s="239"/>
      <c r="AN42" s="239"/>
      <c r="AO42" s="239"/>
      <c r="AP42" s="239"/>
      <c r="AQ42" s="239"/>
      <c r="AR42" s="239"/>
      <c r="AS42" s="239"/>
      <c r="AT42" s="239"/>
    </row>
    <row r="43" spans="1:46" s="240" customFormat="1" ht="20.399999999999999" x14ac:dyDescent="0.25">
      <c r="A43" s="128" t="s">
        <v>967</v>
      </c>
      <c r="B43" s="128" t="s">
        <v>968</v>
      </c>
      <c r="C43" s="136">
        <v>0</v>
      </c>
      <c r="D43" s="136"/>
      <c r="E43" s="136"/>
      <c r="F43" s="136"/>
      <c r="G43" s="133">
        <v>4</v>
      </c>
      <c r="H43" s="133"/>
      <c r="I43" s="133"/>
      <c r="J43" s="133"/>
      <c r="K43" s="239" t="s">
        <v>7505</v>
      </c>
      <c r="L43" s="239"/>
      <c r="M43" s="239"/>
      <c r="N43" s="239"/>
      <c r="O43" s="239"/>
      <c r="P43" s="239"/>
      <c r="Q43" s="239"/>
      <c r="R43" s="239"/>
      <c r="S43" s="239"/>
      <c r="T43" s="239"/>
      <c r="U43" s="239"/>
      <c r="V43" s="239"/>
      <c r="W43" s="239"/>
      <c r="X43" s="239"/>
      <c r="Y43" s="239"/>
      <c r="Z43">
        <f>IF(AND('4 Ope'!C43&gt;Tmin, NOT('4 Ope'!$I43="")),'4 Ope'!$I43,0)</f>
        <v>0</v>
      </c>
      <c r="AA43">
        <f>IF(AND('4 Ope'!C43&gt;Tmin, NOT('4 Ope'!$I43="")),'4 Ope'!$I43,0)</f>
        <v>0</v>
      </c>
      <c r="AB43">
        <f>IF(AND('4 Ope'!D43&gt;Tmin, NOT('4 Ope'!$I43="")),'4 Ope'!$I43,0)</f>
        <v>0</v>
      </c>
      <c r="AC43">
        <f>IF(AND('4 Ope'!E43&gt;Tmin, NOT('4 Ope'!$I43="")),'4 Ope'!$I43,0)</f>
        <v>0</v>
      </c>
      <c r="AD43">
        <f>IF(AND('4 Ope'!F43&gt;Tmin, NOT('4 Ope'!$I43="")),'4 Ope'!$I43,0)</f>
        <v>0</v>
      </c>
      <c r="AE43">
        <f>IF(AND('4 Ope'!C43&lt;Tmax, NOT('4 Ope'!$H43="")),'4 Ope'!$H43,4)</f>
        <v>4</v>
      </c>
      <c r="AF43">
        <f>IF(AND('4 Ope'!D43&lt;Tmax, NOT('4 Ope'!$H43="")),'4 Ope'!$H43,4)</f>
        <v>4</v>
      </c>
      <c r="AG43">
        <f>IF(AND('4 Ope'!E43&lt;Tmax, NOT('4 Ope'!$H43="")),'4 Ope'!$H43,4)</f>
        <v>4</v>
      </c>
      <c r="AH43">
        <f>IF(AND('4 Ope'!F43&lt;Tmax, NOT('4 Ope'!$H43="")),'4 Ope'!$H43,4)</f>
        <v>4</v>
      </c>
      <c r="AI43"/>
      <c r="AJ43" s="239"/>
      <c r="AK43" s="239"/>
      <c r="AL43" s="239"/>
      <c r="AM43" s="239"/>
      <c r="AN43" s="239"/>
      <c r="AO43" s="239"/>
      <c r="AP43" s="239"/>
      <c r="AQ43" s="239"/>
      <c r="AR43" s="239"/>
      <c r="AS43" s="239"/>
      <c r="AT43" s="239"/>
    </row>
    <row r="44" spans="1:46" s="240" customFormat="1" x14ac:dyDescent="0.25">
      <c r="A44" s="128" t="s">
        <v>969</v>
      </c>
      <c r="B44" s="128" t="s">
        <v>970</v>
      </c>
      <c r="C44" s="136">
        <v>0</v>
      </c>
      <c r="D44" s="136"/>
      <c r="E44" s="136"/>
      <c r="F44" s="136"/>
      <c r="G44" s="133">
        <v>4</v>
      </c>
      <c r="H44" s="133">
        <v>2</v>
      </c>
      <c r="I44" s="133"/>
      <c r="J44" s="133"/>
      <c r="K44" s="239" t="s">
        <v>7506</v>
      </c>
      <c r="L44" s="239"/>
      <c r="M44" s="239"/>
      <c r="N44" s="239"/>
      <c r="O44" s="239"/>
      <c r="P44" s="239"/>
      <c r="Q44" s="239"/>
      <c r="R44" s="239"/>
      <c r="S44" s="239"/>
      <c r="T44" s="239"/>
      <c r="U44" s="239"/>
      <c r="V44" s="239"/>
      <c r="W44" s="239"/>
      <c r="X44" s="239"/>
      <c r="Y44" s="239"/>
      <c r="Z44">
        <f>IF(AND('4 Ope'!C44&gt;Tmin, NOT('4 Ope'!$I44="")),'4 Ope'!$I44,0)</f>
        <v>0</v>
      </c>
      <c r="AA44">
        <f>IF(AND('4 Ope'!C44&gt;Tmin, NOT('4 Ope'!$I44="")),'4 Ope'!$I44,0)</f>
        <v>0</v>
      </c>
      <c r="AB44">
        <f>IF(AND('4 Ope'!D44&gt;Tmin, NOT('4 Ope'!$I44="")),'4 Ope'!$I44,0)</f>
        <v>0</v>
      </c>
      <c r="AC44">
        <f>IF(AND('4 Ope'!E44&gt;Tmin, NOT('4 Ope'!$I44="")),'4 Ope'!$I44,0)</f>
        <v>0</v>
      </c>
      <c r="AD44">
        <f>IF(AND('4 Ope'!F44&gt;Tmin, NOT('4 Ope'!$I44="")),'4 Ope'!$I44,0)</f>
        <v>0</v>
      </c>
      <c r="AE44">
        <f>IF(AND('4 Ope'!C44&lt;Tmax, NOT('4 Ope'!$H44="")),'4 Ope'!$H44,4)</f>
        <v>2</v>
      </c>
      <c r="AF44">
        <f>IF(AND('4 Ope'!D44&lt;Tmax, NOT('4 Ope'!$H44="")),'4 Ope'!$H44,4)</f>
        <v>2</v>
      </c>
      <c r="AG44">
        <f>IF(AND('4 Ope'!E44&lt;Tmax, NOT('4 Ope'!$H44="")),'4 Ope'!$H44,4)</f>
        <v>2</v>
      </c>
      <c r="AH44">
        <f>IF(AND('4 Ope'!F44&lt;Tmax, NOT('4 Ope'!$H44="")),'4 Ope'!$H44,4)</f>
        <v>2</v>
      </c>
      <c r="AI44"/>
      <c r="AJ44" s="239"/>
      <c r="AK44" s="239"/>
      <c r="AL44" s="239"/>
      <c r="AM44" s="239"/>
      <c r="AN44" s="239"/>
      <c r="AO44" s="239"/>
      <c r="AP44" s="239"/>
      <c r="AQ44" s="239"/>
      <c r="AR44" s="239"/>
      <c r="AS44" s="239"/>
      <c r="AT44" s="239"/>
    </row>
    <row r="45" spans="1:46" s="240" customFormat="1" ht="20.399999999999999" x14ac:dyDescent="0.25">
      <c r="A45" s="128" t="s">
        <v>971</v>
      </c>
      <c r="B45" s="128" t="s">
        <v>972</v>
      </c>
      <c r="C45" s="136">
        <v>0</v>
      </c>
      <c r="D45" s="136"/>
      <c r="E45" s="136"/>
      <c r="F45" s="136"/>
      <c r="G45" s="133">
        <v>2</v>
      </c>
      <c r="H45" s="133">
        <v>2</v>
      </c>
      <c r="I45" s="133"/>
      <c r="J45" s="133"/>
      <c r="K45" s="239" t="s">
        <v>7505</v>
      </c>
      <c r="L45" s="239"/>
      <c r="M45" s="239"/>
      <c r="N45" s="239"/>
      <c r="O45" s="239"/>
      <c r="P45" s="239"/>
      <c r="Q45" s="239"/>
      <c r="R45" s="239"/>
      <c r="S45" s="239"/>
      <c r="T45" s="239"/>
      <c r="U45" s="239"/>
      <c r="V45" s="239"/>
      <c r="W45" s="239"/>
      <c r="X45" s="239"/>
      <c r="Y45" s="239"/>
      <c r="Z45">
        <f>IF(AND('4 Ope'!C45&gt;Tmin, NOT('4 Ope'!$I45="")),'4 Ope'!$I45,0)</f>
        <v>0</v>
      </c>
      <c r="AA45">
        <f>IF(AND('4 Ope'!C45&gt;Tmin, NOT('4 Ope'!$I45="")),'4 Ope'!$I45,0)</f>
        <v>0</v>
      </c>
      <c r="AB45">
        <f>IF(AND('4 Ope'!D45&gt;Tmin, NOT('4 Ope'!$I45="")),'4 Ope'!$I45,0)</f>
        <v>0</v>
      </c>
      <c r="AC45">
        <f>IF(AND('4 Ope'!E45&gt;Tmin, NOT('4 Ope'!$I45="")),'4 Ope'!$I45,0)</f>
        <v>0</v>
      </c>
      <c r="AD45">
        <f>IF(AND('4 Ope'!F45&gt;Tmin, NOT('4 Ope'!$I45="")),'4 Ope'!$I45,0)</f>
        <v>0</v>
      </c>
      <c r="AE45">
        <f>IF(AND('4 Ope'!C45&lt;Tmax, NOT('4 Ope'!$H45="")),'4 Ope'!$H45,4)</f>
        <v>2</v>
      </c>
      <c r="AF45">
        <f>IF(AND('4 Ope'!D45&lt;Tmax, NOT('4 Ope'!$H45="")),'4 Ope'!$H45,4)</f>
        <v>2</v>
      </c>
      <c r="AG45">
        <f>IF(AND('4 Ope'!E45&lt;Tmax, NOT('4 Ope'!$H45="")),'4 Ope'!$H45,4)</f>
        <v>2</v>
      </c>
      <c r="AH45">
        <f>IF(AND('4 Ope'!F45&lt;Tmax, NOT('4 Ope'!$H45="")),'4 Ope'!$H45,4)</f>
        <v>2</v>
      </c>
      <c r="AI45"/>
      <c r="AJ45" s="239"/>
      <c r="AK45" s="239"/>
      <c r="AL45" s="239"/>
      <c r="AM45" s="239"/>
      <c r="AN45" s="239"/>
      <c r="AO45" s="239"/>
      <c r="AP45" s="239"/>
      <c r="AQ45" s="239"/>
      <c r="AR45" s="239"/>
      <c r="AS45" s="239"/>
      <c r="AT45" s="239"/>
    </row>
    <row r="46" spans="1:46" s="242" customFormat="1" x14ac:dyDescent="0.25">
      <c r="A46" s="128" t="s">
        <v>973</v>
      </c>
      <c r="B46" s="128" t="s">
        <v>974</v>
      </c>
      <c r="C46" s="136">
        <v>0</v>
      </c>
      <c r="D46" s="136"/>
      <c r="E46" s="136"/>
      <c r="F46" s="136"/>
      <c r="G46" s="133">
        <v>2</v>
      </c>
      <c r="H46" s="133">
        <v>2</v>
      </c>
      <c r="I46" s="133"/>
      <c r="J46" s="133"/>
      <c r="K46" s="241" t="s">
        <v>7505</v>
      </c>
      <c r="L46" s="241"/>
      <c r="M46" s="241"/>
      <c r="N46" s="241"/>
      <c r="O46" s="241"/>
      <c r="P46" s="241"/>
      <c r="Q46" s="241"/>
      <c r="R46" s="241"/>
      <c r="S46" s="241"/>
      <c r="T46" s="241"/>
      <c r="U46" s="241"/>
      <c r="V46" s="241"/>
      <c r="W46" s="241"/>
      <c r="X46" s="241"/>
      <c r="Y46" s="241"/>
      <c r="Z46">
        <f>IF(AND('4 Ope'!C46&gt;Tmin, NOT('4 Ope'!$I46="")),'4 Ope'!$I46,0)</f>
        <v>0</v>
      </c>
      <c r="AA46">
        <f>IF(AND('4 Ope'!C46&gt;Tmin, NOT('4 Ope'!$I46="")),'4 Ope'!$I46,0)</f>
        <v>0</v>
      </c>
      <c r="AB46">
        <f>IF(AND('4 Ope'!D46&gt;Tmin, NOT('4 Ope'!$I46="")),'4 Ope'!$I46,0)</f>
        <v>0</v>
      </c>
      <c r="AC46">
        <f>IF(AND('4 Ope'!E46&gt;Tmin, NOT('4 Ope'!$I46="")),'4 Ope'!$I46,0)</f>
        <v>0</v>
      </c>
      <c r="AD46">
        <f>IF(AND('4 Ope'!F46&gt;Tmin, NOT('4 Ope'!$I46="")),'4 Ope'!$I46,0)</f>
        <v>0</v>
      </c>
      <c r="AE46">
        <f>IF(AND('4 Ope'!C46&lt;Tmax, NOT('4 Ope'!$H46="")),'4 Ope'!$H46,4)</f>
        <v>2</v>
      </c>
      <c r="AF46">
        <f>IF(AND('4 Ope'!D46&lt;Tmax, NOT('4 Ope'!$H46="")),'4 Ope'!$H46,4)</f>
        <v>2</v>
      </c>
      <c r="AG46">
        <f>IF(AND('4 Ope'!E46&lt;Tmax, NOT('4 Ope'!$H46="")),'4 Ope'!$H46,4)</f>
        <v>2</v>
      </c>
      <c r="AH46">
        <f>IF(AND('4 Ope'!F46&lt;Tmax, NOT('4 Ope'!$H46="")),'4 Ope'!$H46,4)</f>
        <v>2</v>
      </c>
      <c r="AI46"/>
      <c r="AJ46" s="241"/>
      <c r="AK46" s="241"/>
      <c r="AL46" s="241"/>
      <c r="AM46" s="241"/>
      <c r="AN46" s="241"/>
      <c r="AO46" s="241"/>
      <c r="AP46" s="241"/>
      <c r="AQ46" s="241"/>
      <c r="AR46" s="241"/>
      <c r="AS46" s="241"/>
      <c r="AT46" s="241"/>
    </row>
    <row r="47" spans="1:46" s="242" customFormat="1" x14ac:dyDescent="0.25">
      <c r="A47" s="128" t="s">
        <v>975</v>
      </c>
      <c r="B47" s="128" t="s">
        <v>976</v>
      </c>
      <c r="C47" s="136">
        <v>0</v>
      </c>
      <c r="D47" s="136"/>
      <c r="E47" s="136"/>
      <c r="F47" s="136"/>
      <c r="G47" s="133">
        <v>4</v>
      </c>
      <c r="H47" s="133">
        <v>2</v>
      </c>
      <c r="I47" s="133"/>
      <c r="J47" s="133"/>
      <c r="K47" s="241" t="s">
        <v>7507</v>
      </c>
      <c r="L47" s="241"/>
      <c r="M47" s="241"/>
      <c r="N47" s="241"/>
      <c r="O47" s="241"/>
      <c r="P47" s="241"/>
      <c r="Q47" s="241"/>
      <c r="R47" s="241"/>
      <c r="S47" s="241"/>
      <c r="T47" s="241"/>
      <c r="U47" s="241"/>
      <c r="V47" s="241"/>
      <c r="W47" s="241"/>
      <c r="X47" s="241"/>
      <c r="Y47" s="241"/>
      <c r="Z47">
        <f>IF(AND('4 Ope'!C47&gt;Tmin, NOT('4 Ope'!$I47="")),'4 Ope'!$I47,0)</f>
        <v>0</v>
      </c>
      <c r="AA47">
        <f>IF(AND('4 Ope'!C47&gt;Tmin, NOT('4 Ope'!$I47="")),'4 Ope'!$I47,0)</f>
        <v>0</v>
      </c>
      <c r="AB47">
        <f>IF(AND('4 Ope'!D47&gt;Tmin, NOT('4 Ope'!$I47="")),'4 Ope'!$I47,0)</f>
        <v>0</v>
      </c>
      <c r="AC47">
        <f>IF(AND('4 Ope'!E47&gt;Tmin, NOT('4 Ope'!$I47="")),'4 Ope'!$I47,0)</f>
        <v>0</v>
      </c>
      <c r="AD47">
        <f>IF(AND('4 Ope'!F47&gt;Tmin, NOT('4 Ope'!$I47="")),'4 Ope'!$I47,0)</f>
        <v>0</v>
      </c>
      <c r="AE47">
        <f>IF(AND('4 Ope'!C47&lt;Tmax, NOT('4 Ope'!$H47="")),'4 Ope'!$H47,4)</f>
        <v>2</v>
      </c>
      <c r="AF47">
        <f>IF(AND('4 Ope'!D47&lt;Tmax, NOT('4 Ope'!$H47="")),'4 Ope'!$H47,4)</f>
        <v>2</v>
      </c>
      <c r="AG47">
        <f>IF(AND('4 Ope'!E47&lt;Tmax, NOT('4 Ope'!$H47="")),'4 Ope'!$H47,4)</f>
        <v>2</v>
      </c>
      <c r="AH47">
        <f>IF(AND('4 Ope'!F47&lt;Tmax, NOT('4 Ope'!$H47="")),'4 Ope'!$H47,4)</f>
        <v>2</v>
      </c>
      <c r="AI47"/>
      <c r="AJ47" s="241"/>
      <c r="AK47" s="241"/>
      <c r="AL47" s="241"/>
      <c r="AM47" s="241"/>
      <c r="AN47" s="241"/>
      <c r="AO47" s="241"/>
      <c r="AP47" s="241"/>
      <c r="AQ47" s="241"/>
      <c r="AR47" s="241"/>
      <c r="AS47" s="241"/>
      <c r="AT47" s="241"/>
    </row>
    <row r="48" spans="1:46" s="242" customFormat="1" ht="40.799999999999997" x14ac:dyDescent="0.25">
      <c r="A48" s="128" t="s">
        <v>977</v>
      </c>
      <c r="B48" s="128" t="s">
        <v>978</v>
      </c>
      <c r="C48" s="136">
        <v>0</v>
      </c>
      <c r="D48" s="136"/>
      <c r="E48" s="136"/>
      <c r="F48" s="136"/>
      <c r="G48" s="133">
        <v>2</v>
      </c>
      <c r="H48" s="133"/>
      <c r="I48" s="133"/>
      <c r="J48" s="133"/>
      <c r="K48" s="241" t="s">
        <v>7508</v>
      </c>
      <c r="L48" s="241"/>
      <c r="M48" s="241"/>
      <c r="N48" s="241"/>
      <c r="O48" s="241"/>
      <c r="P48" s="241"/>
      <c r="Q48" s="241"/>
      <c r="R48" s="241"/>
      <c r="S48" s="241"/>
      <c r="T48" s="241"/>
      <c r="U48" s="241"/>
      <c r="V48" s="241"/>
      <c r="W48" s="241"/>
      <c r="X48" s="241"/>
      <c r="Y48" s="241"/>
      <c r="Z48">
        <f>IF(AND('4 Ope'!C48&gt;Tmin, NOT('4 Ope'!$I48="")),'4 Ope'!$I48,0)</f>
        <v>0</v>
      </c>
      <c r="AA48">
        <f>IF(AND('4 Ope'!C48&gt;Tmin, NOT('4 Ope'!$I48="")),'4 Ope'!$I48,0)</f>
        <v>0</v>
      </c>
      <c r="AB48">
        <f>IF(AND('4 Ope'!D48&gt;Tmin, NOT('4 Ope'!$I48="")),'4 Ope'!$I48,0)</f>
        <v>0</v>
      </c>
      <c r="AC48">
        <f>IF(AND('4 Ope'!E48&gt;Tmin, NOT('4 Ope'!$I48="")),'4 Ope'!$I48,0)</f>
        <v>0</v>
      </c>
      <c r="AD48">
        <f>IF(AND('4 Ope'!F48&gt;Tmin, NOT('4 Ope'!$I48="")),'4 Ope'!$I48,0)</f>
        <v>0</v>
      </c>
      <c r="AE48">
        <f>IF(AND('4 Ope'!C48&lt;Tmax, NOT('4 Ope'!$H48="")),'4 Ope'!$H48,4)</f>
        <v>4</v>
      </c>
      <c r="AF48">
        <f>IF(AND('4 Ope'!D48&lt;Tmax, NOT('4 Ope'!$H48="")),'4 Ope'!$H48,4)</f>
        <v>4</v>
      </c>
      <c r="AG48">
        <f>IF(AND('4 Ope'!E48&lt;Tmax, NOT('4 Ope'!$H48="")),'4 Ope'!$H48,4)</f>
        <v>4</v>
      </c>
      <c r="AH48">
        <f>IF(AND('4 Ope'!F48&lt;Tmax, NOT('4 Ope'!$H48="")),'4 Ope'!$H48,4)</f>
        <v>4</v>
      </c>
      <c r="AI48"/>
      <c r="AJ48" s="241"/>
      <c r="AK48" s="241"/>
      <c r="AL48" s="241"/>
      <c r="AM48" s="241"/>
      <c r="AN48" s="241"/>
      <c r="AO48" s="241"/>
      <c r="AP48" s="241"/>
      <c r="AQ48" s="241"/>
      <c r="AR48" s="241"/>
      <c r="AS48" s="241"/>
      <c r="AT48" s="241"/>
    </row>
    <row r="49" spans="1:46" s="34" customFormat="1" ht="20.399999999999999" x14ac:dyDescent="0.25">
      <c r="A49" s="128" t="s">
        <v>979</v>
      </c>
      <c r="B49" s="128" t="s">
        <v>980</v>
      </c>
      <c r="C49" s="136">
        <v>0</v>
      </c>
      <c r="D49" s="136"/>
      <c r="E49" s="136"/>
      <c r="F49" s="136"/>
      <c r="G49" s="133">
        <v>2</v>
      </c>
      <c r="H49" s="133"/>
      <c r="I49" s="133"/>
      <c r="J49" s="133"/>
      <c r="K49" s="234" t="s">
        <v>7494</v>
      </c>
      <c r="L49" s="234"/>
      <c r="M49" s="234"/>
      <c r="N49" s="234"/>
      <c r="O49" s="234"/>
      <c r="P49" s="234"/>
      <c r="Q49" s="234"/>
      <c r="R49" s="234"/>
      <c r="S49" s="234"/>
      <c r="T49" s="234"/>
      <c r="U49" s="234"/>
      <c r="V49" s="234"/>
      <c r="W49" s="234"/>
      <c r="X49" s="234"/>
      <c r="Y49" s="234"/>
      <c r="Z49">
        <f>IF(AND('4 Ope'!C49&gt;Tmin, NOT('4 Ope'!$I49="")),'4 Ope'!$I49,0)</f>
        <v>0</v>
      </c>
      <c r="AA49">
        <f>IF(AND('4 Ope'!C49&gt;Tmin, NOT('4 Ope'!$I49="")),'4 Ope'!$I49,0)</f>
        <v>0</v>
      </c>
      <c r="AB49">
        <f>IF(AND('4 Ope'!D49&gt;Tmin, NOT('4 Ope'!$I49="")),'4 Ope'!$I49,0)</f>
        <v>0</v>
      </c>
      <c r="AC49">
        <f>IF(AND('4 Ope'!E49&gt;Tmin, NOT('4 Ope'!$I49="")),'4 Ope'!$I49,0)</f>
        <v>0</v>
      </c>
      <c r="AD49">
        <f>IF(AND('4 Ope'!F49&gt;Tmin, NOT('4 Ope'!$I49="")),'4 Ope'!$I49,0)</f>
        <v>0</v>
      </c>
      <c r="AE49">
        <f>IF(AND('4 Ope'!C49&lt;Tmax, NOT('4 Ope'!$H49="")),'4 Ope'!$H49,4)</f>
        <v>4</v>
      </c>
      <c r="AF49">
        <f>IF(AND('4 Ope'!D49&lt;Tmax, NOT('4 Ope'!$H49="")),'4 Ope'!$H49,4)</f>
        <v>4</v>
      </c>
      <c r="AG49">
        <f>IF(AND('4 Ope'!E49&lt;Tmax, NOT('4 Ope'!$H49="")),'4 Ope'!$H49,4)</f>
        <v>4</v>
      </c>
      <c r="AH49">
        <f>IF(AND('4 Ope'!F49&lt;Tmax, NOT('4 Ope'!$H49="")),'4 Ope'!$H49,4)</f>
        <v>4</v>
      </c>
      <c r="AI49"/>
      <c r="AJ49" s="234"/>
      <c r="AK49" s="234"/>
      <c r="AL49" s="234"/>
      <c r="AM49" s="234"/>
      <c r="AN49" s="234"/>
      <c r="AO49" s="234"/>
      <c r="AP49" s="234"/>
      <c r="AQ49" s="234"/>
      <c r="AR49" s="234"/>
      <c r="AS49" s="234"/>
      <c r="AT49" s="234"/>
    </row>
    <row r="50" spans="1:46" s="34" customFormat="1" x14ac:dyDescent="0.25">
      <c r="A50" s="128" t="s">
        <v>981</v>
      </c>
      <c r="B50" s="128" t="s">
        <v>982</v>
      </c>
      <c r="C50" s="136">
        <v>0</v>
      </c>
      <c r="D50" s="136"/>
      <c r="E50" s="136"/>
      <c r="F50" s="136"/>
      <c r="G50" s="133">
        <v>2</v>
      </c>
      <c r="H50" s="133"/>
      <c r="I50" s="133"/>
      <c r="J50" s="133"/>
      <c r="K50" s="234" t="s">
        <v>7494</v>
      </c>
      <c r="L50" s="234"/>
      <c r="M50" s="234"/>
      <c r="N50" s="234"/>
      <c r="O50" s="234"/>
      <c r="P50" s="234"/>
      <c r="Q50" s="234"/>
      <c r="R50" s="234"/>
      <c r="S50" s="234"/>
      <c r="T50" s="234"/>
      <c r="U50" s="234"/>
      <c r="V50" s="234"/>
      <c r="W50" s="234"/>
      <c r="X50" s="234"/>
      <c r="Y50" s="234"/>
      <c r="Z50">
        <f>IF(AND('4 Ope'!C50&gt;Tmin, NOT('4 Ope'!$I50="")),'4 Ope'!$I50,0)</f>
        <v>0</v>
      </c>
      <c r="AA50">
        <f>IF(AND('4 Ope'!C50&gt;Tmin, NOT('4 Ope'!$I50="")),'4 Ope'!$I50,0)</f>
        <v>0</v>
      </c>
      <c r="AB50">
        <f>IF(AND('4 Ope'!D50&gt;Tmin, NOT('4 Ope'!$I50="")),'4 Ope'!$I50,0)</f>
        <v>0</v>
      </c>
      <c r="AC50">
        <f>IF(AND('4 Ope'!E50&gt;Tmin, NOT('4 Ope'!$I50="")),'4 Ope'!$I50,0)</f>
        <v>0</v>
      </c>
      <c r="AD50">
        <f>IF(AND('4 Ope'!F50&gt;Tmin, NOT('4 Ope'!$I50="")),'4 Ope'!$I50,0)</f>
        <v>0</v>
      </c>
      <c r="AE50">
        <f>IF(AND('4 Ope'!C50&lt;Tmax, NOT('4 Ope'!$H50="")),'4 Ope'!$H50,4)</f>
        <v>4</v>
      </c>
      <c r="AF50">
        <f>IF(AND('4 Ope'!D50&lt;Tmax, NOT('4 Ope'!$H50="")),'4 Ope'!$H50,4)</f>
        <v>4</v>
      </c>
      <c r="AG50">
        <f>IF(AND('4 Ope'!E50&lt;Tmax, NOT('4 Ope'!$H50="")),'4 Ope'!$H50,4)</f>
        <v>4</v>
      </c>
      <c r="AH50">
        <f>IF(AND('4 Ope'!F50&lt;Tmax, NOT('4 Ope'!$H50="")),'4 Ope'!$H50,4)</f>
        <v>4</v>
      </c>
      <c r="AI50"/>
      <c r="AJ50" s="234"/>
      <c r="AK50" s="234"/>
      <c r="AL50" s="234"/>
      <c r="AM50" s="234"/>
      <c r="AN50" s="234"/>
      <c r="AO50" s="234"/>
      <c r="AP50" s="234"/>
      <c r="AQ50" s="234"/>
      <c r="AR50" s="234"/>
      <c r="AS50" s="234"/>
      <c r="AT50" s="234"/>
    </row>
    <row r="51" spans="1:46" s="34" customFormat="1" x14ac:dyDescent="0.25">
      <c r="A51" s="128" t="s">
        <v>983</v>
      </c>
      <c r="B51" s="128" t="s">
        <v>984</v>
      </c>
      <c r="C51" s="136">
        <v>0</v>
      </c>
      <c r="D51" s="136"/>
      <c r="E51" s="136"/>
      <c r="F51" s="136"/>
      <c r="G51" s="133">
        <v>2</v>
      </c>
      <c r="H51" s="133"/>
      <c r="I51" s="133"/>
      <c r="J51" s="133"/>
      <c r="K51" s="234" t="s">
        <v>7509</v>
      </c>
      <c r="L51" s="234"/>
      <c r="M51" s="234"/>
      <c r="N51" s="234"/>
      <c r="O51" s="234"/>
      <c r="P51" s="234"/>
      <c r="Q51" s="234"/>
      <c r="R51" s="234"/>
      <c r="S51" s="234"/>
      <c r="T51" s="234"/>
      <c r="U51" s="234"/>
      <c r="V51" s="234"/>
      <c r="W51" s="234"/>
      <c r="X51" s="234"/>
      <c r="Y51" s="234"/>
      <c r="Z51">
        <f>IF(AND('4 Ope'!C51&gt;Tmin, NOT('4 Ope'!$I51="")),'4 Ope'!$I51,0)</f>
        <v>0</v>
      </c>
      <c r="AA51">
        <f>IF(AND('4 Ope'!C51&gt;Tmin, NOT('4 Ope'!$I51="")),'4 Ope'!$I51,0)</f>
        <v>0</v>
      </c>
      <c r="AB51">
        <f>IF(AND('4 Ope'!D51&gt;Tmin, NOT('4 Ope'!$I51="")),'4 Ope'!$I51,0)</f>
        <v>0</v>
      </c>
      <c r="AC51">
        <f>IF(AND('4 Ope'!E51&gt;Tmin, NOT('4 Ope'!$I51="")),'4 Ope'!$I51,0)</f>
        <v>0</v>
      </c>
      <c r="AD51">
        <f>IF(AND('4 Ope'!F51&gt;Tmin, NOT('4 Ope'!$I51="")),'4 Ope'!$I51,0)</f>
        <v>0</v>
      </c>
      <c r="AE51">
        <f>IF(AND('4 Ope'!C51&lt;Tmax, NOT('4 Ope'!$H51="")),'4 Ope'!$H51,4)</f>
        <v>4</v>
      </c>
      <c r="AF51">
        <f>IF(AND('4 Ope'!D51&lt;Tmax, NOT('4 Ope'!$H51="")),'4 Ope'!$H51,4)</f>
        <v>4</v>
      </c>
      <c r="AG51">
        <f>IF(AND('4 Ope'!E51&lt;Tmax, NOT('4 Ope'!$H51="")),'4 Ope'!$H51,4)</f>
        <v>4</v>
      </c>
      <c r="AH51">
        <f>IF(AND('4 Ope'!F51&lt;Tmax, NOT('4 Ope'!$H51="")),'4 Ope'!$H51,4)</f>
        <v>4</v>
      </c>
      <c r="AI51"/>
      <c r="AJ51" s="234"/>
      <c r="AK51" s="234"/>
      <c r="AL51" s="234"/>
      <c r="AM51" s="234"/>
      <c r="AN51" s="234"/>
      <c r="AO51" s="234"/>
      <c r="AP51" s="234"/>
      <c r="AQ51" s="234"/>
      <c r="AR51" s="234"/>
      <c r="AS51" s="234"/>
      <c r="AT51" s="234"/>
    </row>
    <row r="52" spans="1:46" s="34" customFormat="1" ht="20.399999999999999" x14ac:dyDescent="0.25">
      <c r="A52" s="128" t="s">
        <v>985</v>
      </c>
      <c r="B52" s="128" t="s">
        <v>986</v>
      </c>
      <c r="C52" s="136">
        <v>0</v>
      </c>
      <c r="D52" s="136"/>
      <c r="E52" s="136"/>
      <c r="F52" s="136"/>
      <c r="G52" s="133">
        <v>4</v>
      </c>
      <c r="H52" s="133"/>
      <c r="I52" s="133"/>
      <c r="J52" s="133"/>
      <c r="K52" s="234" t="s">
        <v>7494</v>
      </c>
      <c r="L52" s="234"/>
      <c r="M52" s="234"/>
      <c r="N52" s="234"/>
      <c r="O52" s="234"/>
      <c r="P52" s="234"/>
      <c r="Q52" s="234"/>
      <c r="R52" s="234"/>
      <c r="S52" s="234"/>
      <c r="T52" s="234"/>
      <c r="U52" s="234"/>
      <c r="V52" s="234"/>
      <c r="W52" s="234"/>
      <c r="X52" s="234"/>
      <c r="Y52" s="234"/>
      <c r="Z52">
        <f>IF(AND('4 Ope'!C52&gt;Tmin, NOT('4 Ope'!$I52="")),'4 Ope'!$I52,0)</f>
        <v>0</v>
      </c>
      <c r="AA52">
        <f>IF(AND('4 Ope'!C52&gt;Tmin, NOT('4 Ope'!$I52="")),'4 Ope'!$I52,0)</f>
        <v>0</v>
      </c>
      <c r="AB52">
        <f>IF(AND('4 Ope'!D52&gt;Tmin, NOT('4 Ope'!$I52="")),'4 Ope'!$I52,0)</f>
        <v>0</v>
      </c>
      <c r="AC52">
        <f>IF(AND('4 Ope'!E52&gt;Tmin, NOT('4 Ope'!$I52="")),'4 Ope'!$I52,0)</f>
        <v>0</v>
      </c>
      <c r="AD52">
        <f>IF(AND('4 Ope'!F52&gt;Tmin, NOT('4 Ope'!$I52="")),'4 Ope'!$I52,0)</f>
        <v>0</v>
      </c>
      <c r="AE52">
        <f>IF(AND('4 Ope'!C52&lt;Tmax, NOT('4 Ope'!$H52="")),'4 Ope'!$H52,4)</f>
        <v>4</v>
      </c>
      <c r="AF52">
        <f>IF(AND('4 Ope'!D52&lt;Tmax, NOT('4 Ope'!$H52="")),'4 Ope'!$H52,4)</f>
        <v>4</v>
      </c>
      <c r="AG52">
        <f>IF(AND('4 Ope'!E52&lt;Tmax, NOT('4 Ope'!$H52="")),'4 Ope'!$H52,4)</f>
        <v>4</v>
      </c>
      <c r="AH52">
        <f>IF(AND('4 Ope'!F52&lt;Tmax, NOT('4 Ope'!$H52="")),'4 Ope'!$H52,4)</f>
        <v>4</v>
      </c>
      <c r="AI52"/>
      <c r="AJ52" s="234"/>
      <c r="AK52" s="234"/>
      <c r="AL52" s="234"/>
      <c r="AM52" s="234"/>
      <c r="AN52" s="234"/>
      <c r="AO52" s="234"/>
      <c r="AP52" s="234"/>
      <c r="AQ52" s="234"/>
      <c r="AR52" s="234"/>
      <c r="AS52" s="234"/>
      <c r="AT52" s="234"/>
    </row>
    <row r="53" spans="1:46" s="34" customFormat="1" x14ac:dyDescent="0.25">
      <c r="A53" s="128" t="s">
        <v>987</v>
      </c>
      <c r="B53" s="128" t="s">
        <v>988</v>
      </c>
      <c r="C53" s="136">
        <v>0</v>
      </c>
      <c r="D53" s="136"/>
      <c r="E53" s="136"/>
      <c r="F53" s="136"/>
      <c r="G53" s="133">
        <v>2</v>
      </c>
      <c r="H53" s="133">
        <v>3</v>
      </c>
      <c r="I53" s="133"/>
      <c r="J53" s="133"/>
      <c r="K53" s="234" t="s">
        <v>7494</v>
      </c>
      <c r="L53" s="234"/>
      <c r="M53" s="234"/>
      <c r="N53" s="234"/>
      <c r="O53" s="234"/>
      <c r="P53" s="234"/>
      <c r="Q53" s="234"/>
      <c r="R53" s="234"/>
      <c r="S53" s="234"/>
      <c r="T53" s="234"/>
      <c r="U53" s="234"/>
      <c r="V53" s="234"/>
      <c r="W53" s="234"/>
      <c r="X53" s="234"/>
      <c r="Y53" s="234"/>
      <c r="Z53">
        <f>IF(AND('4 Ope'!C53&gt;Tmin, NOT('4 Ope'!$I53="")),'4 Ope'!$I53,0)</f>
        <v>0</v>
      </c>
      <c r="AA53">
        <f>IF(AND('4 Ope'!C53&gt;Tmin, NOT('4 Ope'!$I53="")),'4 Ope'!$I53,0)</f>
        <v>0</v>
      </c>
      <c r="AB53">
        <f>IF(AND('4 Ope'!D53&gt;Tmin, NOT('4 Ope'!$I53="")),'4 Ope'!$I53,0)</f>
        <v>0</v>
      </c>
      <c r="AC53">
        <f>IF(AND('4 Ope'!E53&gt;Tmin, NOT('4 Ope'!$I53="")),'4 Ope'!$I53,0)</f>
        <v>0</v>
      </c>
      <c r="AD53">
        <f>IF(AND('4 Ope'!F53&gt;Tmin, NOT('4 Ope'!$I53="")),'4 Ope'!$I53,0)</f>
        <v>0</v>
      </c>
      <c r="AE53">
        <f>IF(AND('4 Ope'!C53&lt;Tmax, NOT('4 Ope'!$H53="")),'4 Ope'!$H53,4)</f>
        <v>3</v>
      </c>
      <c r="AF53">
        <f>IF(AND('4 Ope'!D53&lt;Tmax, NOT('4 Ope'!$H53="")),'4 Ope'!$H53,4)</f>
        <v>3</v>
      </c>
      <c r="AG53">
        <f>IF(AND('4 Ope'!E53&lt;Tmax, NOT('4 Ope'!$H53="")),'4 Ope'!$H53,4)</f>
        <v>3</v>
      </c>
      <c r="AH53">
        <f>IF(AND('4 Ope'!F53&lt;Tmax, NOT('4 Ope'!$H53="")),'4 Ope'!$H53,4)</f>
        <v>3</v>
      </c>
      <c r="AI53"/>
      <c r="AJ53" s="234"/>
      <c r="AK53" s="234"/>
      <c r="AL53" s="234"/>
      <c r="AM53" s="234"/>
      <c r="AN53" s="234"/>
      <c r="AO53" s="234"/>
      <c r="AP53" s="234"/>
      <c r="AQ53" s="234"/>
      <c r="AR53" s="234"/>
      <c r="AS53" s="234"/>
      <c r="AT53" s="234"/>
    </row>
    <row r="54" spans="1:46" s="34" customFormat="1" ht="20.399999999999999" x14ac:dyDescent="0.25">
      <c r="A54" s="128" t="s">
        <v>625</v>
      </c>
      <c r="B54" s="128" t="s">
        <v>3105</v>
      </c>
      <c r="C54" s="136"/>
      <c r="D54" s="136"/>
      <c r="E54" s="136"/>
      <c r="F54" s="136"/>
      <c r="G54" s="133"/>
      <c r="H54" s="133"/>
      <c r="I54" s="133"/>
      <c r="J54" s="133"/>
      <c r="K54" s="234"/>
      <c r="L54" s="234"/>
      <c r="M54" s="234"/>
      <c r="N54" s="234"/>
      <c r="O54" s="234"/>
      <c r="P54" s="234"/>
      <c r="Q54" s="234"/>
      <c r="R54" s="234"/>
      <c r="S54" s="234"/>
      <c r="T54" s="234"/>
      <c r="U54" s="234"/>
      <c r="V54" s="234"/>
      <c r="W54" s="234"/>
      <c r="X54" s="234"/>
      <c r="Y54" s="234"/>
      <c r="Z54"/>
      <c r="AA54"/>
      <c r="AB54"/>
      <c r="AC54"/>
      <c r="AD54"/>
      <c r="AE54"/>
      <c r="AF54"/>
      <c r="AG54"/>
      <c r="AH54"/>
      <c r="AI54"/>
      <c r="AJ54" s="234"/>
      <c r="AK54" s="234"/>
      <c r="AL54" s="234"/>
      <c r="AM54" s="234"/>
      <c r="AN54" s="234"/>
      <c r="AO54" s="234"/>
      <c r="AP54" s="234"/>
      <c r="AQ54" s="234"/>
      <c r="AR54" s="234"/>
      <c r="AS54" s="234"/>
      <c r="AT54" s="234"/>
    </row>
    <row r="55" spans="1:46" s="34" customFormat="1" ht="30.6" x14ac:dyDescent="0.25">
      <c r="A55" s="128" t="s">
        <v>989</v>
      </c>
      <c r="B55" s="128" t="s">
        <v>3106</v>
      </c>
      <c r="C55" s="136"/>
      <c r="D55" s="136"/>
      <c r="E55" s="136"/>
      <c r="F55" s="136"/>
      <c r="G55" s="133">
        <v>4</v>
      </c>
      <c r="H55" s="133"/>
      <c r="I55" s="133"/>
      <c r="J55" s="133" t="s">
        <v>7125</v>
      </c>
      <c r="K55" s="234"/>
      <c r="L55" s="234"/>
      <c r="M55" s="234"/>
      <c r="N55" s="234"/>
      <c r="O55" s="234"/>
      <c r="P55" s="234"/>
      <c r="Q55" s="234"/>
      <c r="R55" s="234"/>
      <c r="S55" s="234"/>
      <c r="T55" s="234"/>
      <c r="U55" s="234"/>
      <c r="V55" s="234"/>
      <c r="W55" s="234"/>
      <c r="X55" s="234"/>
      <c r="Y55" s="234"/>
      <c r="Z55">
        <f>IF(AND('4 Ope'!C55&gt;Tmin, NOT('4 Ope'!$I55="")),'4 Ope'!$I55,0)</f>
        <v>0</v>
      </c>
      <c r="AA55">
        <f>IF(AND('4 Ope'!C55&gt;Tmin, NOT('4 Ope'!$I55="")),'4 Ope'!$I55,0)</f>
        <v>0</v>
      </c>
      <c r="AB55">
        <f>IF(AND('4 Ope'!D55&gt;Tmin, NOT('4 Ope'!$I55="")),'4 Ope'!$I55,0)</f>
        <v>0</v>
      </c>
      <c r="AC55">
        <f>IF(AND('4 Ope'!E55&gt;Tmin, NOT('4 Ope'!$I55="")),'4 Ope'!$I55,0)</f>
        <v>0</v>
      </c>
      <c r="AD55">
        <f>IF(AND('4 Ope'!F55&gt;Tmin, NOT('4 Ope'!$I55="")),'4 Ope'!$I55,0)</f>
        <v>0</v>
      </c>
      <c r="AE55">
        <f>IF(AND('4 Ope'!C55&lt;Tmax, NOT('4 Ope'!$H55="")),'4 Ope'!$H55,4)</f>
        <v>4</v>
      </c>
      <c r="AF55">
        <f>IF(AND('4 Ope'!D55&lt;Tmax, NOT('4 Ope'!$H55="")),'4 Ope'!$H55,4)</f>
        <v>4</v>
      </c>
      <c r="AG55">
        <f>IF(AND('4 Ope'!E55&lt;Tmax, NOT('4 Ope'!$H55="")),'4 Ope'!$H55,4)</f>
        <v>4</v>
      </c>
      <c r="AH55">
        <f>IF(AND('4 Ope'!F55&lt;Tmax, NOT('4 Ope'!$H55="")),'4 Ope'!$H55,4)</f>
        <v>4</v>
      </c>
      <c r="AI55"/>
      <c r="AJ55" s="234"/>
      <c r="AK55" s="234"/>
      <c r="AL55" s="234"/>
      <c r="AM55" s="234"/>
      <c r="AN55" s="234"/>
      <c r="AO55" s="234"/>
      <c r="AP55" s="234"/>
      <c r="AQ55" s="234"/>
      <c r="AR55" s="234"/>
      <c r="AS55" s="234"/>
      <c r="AT55" s="234"/>
    </row>
    <row r="56" spans="1:46" s="34" customFormat="1" ht="20.399999999999999" x14ac:dyDescent="0.25">
      <c r="A56" s="128" t="s">
        <v>990</v>
      </c>
      <c r="B56" s="128" t="s">
        <v>136</v>
      </c>
      <c r="C56" s="136"/>
      <c r="D56" s="136"/>
      <c r="E56" s="136"/>
      <c r="F56" s="136"/>
      <c r="G56" s="133">
        <v>2</v>
      </c>
      <c r="H56" s="133"/>
      <c r="I56" s="133"/>
      <c r="J56" s="133"/>
      <c r="K56" s="234"/>
      <c r="L56" s="234"/>
      <c r="M56" s="234"/>
      <c r="N56" s="234"/>
      <c r="O56" s="234"/>
      <c r="P56" s="234"/>
      <c r="Q56" s="234"/>
      <c r="R56" s="234"/>
      <c r="S56" s="234"/>
      <c r="T56" s="234"/>
      <c r="U56" s="234"/>
      <c r="V56" s="234"/>
      <c r="W56" s="234"/>
      <c r="X56" s="234"/>
      <c r="Y56" s="234"/>
      <c r="Z56">
        <f>IF(AND('4 Ope'!C56&gt;Tmin, NOT('4 Ope'!$I56="")),'4 Ope'!$I56,0)</f>
        <v>0</v>
      </c>
      <c r="AA56">
        <f>IF(AND('4 Ope'!C56&gt;Tmin, NOT('4 Ope'!$I56="")),'4 Ope'!$I56,0)</f>
        <v>0</v>
      </c>
      <c r="AB56">
        <f>IF(AND('4 Ope'!D56&gt;Tmin, NOT('4 Ope'!$I56="")),'4 Ope'!$I56,0)</f>
        <v>0</v>
      </c>
      <c r="AC56">
        <f>IF(AND('4 Ope'!E56&gt;Tmin, NOT('4 Ope'!$I56="")),'4 Ope'!$I56,0)</f>
        <v>0</v>
      </c>
      <c r="AD56">
        <f>IF(AND('4 Ope'!F56&gt;Tmin, NOT('4 Ope'!$I56="")),'4 Ope'!$I56,0)</f>
        <v>0</v>
      </c>
      <c r="AE56">
        <f>IF(AND('4 Ope'!C56&lt;Tmax, NOT('4 Ope'!$H56="")),'4 Ope'!$H56,4)</f>
        <v>4</v>
      </c>
      <c r="AF56">
        <f>IF(AND('4 Ope'!D56&lt;Tmax, NOT('4 Ope'!$H56="")),'4 Ope'!$H56,4)</f>
        <v>4</v>
      </c>
      <c r="AG56">
        <f>IF(AND('4 Ope'!E56&lt;Tmax, NOT('4 Ope'!$H56="")),'4 Ope'!$H56,4)</f>
        <v>4</v>
      </c>
      <c r="AH56">
        <f>IF(AND('4 Ope'!F56&lt;Tmax, NOT('4 Ope'!$H56="")),'4 Ope'!$H56,4)</f>
        <v>4</v>
      </c>
      <c r="AI56"/>
      <c r="AJ56" s="234"/>
      <c r="AK56" s="234"/>
      <c r="AL56" s="234"/>
      <c r="AM56" s="234"/>
      <c r="AN56" s="234"/>
      <c r="AO56" s="234"/>
      <c r="AP56" s="234"/>
      <c r="AQ56" s="234"/>
      <c r="AR56" s="234"/>
      <c r="AS56" s="234"/>
      <c r="AT56" s="234"/>
    </row>
    <row r="57" spans="1:46" s="34" customFormat="1" ht="20.399999999999999" x14ac:dyDescent="0.25">
      <c r="A57" s="128" t="s">
        <v>991</v>
      </c>
      <c r="B57" s="128" t="s">
        <v>598</v>
      </c>
      <c r="C57" s="136"/>
      <c r="D57" s="136"/>
      <c r="E57" s="136"/>
      <c r="F57" s="136"/>
      <c r="G57" s="133">
        <v>4</v>
      </c>
      <c r="H57" s="133">
        <v>2</v>
      </c>
      <c r="I57" s="133"/>
      <c r="J57" s="133"/>
      <c r="K57" s="234"/>
      <c r="L57" s="234"/>
      <c r="M57" s="234"/>
      <c r="N57" s="234"/>
      <c r="O57" s="234"/>
      <c r="P57" s="234"/>
      <c r="Q57" s="234"/>
      <c r="R57" s="234"/>
      <c r="S57" s="234"/>
      <c r="T57" s="234"/>
      <c r="U57" s="234"/>
      <c r="V57" s="234"/>
      <c r="W57" s="234"/>
      <c r="X57" s="234"/>
      <c r="Y57" s="234"/>
      <c r="Z57">
        <f>IF(AND('4 Ope'!C57&gt;Tmin, NOT('4 Ope'!$I57="")),'4 Ope'!$I57,0)</f>
        <v>0</v>
      </c>
      <c r="AA57">
        <f>IF(AND('4 Ope'!C57&gt;Tmin, NOT('4 Ope'!$I57="")),'4 Ope'!$I57,0)</f>
        <v>0</v>
      </c>
      <c r="AB57">
        <f>IF(AND('4 Ope'!D57&gt;Tmin, NOT('4 Ope'!$I57="")),'4 Ope'!$I57,0)</f>
        <v>0</v>
      </c>
      <c r="AC57">
        <f>IF(AND('4 Ope'!E57&gt;Tmin, NOT('4 Ope'!$I57="")),'4 Ope'!$I57,0)</f>
        <v>0</v>
      </c>
      <c r="AD57">
        <f>IF(AND('4 Ope'!F57&gt;Tmin, NOT('4 Ope'!$I57="")),'4 Ope'!$I57,0)</f>
        <v>0</v>
      </c>
      <c r="AE57">
        <f>IF(AND('4 Ope'!C57&lt;Tmax, NOT('4 Ope'!$H57="")),'4 Ope'!$H57,4)</f>
        <v>2</v>
      </c>
      <c r="AF57">
        <f>IF(AND('4 Ope'!D57&lt;Tmax, NOT('4 Ope'!$H57="")),'4 Ope'!$H57,4)</f>
        <v>2</v>
      </c>
      <c r="AG57">
        <f>IF(AND('4 Ope'!E57&lt;Tmax, NOT('4 Ope'!$H57="")),'4 Ope'!$H57,4)</f>
        <v>2</v>
      </c>
      <c r="AH57">
        <f>IF(AND('4 Ope'!F57&lt;Tmax, NOT('4 Ope'!$H57="")),'4 Ope'!$H57,4)</f>
        <v>2</v>
      </c>
      <c r="AI57"/>
      <c r="AJ57" s="234"/>
      <c r="AK57" s="234"/>
      <c r="AL57" s="234"/>
      <c r="AM57" s="234"/>
      <c r="AN57" s="234"/>
      <c r="AO57" s="234"/>
      <c r="AP57" s="234"/>
      <c r="AQ57" s="234"/>
      <c r="AR57" s="234"/>
      <c r="AS57" s="234"/>
      <c r="AT57" s="234"/>
    </row>
    <row r="58" spans="1:46" s="34" customFormat="1" ht="20.399999999999999" x14ac:dyDescent="0.25">
      <c r="A58" s="128" t="s">
        <v>992</v>
      </c>
      <c r="B58" s="128" t="s">
        <v>552</v>
      </c>
      <c r="C58" s="136"/>
      <c r="D58" s="136"/>
      <c r="E58" s="136"/>
      <c r="F58" s="136"/>
      <c r="G58" s="133">
        <v>2</v>
      </c>
      <c r="H58" s="133"/>
      <c r="I58" s="133"/>
      <c r="J58" s="133"/>
      <c r="K58" s="234"/>
      <c r="L58" s="234"/>
      <c r="M58" s="234"/>
      <c r="N58" s="234"/>
      <c r="O58" s="234"/>
      <c r="P58" s="234"/>
      <c r="Q58" s="234"/>
      <c r="R58" s="234"/>
      <c r="S58" s="234"/>
      <c r="T58" s="234"/>
      <c r="U58" s="234"/>
      <c r="V58" s="234"/>
      <c r="W58" s="234"/>
      <c r="X58" s="234"/>
      <c r="Y58" s="234"/>
      <c r="Z58">
        <f>IF(AND('4 Ope'!C58&gt;Tmin, NOT('4 Ope'!$I58="")),'4 Ope'!$I58,0)</f>
        <v>0</v>
      </c>
      <c r="AA58">
        <f>IF(AND('4 Ope'!C58&gt;Tmin, NOT('4 Ope'!$I58="")),'4 Ope'!$I58,0)</f>
        <v>0</v>
      </c>
      <c r="AB58">
        <f>IF(AND('4 Ope'!D58&gt;Tmin, NOT('4 Ope'!$I58="")),'4 Ope'!$I58,0)</f>
        <v>0</v>
      </c>
      <c r="AC58">
        <f>IF(AND('4 Ope'!E58&gt;Tmin, NOT('4 Ope'!$I58="")),'4 Ope'!$I58,0)</f>
        <v>0</v>
      </c>
      <c r="AD58">
        <f>IF(AND('4 Ope'!F58&gt;Tmin, NOT('4 Ope'!$I58="")),'4 Ope'!$I58,0)</f>
        <v>0</v>
      </c>
      <c r="AE58">
        <f>IF(AND('4 Ope'!C58&lt;Tmax, NOT('4 Ope'!$H58="")),'4 Ope'!$H58,4)</f>
        <v>4</v>
      </c>
      <c r="AF58">
        <f>IF(AND('4 Ope'!D58&lt;Tmax, NOT('4 Ope'!$H58="")),'4 Ope'!$H58,4)</f>
        <v>4</v>
      </c>
      <c r="AG58">
        <f>IF(AND('4 Ope'!E58&lt;Tmax, NOT('4 Ope'!$H58="")),'4 Ope'!$H58,4)</f>
        <v>4</v>
      </c>
      <c r="AH58">
        <f>IF(AND('4 Ope'!F58&lt;Tmax, NOT('4 Ope'!$H58="")),'4 Ope'!$H58,4)</f>
        <v>4</v>
      </c>
      <c r="AI58"/>
      <c r="AJ58" s="234"/>
      <c r="AK58" s="234"/>
      <c r="AL58" s="234"/>
      <c r="AM58" s="234"/>
      <c r="AN58" s="234"/>
      <c r="AO58" s="234"/>
      <c r="AP58" s="234"/>
      <c r="AQ58" s="234"/>
      <c r="AR58" s="234"/>
      <c r="AS58" s="234"/>
      <c r="AT58" s="234"/>
    </row>
    <row r="59" spans="1:46" s="34" customFormat="1" ht="30.6" x14ac:dyDescent="0.25">
      <c r="A59" s="128" t="s">
        <v>993</v>
      </c>
      <c r="B59" s="128" t="s">
        <v>3232</v>
      </c>
      <c r="C59" s="136"/>
      <c r="D59" s="136"/>
      <c r="E59" s="136"/>
      <c r="F59" s="136"/>
      <c r="G59" s="133">
        <v>2</v>
      </c>
      <c r="H59" s="133">
        <v>3</v>
      </c>
      <c r="I59" s="133"/>
      <c r="J59" s="133"/>
      <c r="K59" s="234"/>
      <c r="L59" s="234"/>
      <c r="M59" s="234"/>
      <c r="N59" s="234"/>
      <c r="O59" s="234"/>
      <c r="P59" s="234"/>
      <c r="Q59" s="234"/>
      <c r="R59" s="234"/>
      <c r="S59" s="234"/>
      <c r="T59" s="234"/>
      <c r="U59" s="234"/>
      <c r="V59" s="234"/>
      <c r="W59" s="234"/>
      <c r="X59" s="234"/>
      <c r="Y59" s="234"/>
      <c r="Z59">
        <f>IF(AND('4 Ope'!C59&gt;Tmin, NOT('4 Ope'!$I59="")),'4 Ope'!$I59,0)</f>
        <v>0</v>
      </c>
      <c r="AA59">
        <f>IF(AND('4 Ope'!C59&gt;Tmin, NOT('4 Ope'!$I59="")),'4 Ope'!$I59,0)</f>
        <v>0</v>
      </c>
      <c r="AB59">
        <f>IF(AND('4 Ope'!D59&gt;Tmin, NOT('4 Ope'!$I59="")),'4 Ope'!$I59,0)</f>
        <v>0</v>
      </c>
      <c r="AC59">
        <f>IF(AND('4 Ope'!E59&gt;Tmin, NOT('4 Ope'!$I59="")),'4 Ope'!$I59,0)</f>
        <v>0</v>
      </c>
      <c r="AD59">
        <f>IF(AND('4 Ope'!F59&gt;Tmin, NOT('4 Ope'!$I59="")),'4 Ope'!$I59,0)</f>
        <v>0</v>
      </c>
      <c r="AE59">
        <f>IF(AND('4 Ope'!C59&lt;Tmax, NOT('4 Ope'!$H59="")),'4 Ope'!$H59,4)</f>
        <v>3</v>
      </c>
      <c r="AF59">
        <f>IF(AND('4 Ope'!D59&lt;Tmax, NOT('4 Ope'!$H59="")),'4 Ope'!$H59,4)</f>
        <v>3</v>
      </c>
      <c r="AG59">
        <f>IF(AND('4 Ope'!E59&lt;Tmax, NOT('4 Ope'!$H59="")),'4 Ope'!$H59,4)</f>
        <v>3</v>
      </c>
      <c r="AH59">
        <f>IF(AND('4 Ope'!F59&lt;Tmax, NOT('4 Ope'!$H59="")),'4 Ope'!$H59,4)</f>
        <v>3</v>
      </c>
      <c r="AI59"/>
      <c r="AJ59" s="234"/>
      <c r="AK59" s="234"/>
      <c r="AL59" s="234"/>
      <c r="AM59" s="234"/>
      <c r="AN59" s="234"/>
      <c r="AO59" s="234"/>
      <c r="AP59" s="234"/>
      <c r="AQ59" s="234"/>
      <c r="AR59" s="234"/>
      <c r="AS59" s="234"/>
      <c r="AT59" s="234"/>
    </row>
    <row r="60" spans="1:46" s="34" customFormat="1" ht="20.399999999999999" x14ac:dyDescent="0.25">
      <c r="A60" s="128" t="s">
        <v>994</v>
      </c>
      <c r="B60" s="128" t="s">
        <v>553</v>
      </c>
      <c r="C60" s="136"/>
      <c r="D60" s="136"/>
      <c r="E60" s="136"/>
      <c r="F60" s="136"/>
      <c r="G60" s="133">
        <v>4</v>
      </c>
      <c r="H60" s="133">
        <v>2</v>
      </c>
      <c r="I60" s="133"/>
      <c r="J60" s="133"/>
      <c r="K60" s="234"/>
      <c r="L60" s="234"/>
      <c r="M60" s="234"/>
      <c r="N60" s="234"/>
      <c r="O60" s="234"/>
      <c r="P60" s="234"/>
      <c r="Q60" s="234"/>
      <c r="R60" s="234"/>
      <c r="S60" s="234"/>
      <c r="T60" s="234"/>
      <c r="U60" s="234"/>
      <c r="V60" s="234"/>
      <c r="W60" s="234"/>
      <c r="X60" s="234"/>
      <c r="Y60" s="234"/>
      <c r="Z60">
        <f>IF(AND('4 Ope'!C60&gt;Tmin, NOT('4 Ope'!$I60="")),'4 Ope'!$I60,0)</f>
        <v>0</v>
      </c>
      <c r="AA60">
        <f>IF(AND('4 Ope'!C60&gt;Tmin, NOT('4 Ope'!$I60="")),'4 Ope'!$I60,0)</f>
        <v>0</v>
      </c>
      <c r="AB60">
        <f>IF(AND('4 Ope'!D60&gt;Tmin, NOT('4 Ope'!$I60="")),'4 Ope'!$I60,0)</f>
        <v>0</v>
      </c>
      <c r="AC60">
        <f>IF(AND('4 Ope'!E60&gt;Tmin, NOT('4 Ope'!$I60="")),'4 Ope'!$I60,0)</f>
        <v>0</v>
      </c>
      <c r="AD60">
        <f>IF(AND('4 Ope'!F60&gt;Tmin, NOT('4 Ope'!$I60="")),'4 Ope'!$I60,0)</f>
        <v>0</v>
      </c>
      <c r="AE60">
        <f>IF(AND('4 Ope'!C60&lt;Tmax, NOT('4 Ope'!$H60="")),'4 Ope'!$H60,4)</f>
        <v>2</v>
      </c>
      <c r="AF60">
        <f>IF(AND('4 Ope'!D60&lt;Tmax, NOT('4 Ope'!$H60="")),'4 Ope'!$H60,4)</f>
        <v>2</v>
      </c>
      <c r="AG60">
        <f>IF(AND('4 Ope'!E60&lt;Tmax, NOT('4 Ope'!$H60="")),'4 Ope'!$H60,4)</f>
        <v>2</v>
      </c>
      <c r="AH60">
        <f>IF(AND('4 Ope'!F60&lt;Tmax, NOT('4 Ope'!$H60="")),'4 Ope'!$H60,4)</f>
        <v>2</v>
      </c>
      <c r="AI60"/>
      <c r="AJ60" s="234"/>
      <c r="AK60" s="234"/>
      <c r="AL60" s="234"/>
      <c r="AM60" s="234"/>
      <c r="AN60" s="234"/>
      <c r="AO60" s="234"/>
      <c r="AP60" s="234"/>
      <c r="AQ60" s="234"/>
      <c r="AR60" s="234"/>
      <c r="AS60" s="234"/>
      <c r="AT60" s="234"/>
    </row>
    <row r="61" spans="1:46" s="34" customFormat="1" ht="30.6" x14ac:dyDescent="0.25">
      <c r="A61" s="128" t="s">
        <v>995</v>
      </c>
      <c r="B61" s="128" t="s">
        <v>183</v>
      </c>
      <c r="C61" s="136"/>
      <c r="D61" s="136"/>
      <c r="E61" s="136"/>
      <c r="F61" s="136"/>
      <c r="G61" s="133">
        <v>4</v>
      </c>
      <c r="H61" s="133"/>
      <c r="I61" s="133"/>
      <c r="J61" s="133"/>
      <c r="K61" s="234"/>
      <c r="L61" s="234"/>
      <c r="M61" s="234"/>
      <c r="N61" s="234"/>
      <c r="O61" s="234"/>
      <c r="P61" s="234"/>
      <c r="Q61" s="234"/>
      <c r="R61" s="234"/>
      <c r="S61" s="234"/>
      <c r="T61" s="234"/>
      <c r="U61" s="234"/>
      <c r="V61" s="234"/>
      <c r="W61" s="234"/>
      <c r="X61" s="234"/>
      <c r="Y61" s="234"/>
      <c r="Z61">
        <f>IF(AND('4 Ope'!C61&gt;Tmin, NOT('4 Ope'!$I61="")),'4 Ope'!$I61,0)</f>
        <v>0</v>
      </c>
      <c r="AA61">
        <f>IF(AND('4 Ope'!C61&gt;Tmin, NOT('4 Ope'!$I61="")),'4 Ope'!$I61,0)</f>
        <v>0</v>
      </c>
      <c r="AB61">
        <f>IF(AND('4 Ope'!D61&gt;Tmin, NOT('4 Ope'!$I61="")),'4 Ope'!$I61,0)</f>
        <v>0</v>
      </c>
      <c r="AC61">
        <f>IF(AND('4 Ope'!E61&gt;Tmin, NOT('4 Ope'!$I61="")),'4 Ope'!$I61,0)</f>
        <v>0</v>
      </c>
      <c r="AD61">
        <f>IF(AND('4 Ope'!F61&gt;Tmin, NOT('4 Ope'!$I61="")),'4 Ope'!$I61,0)</f>
        <v>0</v>
      </c>
      <c r="AE61">
        <f>IF(AND('4 Ope'!C61&lt;Tmax, NOT('4 Ope'!$H61="")),'4 Ope'!$H61,4)</f>
        <v>4</v>
      </c>
      <c r="AF61">
        <f>IF(AND('4 Ope'!D61&lt;Tmax, NOT('4 Ope'!$H61="")),'4 Ope'!$H61,4)</f>
        <v>4</v>
      </c>
      <c r="AG61">
        <f>IF(AND('4 Ope'!E61&lt;Tmax, NOT('4 Ope'!$H61="")),'4 Ope'!$H61,4)</f>
        <v>4</v>
      </c>
      <c r="AH61">
        <f>IF(AND('4 Ope'!F61&lt;Tmax, NOT('4 Ope'!$H61="")),'4 Ope'!$H61,4)</f>
        <v>4</v>
      </c>
      <c r="AI61"/>
      <c r="AJ61" s="234"/>
      <c r="AK61" s="234"/>
      <c r="AL61" s="234"/>
      <c r="AM61" s="234"/>
      <c r="AN61" s="234"/>
      <c r="AO61" s="234"/>
      <c r="AP61" s="234"/>
      <c r="AQ61" s="234"/>
      <c r="AR61" s="234"/>
      <c r="AS61" s="234"/>
      <c r="AT61" s="234"/>
    </row>
    <row r="62" spans="1:46" s="34" customFormat="1" ht="20.399999999999999" x14ac:dyDescent="0.25">
      <c r="A62" s="128" t="s">
        <v>996</v>
      </c>
      <c r="B62" s="128" t="s">
        <v>3107</v>
      </c>
      <c r="C62" s="136"/>
      <c r="D62" s="136"/>
      <c r="E62" s="136"/>
      <c r="F62" s="136"/>
      <c r="G62" s="133">
        <v>4</v>
      </c>
      <c r="H62" s="133"/>
      <c r="I62" s="133"/>
      <c r="J62" s="133"/>
      <c r="K62" s="234"/>
      <c r="L62" s="234"/>
      <c r="M62" s="234"/>
      <c r="N62" s="234"/>
      <c r="O62" s="234"/>
      <c r="P62" s="234"/>
      <c r="Q62" s="234"/>
      <c r="R62" s="234"/>
      <c r="S62" s="234"/>
      <c r="T62" s="234"/>
      <c r="U62" s="234"/>
      <c r="V62" s="234"/>
      <c r="W62" s="234"/>
      <c r="X62" s="234"/>
      <c r="Y62" s="234"/>
      <c r="Z62">
        <f>IF(AND('4 Ope'!C62&gt;Tmin, NOT('4 Ope'!$I62="")),'4 Ope'!$I62,0)</f>
        <v>0</v>
      </c>
      <c r="AA62">
        <f>IF(AND('4 Ope'!C62&gt;Tmin, NOT('4 Ope'!$I62="")),'4 Ope'!$I62,0)</f>
        <v>0</v>
      </c>
      <c r="AB62">
        <f>IF(AND('4 Ope'!D62&gt;Tmin, NOT('4 Ope'!$I62="")),'4 Ope'!$I62,0)</f>
        <v>0</v>
      </c>
      <c r="AC62">
        <f>IF(AND('4 Ope'!E62&gt;Tmin, NOT('4 Ope'!$I62="")),'4 Ope'!$I62,0)</f>
        <v>0</v>
      </c>
      <c r="AD62">
        <f>IF(AND('4 Ope'!F62&gt;Tmin, NOT('4 Ope'!$I62="")),'4 Ope'!$I62,0)</f>
        <v>0</v>
      </c>
      <c r="AE62">
        <f>IF(AND('4 Ope'!C62&lt;Tmax, NOT('4 Ope'!$H62="")),'4 Ope'!$H62,4)</f>
        <v>4</v>
      </c>
      <c r="AF62">
        <f>IF(AND('4 Ope'!D62&lt;Tmax, NOT('4 Ope'!$H62="")),'4 Ope'!$H62,4)</f>
        <v>4</v>
      </c>
      <c r="AG62">
        <f>IF(AND('4 Ope'!E62&lt;Tmax, NOT('4 Ope'!$H62="")),'4 Ope'!$H62,4)</f>
        <v>4</v>
      </c>
      <c r="AH62">
        <f>IF(AND('4 Ope'!F62&lt;Tmax, NOT('4 Ope'!$H62="")),'4 Ope'!$H62,4)</f>
        <v>4</v>
      </c>
      <c r="AI62"/>
      <c r="AJ62" s="234"/>
      <c r="AK62" s="234"/>
      <c r="AL62" s="234"/>
      <c r="AM62" s="234"/>
      <c r="AN62" s="234"/>
      <c r="AO62" s="234"/>
      <c r="AP62" s="234"/>
      <c r="AQ62" s="234"/>
      <c r="AR62" s="234"/>
      <c r="AS62" s="234"/>
      <c r="AT62" s="234"/>
    </row>
    <row r="63" spans="1:46" s="34" customFormat="1" ht="20.399999999999999" x14ac:dyDescent="0.25">
      <c r="A63" s="128" t="s">
        <v>997</v>
      </c>
      <c r="B63" s="128" t="s">
        <v>998</v>
      </c>
      <c r="C63" s="136"/>
      <c r="D63" s="136"/>
      <c r="E63" s="136"/>
      <c r="F63" s="136"/>
      <c r="G63" s="133">
        <v>2</v>
      </c>
      <c r="H63" s="133"/>
      <c r="I63" s="133"/>
      <c r="J63" s="133"/>
      <c r="K63" s="234"/>
      <c r="L63" s="234"/>
      <c r="M63" s="234"/>
      <c r="N63" s="234"/>
      <c r="O63" s="234"/>
      <c r="P63" s="234"/>
      <c r="Q63" s="234"/>
      <c r="R63" s="234"/>
      <c r="S63" s="234"/>
      <c r="T63" s="234"/>
      <c r="U63" s="234"/>
      <c r="V63" s="234"/>
      <c r="W63" s="234"/>
      <c r="X63" s="234"/>
      <c r="Y63" s="234"/>
      <c r="Z63">
        <f>IF(AND('4 Ope'!C63&gt;Tmin, NOT('4 Ope'!$I63="")),'4 Ope'!$I63,0)</f>
        <v>0</v>
      </c>
      <c r="AA63">
        <f>IF(AND('4 Ope'!C63&gt;Tmin, NOT('4 Ope'!$I63="")),'4 Ope'!$I63,0)</f>
        <v>0</v>
      </c>
      <c r="AB63">
        <f>IF(AND('4 Ope'!D63&gt;Tmin, NOT('4 Ope'!$I63="")),'4 Ope'!$I63,0)</f>
        <v>0</v>
      </c>
      <c r="AC63">
        <f>IF(AND('4 Ope'!E63&gt;Tmin, NOT('4 Ope'!$I63="")),'4 Ope'!$I63,0)</f>
        <v>0</v>
      </c>
      <c r="AD63">
        <f>IF(AND('4 Ope'!F63&gt;Tmin, NOT('4 Ope'!$I63="")),'4 Ope'!$I63,0)</f>
        <v>0</v>
      </c>
      <c r="AE63">
        <f>IF(AND('4 Ope'!C63&lt;Tmax, NOT('4 Ope'!$H63="")),'4 Ope'!$H63,4)</f>
        <v>4</v>
      </c>
      <c r="AF63">
        <f>IF(AND('4 Ope'!D63&lt;Tmax, NOT('4 Ope'!$H63="")),'4 Ope'!$H63,4)</f>
        <v>4</v>
      </c>
      <c r="AG63">
        <f>IF(AND('4 Ope'!E63&lt;Tmax, NOT('4 Ope'!$H63="")),'4 Ope'!$H63,4)</f>
        <v>4</v>
      </c>
      <c r="AH63">
        <f>IF(AND('4 Ope'!F63&lt;Tmax, NOT('4 Ope'!$H63="")),'4 Ope'!$H63,4)</f>
        <v>4</v>
      </c>
      <c r="AI63"/>
      <c r="AJ63" s="234"/>
      <c r="AK63" s="234"/>
      <c r="AL63" s="234"/>
      <c r="AM63" s="234"/>
      <c r="AN63" s="234"/>
      <c r="AO63" s="234"/>
      <c r="AP63" s="234"/>
      <c r="AQ63" s="234"/>
      <c r="AR63" s="234"/>
      <c r="AS63" s="234"/>
      <c r="AT63" s="234"/>
    </row>
    <row r="64" spans="1:46" s="34" customFormat="1" ht="20.399999999999999" x14ac:dyDescent="0.25">
      <c r="A64" s="128" t="s">
        <v>999</v>
      </c>
      <c r="B64" s="128" t="s">
        <v>1000</v>
      </c>
      <c r="C64" s="136"/>
      <c r="D64" s="136"/>
      <c r="E64" s="136"/>
      <c r="F64" s="136"/>
      <c r="G64" s="133">
        <v>4</v>
      </c>
      <c r="H64" s="133"/>
      <c r="I64" s="133"/>
      <c r="J64" s="133"/>
      <c r="K64" s="234"/>
      <c r="L64" s="234"/>
      <c r="M64" s="234"/>
      <c r="N64" s="234"/>
      <c r="O64" s="234"/>
      <c r="P64" s="234"/>
      <c r="Q64" s="234"/>
      <c r="R64" s="234"/>
      <c r="S64" s="234"/>
      <c r="T64" s="234"/>
      <c r="U64" s="234"/>
      <c r="V64" s="234"/>
      <c r="W64" s="234"/>
      <c r="X64" s="234"/>
      <c r="Y64" s="234"/>
      <c r="Z64">
        <f>IF(AND('4 Ope'!C64&gt;Tmin, NOT('4 Ope'!$I64="")),'4 Ope'!$I64,0)</f>
        <v>0</v>
      </c>
      <c r="AA64">
        <f>IF(AND('4 Ope'!C64&gt;Tmin, NOT('4 Ope'!$I64="")),'4 Ope'!$I64,0)</f>
        <v>0</v>
      </c>
      <c r="AB64">
        <f>IF(AND('4 Ope'!D64&gt;Tmin, NOT('4 Ope'!$I64="")),'4 Ope'!$I64,0)</f>
        <v>0</v>
      </c>
      <c r="AC64">
        <f>IF(AND('4 Ope'!E64&gt;Tmin, NOT('4 Ope'!$I64="")),'4 Ope'!$I64,0)</f>
        <v>0</v>
      </c>
      <c r="AD64">
        <f>IF(AND('4 Ope'!F64&gt;Tmin, NOT('4 Ope'!$I64="")),'4 Ope'!$I64,0)</f>
        <v>0</v>
      </c>
      <c r="AE64">
        <f>IF(AND('4 Ope'!C64&lt;Tmax, NOT('4 Ope'!$H64="")),'4 Ope'!$H64,4)</f>
        <v>4</v>
      </c>
      <c r="AF64">
        <f>IF(AND('4 Ope'!D64&lt;Tmax, NOT('4 Ope'!$H64="")),'4 Ope'!$H64,4)</f>
        <v>4</v>
      </c>
      <c r="AG64">
        <f>IF(AND('4 Ope'!E64&lt;Tmax, NOT('4 Ope'!$H64="")),'4 Ope'!$H64,4)</f>
        <v>4</v>
      </c>
      <c r="AH64">
        <f>IF(AND('4 Ope'!F64&lt;Tmax, NOT('4 Ope'!$H64="")),'4 Ope'!$H64,4)</f>
        <v>4</v>
      </c>
      <c r="AI64"/>
      <c r="AJ64" s="234"/>
      <c r="AK64" s="234"/>
      <c r="AL64" s="234"/>
      <c r="AM64" s="234"/>
      <c r="AN64" s="234"/>
      <c r="AO64" s="234"/>
      <c r="AP64" s="234"/>
      <c r="AQ64" s="234"/>
      <c r="AR64" s="234"/>
      <c r="AS64" s="234"/>
      <c r="AT64" s="234"/>
    </row>
    <row r="65" spans="1:77" s="34" customFormat="1" x14ac:dyDescent="0.25">
      <c r="A65" s="128" t="s">
        <v>1001</v>
      </c>
      <c r="B65" s="128" t="s">
        <v>26</v>
      </c>
      <c r="C65" s="136"/>
      <c r="D65" s="136"/>
      <c r="E65" s="136"/>
      <c r="F65" s="136"/>
      <c r="G65" s="133">
        <v>2</v>
      </c>
      <c r="H65" s="133"/>
      <c r="I65" s="133"/>
      <c r="J65" s="133"/>
      <c r="K65" s="234"/>
      <c r="L65" s="234"/>
      <c r="M65" s="234"/>
      <c r="N65" s="234"/>
      <c r="O65" s="234"/>
      <c r="P65" s="234"/>
      <c r="Q65" s="234"/>
      <c r="R65" s="234"/>
      <c r="S65" s="234"/>
      <c r="T65" s="234"/>
      <c r="U65" s="234"/>
      <c r="V65" s="234"/>
      <c r="W65" s="234"/>
      <c r="X65" s="234"/>
      <c r="Y65" s="234"/>
      <c r="Z65">
        <f>IF(AND('4 Ope'!C65&gt;Tmin, NOT('4 Ope'!$I65="")),'4 Ope'!$I65,0)</f>
        <v>0</v>
      </c>
      <c r="AA65">
        <f>IF(AND('4 Ope'!C65&gt;Tmin, NOT('4 Ope'!$I65="")),'4 Ope'!$I65,0)</f>
        <v>0</v>
      </c>
      <c r="AB65">
        <f>IF(AND('4 Ope'!D65&gt;Tmin, NOT('4 Ope'!$I65="")),'4 Ope'!$I65,0)</f>
        <v>0</v>
      </c>
      <c r="AC65">
        <f>IF(AND('4 Ope'!E65&gt;Tmin, NOT('4 Ope'!$I65="")),'4 Ope'!$I65,0)</f>
        <v>0</v>
      </c>
      <c r="AD65">
        <f>IF(AND('4 Ope'!F65&gt;Tmin, NOT('4 Ope'!$I65="")),'4 Ope'!$I65,0)</f>
        <v>0</v>
      </c>
      <c r="AE65">
        <f>IF(AND('4 Ope'!C65&lt;Tmax, NOT('4 Ope'!$H65="")),'4 Ope'!$H65,4)</f>
        <v>4</v>
      </c>
      <c r="AF65">
        <f>IF(AND('4 Ope'!D65&lt;Tmax, NOT('4 Ope'!$H65="")),'4 Ope'!$H65,4)</f>
        <v>4</v>
      </c>
      <c r="AG65">
        <f>IF(AND('4 Ope'!E65&lt;Tmax, NOT('4 Ope'!$H65="")),'4 Ope'!$H65,4)</f>
        <v>4</v>
      </c>
      <c r="AH65">
        <f>IF(AND('4 Ope'!F65&lt;Tmax, NOT('4 Ope'!$H65="")),'4 Ope'!$H65,4)</f>
        <v>4</v>
      </c>
      <c r="AI65"/>
      <c r="AJ65" s="234"/>
      <c r="AK65" s="234"/>
      <c r="AL65" s="234"/>
      <c r="AM65" s="234"/>
      <c r="AN65" s="234"/>
      <c r="AO65" s="234"/>
      <c r="AP65" s="234"/>
      <c r="AQ65" s="234"/>
      <c r="AR65" s="234"/>
      <c r="AS65" s="234"/>
      <c r="AT65" s="234"/>
    </row>
    <row r="66" spans="1:77" s="34" customFormat="1" ht="20.399999999999999" x14ac:dyDescent="0.25">
      <c r="A66" s="128" t="s">
        <v>1002</v>
      </c>
      <c r="B66" s="128" t="s">
        <v>3108</v>
      </c>
      <c r="C66" s="136"/>
      <c r="D66" s="136"/>
      <c r="E66" s="136"/>
      <c r="F66" s="136"/>
      <c r="G66" s="133">
        <v>2</v>
      </c>
      <c r="H66" s="133">
        <v>3</v>
      </c>
      <c r="I66" s="133"/>
      <c r="J66" s="133"/>
      <c r="K66" s="234"/>
      <c r="L66" s="234"/>
      <c r="M66" s="234"/>
      <c r="N66" s="234"/>
      <c r="O66" s="234"/>
      <c r="P66" s="234"/>
      <c r="Q66" s="234"/>
      <c r="R66" s="234"/>
      <c r="S66" s="234"/>
      <c r="T66" s="234"/>
      <c r="U66" s="234"/>
      <c r="V66" s="234"/>
      <c r="W66" s="234"/>
      <c r="X66" s="234"/>
      <c r="Y66" s="234"/>
      <c r="Z66">
        <f>IF(AND('4 Ope'!C66&gt;Tmin, NOT('4 Ope'!$I66="")),'4 Ope'!$I66,0)</f>
        <v>0</v>
      </c>
      <c r="AA66">
        <f>IF(AND('4 Ope'!C66&gt;Tmin, NOT('4 Ope'!$I66="")),'4 Ope'!$I66,0)</f>
        <v>0</v>
      </c>
      <c r="AB66">
        <f>IF(AND('4 Ope'!D66&gt;Tmin, NOT('4 Ope'!$I66="")),'4 Ope'!$I66,0)</f>
        <v>0</v>
      </c>
      <c r="AC66">
        <f>IF(AND('4 Ope'!E66&gt;Tmin, NOT('4 Ope'!$I66="")),'4 Ope'!$I66,0)</f>
        <v>0</v>
      </c>
      <c r="AD66">
        <f>IF(AND('4 Ope'!F66&gt;Tmin, NOT('4 Ope'!$I66="")),'4 Ope'!$I66,0)</f>
        <v>0</v>
      </c>
      <c r="AE66">
        <f>IF(AND('4 Ope'!C66&lt;Tmax, NOT('4 Ope'!$H66="")),'4 Ope'!$H66,4)</f>
        <v>3</v>
      </c>
      <c r="AF66">
        <f>IF(AND('4 Ope'!D66&lt;Tmax, NOT('4 Ope'!$H66="")),'4 Ope'!$H66,4)</f>
        <v>3</v>
      </c>
      <c r="AG66">
        <f>IF(AND('4 Ope'!E66&lt;Tmax, NOT('4 Ope'!$H66="")),'4 Ope'!$H66,4)</f>
        <v>3</v>
      </c>
      <c r="AH66">
        <f>IF(AND('4 Ope'!F66&lt;Tmax, NOT('4 Ope'!$H66="")),'4 Ope'!$H66,4)</f>
        <v>3</v>
      </c>
      <c r="AI66"/>
      <c r="AJ66" s="234"/>
      <c r="AK66" s="234"/>
      <c r="AL66" s="234"/>
      <c r="AM66" s="234"/>
      <c r="AN66" s="234"/>
      <c r="AO66" s="234"/>
      <c r="AP66" s="234"/>
      <c r="AQ66" s="234"/>
      <c r="AR66" s="234"/>
      <c r="AS66" s="234"/>
      <c r="AT66" s="234"/>
    </row>
    <row r="67" spans="1:77" s="34" customFormat="1" x14ac:dyDescent="0.25">
      <c r="A67" s="128" t="s">
        <v>1003</v>
      </c>
      <c r="B67" s="128" t="s">
        <v>3109</v>
      </c>
      <c r="C67" s="136"/>
      <c r="D67" s="136"/>
      <c r="E67" s="136"/>
      <c r="F67" s="136"/>
      <c r="G67" s="133">
        <v>4</v>
      </c>
      <c r="H67" s="133"/>
      <c r="I67" s="133"/>
      <c r="J67" s="133"/>
      <c r="K67" s="234"/>
      <c r="L67" s="234"/>
      <c r="M67" s="234"/>
      <c r="N67" s="234"/>
      <c r="O67" s="234"/>
      <c r="P67" s="234"/>
      <c r="Q67" s="234"/>
      <c r="R67" s="234"/>
      <c r="S67" s="234"/>
      <c r="T67" s="234"/>
      <c r="U67" s="234"/>
      <c r="V67" s="234"/>
      <c r="W67" s="234"/>
      <c r="X67" s="234"/>
      <c r="Y67" s="234"/>
      <c r="Z67">
        <f>IF(AND('4 Ope'!C67&gt;Tmin, NOT('4 Ope'!$I67="")),'4 Ope'!$I67,0)</f>
        <v>0</v>
      </c>
      <c r="AA67">
        <f>IF(AND('4 Ope'!C67&gt;Tmin, NOT('4 Ope'!$I67="")),'4 Ope'!$I67,0)</f>
        <v>0</v>
      </c>
      <c r="AB67">
        <f>IF(AND('4 Ope'!D67&gt;Tmin, NOT('4 Ope'!$I67="")),'4 Ope'!$I67,0)</f>
        <v>0</v>
      </c>
      <c r="AC67">
        <f>IF(AND('4 Ope'!E67&gt;Tmin, NOT('4 Ope'!$I67="")),'4 Ope'!$I67,0)</f>
        <v>0</v>
      </c>
      <c r="AD67">
        <f>IF(AND('4 Ope'!F67&gt;Tmin, NOT('4 Ope'!$I67="")),'4 Ope'!$I67,0)</f>
        <v>0</v>
      </c>
      <c r="AE67">
        <f>IF(AND('4 Ope'!C67&lt;Tmax, NOT('4 Ope'!$H67="")),'4 Ope'!$H67,4)</f>
        <v>4</v>
      </c>
      <c r="AF67">
        <f>IF(AND('4 Ope'!D67&lt;Tmax, NOT('4 Ope'!$H67="")),'4 Ope'!$H67,4)</f>
        <v>4</v>
      </c>
      <c r="AG67">
        <f>IF(AND('4 Ope'!E67&lt;Tmax, NOT('4 Ope'!$H67="")),'4 Ope'!$H67,4)</f>
        <v>4</v>
      </c>
      <c r="AH67">
        <f>IF(AND('4 Ope'!F67&lt;Tmax, NOT('4 Ope'!$H67="")),'4 Ope'!$H67,4)</f>
        <v>4</v>
      </c>
      <c r="AI67"/>
      <c r="AJ67" s="234"/>
      <c r="AK67" s="234"/>
      <c r="AL67" s="234"/>
      <c r="AM67" s="234"/>
      <c r="AN67" s="234"/>
      <c r="AO67" s="234"/>
      <c r="AP67" s="234"/>
      <c r="AQ67" s="234"/>
      <c r="AR67" s="234"/>
      <c r="AS67" s="234"/>
      <c r="AT67" s="234"/>
    </row>
    <row r="68" spans="1:77" s="34" customFormat="1" ht="20.399999999999999" x14ac:dyDescent="0.25">
      <c r="A68" s="128" t="s">
        <v>1004</v>
      </c>
      <c r="B68" s="128" t="s">
        <v>3110</v>
      </c>
      <c r="C68" s="136"/>
      <c r="D68" s="136"/>
      <c r="E68" s="136"/>
      <c r="F68" s="136"/>
      <c r="G68" s="133">
        <v>2</v>
      </c>
      <c r="H68" s="133">
        <v>3</v>
      </c>
      <c r="I68" s="133"/>
      <c r="J68" s="133"/>
      <c r="K68" s="234"/>
      <c r="L68" s="234"/>
      <c r="M68" s="234"/>
      <c r="N68" s="234"/>
      <c r="O68" s="234"/>
      <c r="P68" s="234"/>
      <c r="Q68" s="234"/>
      <c r="R68" s="234"/>
      <c r="S68" s="234"/>
      <c r="T68" s="234"/>
      <c r="U68" s="234"/>
      <c r="V68" s="234"/>
      <c r="W68" s="234"/>
      <c r="X68" s="234"/>
      <c r="Y68" s="234"/>
      <c r="Z68">
        <f>IF(AND('4 Ope'!C68&gt;Tmin, NOT('4 Ope'!$I68="")),'4 Ope'!$I68,0)</f>
        <v>0</v>
      </c>
      <c r="AA68">
        <f>IF(AND('4 Ope'!C68&gt;Tmin, NOT('4 Ope'!$I68="")),'4 Ope'!$I68,0)</f>
        <v>0</v>
      </c>
      <c r="AB68">
        <f>IF(AND('4 Ope'!D68&gt;Tmin, NOT('4 Ope'!$I68="")),'4 Ope'!$I68,0)</f>
        <v>0</v>
      </c>
      <c r="AC68">
        <f>IF(AND('4 Ope'!E68&gt;Tmin, NOT('4 Ope'!$I68="")),'4 Ope'!$I68,0)</f>
        <v>0</v>
      </c>
      <c r="AD68">
        <f>IF(AND('4 Ope'!F68&gt;Tmin, NOT('4 Ope'!$I68="")),'4 Ope'!$I68,0)</f>
        <v>0</v>
      </c>
      <c r="AE68">
        <f>IF(AND('4 Ope'!C68&lt;Tmax, NOT('4 Ope'!$H68="")),'4 Ope'!$H68,4)</f>
        <v>3</v>
      </c>
      <c r="AF68">
        <f>IF(AND('4 Ope'!D68&lt;Tmax, NOT('4 Ope'!$H68="")),'4 Ope'!$H68,4)</f>
        <v>3</v>
      </c>
      <c r="AG68">
        <f>IF(AND('4 Ope'!E68&lt;Tmax, NOT('4 Ope'!$H68="")),'4 Ope'!$H68,4)</f>
        <v>3</v>
      </c>
      <c r="AH68">
        <f>IF(AND('4 Ope'!F68&lt;Tmax, NOT('4 Ope'!$H68="")),'4 Ope'!$H68,4)</f>
        <v>3</v>
      </c>
      <c r="AI68"/>
      <c r="AJ68" s="234"/>
      <c r="AK68" s="234"/>
      <c r="AL68" s="234"/>
      <c r="AM68" s="234"/>
      <c r="AN68" s="234"/>
      <c r="AO68" s="234"/>
      <c r="AP68" s="234"/>
      <c r="AQ68" s="234"/>
      <c r="AR68" s="234"/>
      <c r="AS68" s="234"/>
      <c r="AT68" s="234"/>
    </row>
    <row r="69" spans="1:77" s="34" customFormat="1" ht="20.399999999999999" x14ac:dyDescent="0.25">
      <c r="A69" s="128" t="s">
        <v>7311</v>
      </c>
      <c r="B69" s="128" t="s">
        <v>7312</v>
      </c>
      <c r="C69" s="136"/>
      <c r="D69" s="136"/>
      <c r="E69" s="136"/>
      <c r="F69" s="136"/>
      <c r="G69" s="133">
        <v>2</v>
      </c>
      <c r="H69" s="133"/>
      <c r="I69" s="133"/>
      <c r="J69" s="133" t="s">
        <v>7125</v>
      </c>
      <c r="K69" s="234"/>
      <c r="L69" s="234"/>
      <c r="M69" s="234"/>
      <c r="N69" s="234"/>
      <c r="O69" s="234"/>
      <c r="P69" s="234"/>
      <c r="Q69" s="234"/>
      <c r="R69" s="234"/>
      <c r="S69" s="234"/>
      <c r="T69" s="234"/>
      <c r="U69" s="234"/>
      <c r="V69" s="234"/>
      <c r="W69" s="234"/>
      <c r="X69" s="234"/>
      <c r="Y69" s="234"/>
      <c r="Z69">
        <f>IF(AND('4 Ope'!C69&gt;Tmin, NOT('4 Ope'!$I69="")),'4 Ope'!$I69,0)</f>
        <v>0</v>
      </c>
      <c r="AA69">
        <f>IF(AND('4 Ope'!C69&gt;Tmin, NOT('4 Ope'!$I69="")),'4 Ope'!$I69,0)</f>
        <v>0</v>
      </c>
      <c r="AB69">
        <f>IF(AND('4 Ope'!D69&gt;Tmin, NOT('4 Ope'!$I69="")),'4 Ope'!$I69,0)</f>
        <v>0</v>
      </c>
      <c r="AC69">
        <f>IF(AND('4 Ope'!E69&gt;Tmin, NOT('4 Ope'!$I69="")),'4 Ope'!$I69,0)</f>
        <v>0</v>
      </c>
      <c r="AD69">
        <f>IF(AND('4 Ope'!F69&gt;Tmin, NOT('4 Ope'!$I69="")),'4 Ope'!$I69,0)</f>
        <v>0</v>
      </c>
      <c r="AE69">
        <f>IF(AND('4 Ope'!C69&lt;Tmax, NOT('4 Ope'!$H69="")),'4 Ope'!$H69,4)</f>
        <v>4</v>
      </c>
      <c r="AF69">
        <f>IF(AND('4 Ope'!D69&lt;Tmax, NOT('4 Ope'!$H69="")),'4 Ope'!$H69,4)</f>
        <v>4</v>
      </c>
      <c r="AG69">
        <f>IF(AND('4 Ope'!E69&lt;Tmax, NOT('4 Ope'!$H69="")),'4 Ope'!$H69,4)</f>
        <v>4</v>
      </c>
      <c r="AH69">
        <f>IF(AND('4 Ope'!F69&lt;Tmax, NOT('4 Ope'!$H69="")),'4 Ope'!$H69,4)</f>
        <v>4</v>
      </c>
      <c r="AI69"/>
      <c r="AJ69" s="234"/>
      <c r="AK69" s="234"/>
      <c r="AL69" s="234"/>
      <c r="AM69" s="234"/>
      <c r="AN69" s="234"/>
      <c r="AO69" s="234"/>
      <c r="AP69" s="234"/>
      <c r="AQ69" s="234"/>
      <c r="AR69" s="234"/>
      <c r="AS69" s="234"/>
      <c r="AT69" s="234"/>
    </row>
    <row r="70" spans="1:77" s="34" customFormat="1" x14ac:dyDescent="0.25">
      <c r="A70" s="128" t="s">
        <v>744</v>
      </c>
      <c r="B70" s="128" t="s">
        <v>47</v>
      </c>
      <c r="C70" s="136"/>
      <c r="D70" s="136"/>
      <c r="E70" s="136"/>
      <c r="F70" s="136"/>
      <c r="G70" s="133"/>
      <c r="H70" s="133"/>
      <c r="I70" s="133"/>
      <c r="J70" s="133"/>
      <c r="K70" s="234"/>
      <c r="L70" s="234"/>
      <c r="M70" s="234"/>
      <c r="N70" s="234"/>
      <c r="O70" s="234"/>
      <c r="P70" s="234"/>
      <c r="Q70" s="234"/>
      <c r="R70" s="234"/>
      <c r="S70" s="234"/>
      <c r="T70" s="234"/>
      <c r="U70" s="234"/>
      <c r="V70" s="234"/>
      <c r="W70" s="234"/>
      <c r="X70" s="234"/>
      <c r="Y70" s="234"/>
      <c r="Z70"/>
      <c r="AA70"/>
      <c r="AB70"/>
      <c r="AC70"/>
      <c r="AD70"/>
      <c r="AE70"/>
      <c r="AF70"/>
      <c r="AG70"/>
      <c r="AH70"/>
      <c r="AI70"/>
      <c r="AJ70" s="234"/>
      <c r="AK70" s="234"/>
      <c r="AL70" s="234"/>
      <c r="AM70" s="234"/>
      <c r="AN70" s="234"/>
      <c r="AO70" s="234"/>
      <c r="AP70" s="234"/>
      <c r="AQ70" s="234"/>
      <c r="AR70" s="234"/>
      <c r="AS70" s="234"/>
      <c r="AT70" s="234"/>
    </row>
    <row r="71" spans="1:77" s="34" customFormat="1" ht="20.399999999999999" x14ac:dyDescent="0.25">
      <c r="A71" s="128" t="s">
        <v>1005</v>
      </c>
      <c r="B71" s="128" t="s">
        <v>7313</v>
      </c>
      <c r="C71" s="136"/>
      <c r="D71" s="136"/>
      <c r="E71" s="136"/>
      <c r="F71" s="136"/>
      <c r="G71" s="133">
        <v>2</v>
      </c>
      <c r="H71" s="133"/>
      <c r="I71" s="133"/>
      <c r="J71" s="133" t="s">
        <v>7104</v>
      </c>
      <c r="K71" s="234"/>
      <c r="L71" s="234"/>
      <c r="M71" s="234"/>
      <c r="N71" s="234"/>
      <c r="O71" s="234"/>
      <c r="P71" s="234"/>
      <c r="Q71" s="234"/>
      <c r="R71" s="234"/>
      <c r="S71" s="234"/>
      <c r="T71" s="234"/>
      <c r="U71" s="234"/>
      <c r="V71" s="234"/>
      <c r="W71" s="234"/>
      <c r="X71" s="234"/>
      <c r="Y71" s="234"/>
      <c r="Z71">
        <f>IF(AND('4 Ope'!C71&gt;Tmin, NOT('4 Ope'!$I71="")),'4 Ope'!$I71,0)</f>
        <v>0</v>
      </c>
      <c r="AA71">
        <f>IF(AND('4 Ope'!C71&gt;Tmin, NOT('4 Ope'!$I71="")),'4 Ope'!$I71,0)</f>
        <v>0</v>
      </c>
      <c r="AB71">
        <f>IF(AND('4 Ope'!D71&gt;Tmin, NOT('4 Ope'!$I71="")),'4 Ope'!$I71,0)</f>
        <v>0</v>
      </c>
      <c r="AC71">
        <f>IF(AND('4 Ope'!E71&gt;Tmin, NOT('4 Ope'!$I71="")),'4 Ope'!$I71,0)</f>
        <v>0</v>
      </c>
      <c r="AD71">
        <f>IF(AND('4 Ope'!F71&gt;Tmin, NOT('4 Ope'!$I71="")),'4 Ope'!$I71,0)</f>
        <v>0</v>
      </c>
      <c r="AE71">
        <f>IF(AND('4 Ope'!C71&lt;Tmax, NOT('4 Ope'!$H71="")),'4 Ope'!$H71,4)</f>
        <v>4</v>
      </c>
      <c r="AF71">
        <f>IF(AND('4 Ope'!D71&lt;Tmax, NOT('4 Ope'!$H71="")),'4 Ope'!$H71,4)</f>
        <v>4</v>
      </c>
      <c r="AG71">
        <f>IF(AND('4 Ope'!E71&lt;Tmax, NOT('4 Ope'!$H71="")),'4 Ope'!$H71,4)</f>
        <v>4</v>
      </c>
      <c r="AH71">
        <f>IF(AND('4 Ope'!F71&lt;Tmax, NOT('4 Ope'!$H71="")),'4 Ope'!$H71,4)</f>
        <v>4</v>
      </c>
      <c r="AI71"/>
      <c r="AJ71" s="234"/>
      <c r="AK71" s="234"/>
      <c r="AL71" s="234"/>
      <c r="AM71" s="234"/>
      <c r="AN71" s="234"/>
      <c r="AO71" s="234"/>
      <c r="AP71" s="234"/>
      <c r="AQ71" s="234"/>
      <c r="AR71" s="234"/>
      <c r="AS71" s="234"/>
      <c r="AT71" s="234"/>
    </row>
    <row r="72" spans="1:77" s="34" customFormat="1" x14ac:dyDescent="0.25">
      <c r="A72" s="128" t="s">
        <v>1006</v>
      </c>
      <c r="B72" s="128" t="s">
        <v>7314</v>
      </c>
      <c r="C72" s="136"/>
      <c r="D72" s="136"/>
      <c r="E72" s="136"/>
      <c r="F72" s="136"/>
      <c r="G72" s="133">
        <v>2</v>
      </c>
      <c r="H72" s="133"/>
      <c r="I72" s="133"/>
      <c r="J72" s="133" t="s">
        <v>7104</v>
      </c>
      <c r="K72" s="234"/>
      <c r="L72" s="234"/>
      <c r="M72" s="234"/>
      <c r="N72" s="234"/>
      <c r="O72" s="234"/>
      <c r="P72" s="234"/>
      <c r="Q72" s="234"/>
      <c r="R72" s="234"/>
      <c r="S72" s="234"/>
      <c r="T72" s="234"/>
      <c r="U72" s="234"/>
      <c r="V72" s="234"/>
      <c r="W72" s="234"/>
      <c r="X72" s="234"/>
      <c r="Y72" s="234"/>
      <c r="Z72">
        <f>IF(AND('4 Ope'!C72&gt;Tmin, NOT('4 Ope'!$I72="")),'4 Ope'!$I72,0)</f>
        <v>0</v>
      </c>
      <c r="AA72">
        <f>IF(AND('4 Ope'!C72&gt;Tmin, NOT('4 Ope'!$I72="")),'4 Ope'!$I72,0)</f>
        <v>0</v>
      </c>
      <c r="AB72">
        <f>IF(AND('4 Ope'!D72&gt;Tmin, NOT('4 Ope'!$I72="")),'4 Ope'!$I72,0)</f>
        <v>0</v>
      </c>
      <c r="AC72">
        <f>IF(AND('4 Ope'!E72&gt;Tmin, NOT('4 Ope'!$I72="")),'4 Ope'!$I72,0)</f>
        <v>0</v>
      </c>
      <c r="AD72">
        <f>IF(AND('4 Ope'!F72&gt;Tmin, NOT('4 Ope'!$I72="")),'4 Ope'!$I72,0)</f>
        <v>0</v>
      </c>
      <c r="AE72">
        <f>IF(AND('4 Ope'!C72&lt;Tmax, NOT('4 Ope'!$H72="")),'4 Ope'!$H72,4)</f>
        <v>4</v>
      </c>
      <c r="AF72">
        <f>IF(AND('4 Ope'!D72&lt;Tmax, NOT('4 Ope'!$H72="")),'4 Ope'!$H72,4)</f>
        <v>4</v>
      </c>
      <c r="AG72">
        <f>IF(AND('4 Ope'!E72&lt;Tmax, NOT('4 Ope'!$H72="")),'4 Ope'!$H72,4)</f>
        <v>4</v>
      </c>
      <c r="AH72">
        <f>IF(AND('4 Ope'!F72&lt;Tmax, NOT('4 Ope'!$H72="")),'4 Ope'!$H72,4)</f>
        <v>4</v>
      </c>
      <c r="AI72"/>
      <c r="AJ72" s="234"/>
      <c r="AK72" s="234"/>
      <c r="AL72" s="234"/>
      <c r="AM72" s="234"/>
      <c r="AN72" s="234"/>
      <c r="AO72" s="234"/>
      <c r="AP72" s="234"/>
      <c r="AQ72" s="234"/>
      <c r="AR72" s="234"/>
      <c r="AS72" s="234"/>
      <c r="AT72" s="234"/>
    </row>
    <row r="73" spans="1:77" s="34" customFormat="1" ht="20.399999999999999" x14ac:dyDescent="0.25">
      <c r="A73" s="128" t="s">
        <v>1007</v>
      </c>
      <c r="B73" s="128" t="s">
        <v>7315</v>
      </c>
      <c r="C73" s="136"/>
      <c r="D73" s="136"/>
      <c r="E73" s="136"/>
      <c r="F73" s="136"/>
      <c r="G73" s="133">
        <v>2</v>
      </c>
      <c r="H73" s="133"/>
      <c r="I73" s="133"/>
      <c r="J73" s="133" t="s">
        <v>7104</v>
      </c>
      <c r="K73" s="234"/>
      <c r="L73" s="234"/>
      <c r="M73" s="234"/>
      <c r="N73" s="234"/>
      <c r="O73" s="234"/>
      <c r="P73" s="234"/>
      <c r="Q73" s="234"/>
      <c r="R73" s="234"/>
      <c r="S73" s="234"/>
      <c r="T73" s="234"/>
      <c r="U73" s="234"/>
      <c r="V73" s="234"/>
      <c r="W73" s="234"/>
      <c r="X73" s="234"/>
      <c r="Y73" s="234"/>
      <c r="Z73">
        <f>IF(AND('4 Ope'!C73&gt;Tmin, NOT('4 Ope'!$I73="")),'4 Ope'!$I73,0)</f>
        <v>0</v>
      </c>
      <c r="AA73">
        <f>IF(AND('4 Ope'!C73&gt;Tmin, NOT('4 Ope'!$I73="")),'4 Ope'!$I73,0)</f>
        <v>0</v>
      </c>
      <c r="AB73">
        <f>IF(AND('4 Ope'!D73&gt;Tmin, NOT('4 Ope'!$I73="")),'4 Ope'!$I73,0)</f>
        <v>0</v>
      </c>
      <c r="AC73">
        <f>IF(AND('4 Ope'!E73&gt;Tmin, NOT('4 Ope'!$I73="")),'4 Ope'!$I73,0)</f>
        <v>0</v>
      </c>
      <c r="AD73">
        <f>IF(AND('4 Ope'!F73&gt;Tmin, NOT('4 Ope'!$I73="")),'4 Ope'!$I73,0)</f>
        <v>0</v>
      </c>
      <c r="AE73">
        <f>IF(AND('4 Ope'!C73&lt;Tmax, NOT('4 Ope'!$H73="")),'4 Ope'!$H73,4)</f>
        <v>4</v>
      </c>
      <c r="AF73">
        <f>IF(AND('4 Ope'!D73&lt;Tmax, NOT('4 Ope'!$H73="")),'4 Ope'!$H73,4)</f>
        <v>4</v>
      </c>
      <c r="AG73">
        <f>IF(AND('4 Ope'!E73&lt;Tmax, NOT('4 Ope'!$H73="")),'4 Ope'!$H73,4)</f>
        <v>4</v>
      </c>
      <c r="AH73">
        <f>IF(AND('4 Ope'!F73&lt;Tmax, NOT('4 Ope'!$H73="")),'4 Ope'!$H73,4)</f>
        <v>4</v>
      </c>
      <c r="AI73"/>
      <c r="AJ73" s="234"/>
      <c r="AK73" s="234"/>
      <c r="AL73" s="234"/>
      <c r="AM73" s="234"/>
      <c r="AN73" s="234"/>
      <c r="AO73" s="234"/>
      <c r="AP73" s="234"/>
      <c r="AQ73" s="234"/>
      <c r="AR73" s="234"/>
      <c r="AS73" s="234"/>
      <c r="AT73" s="234"/>
      <c r="BY73" s="34">
        <f>IF(INDEX(Tab_actions,70,1)=1,INDEX(Tab_actions,70,8),0)</f>
        <v>0</v>
      </c>
    </row>
    <row r="74" spans="1:77" s="34" customFormat="1" ht="30.6" x14ac:dyDescent="0.25">
      <c r="A74" s="128" t="s">
        <v>1008</v>
      </c>
      <c r="B74" s="128" t="s">
        <v>7316</v>
      </c>
      <c r="C74" s="136"/>
      <c r="D74" s="136"/>
      <c r="E74" s="136"/>
      <c r="F74" s="136"/>
      <c r="G74" s="133">
        <v>2</v>
      </c>
      <c r="H74" s="133"/>
      <c r="I74" s="133"/>
      <c r="J74" s="133" t="s">
        <v>7125</v>
      </c>
      <c r="K74" s="234"/>
      <c r="L74" s="234"/>
      <c r="M74" s="234"/>
      <c r="N74" s="234"/>
      <c r="O74" s="234"/>
      <c r="P74" s="234"/>
      <c r="Q74" s="234"/>
      <c r="R74" s="234"/>
      <c r="S74" s="234"/>
      <c r="T74" s="234"/>
      <c r="U74" s="234"/>
      <c r="V74" s="234"/>
      <c r="W74" s="234"/>
      <c r="X74" s="234"/>
      <c r="Y74" s="234"/>
      <c r="Z74">
        <f>IF(AND('4 Ope'!C74&gt;Tmin, NOT('4 Ope'!$I74="")),'4 Ope'!$I74,0)</f>
        <v>0</v>
      </c>
      <c r="AA74">
        <f>IF(AND('4 Ope'!C74&gt;Tmin, NOT('4 Ope'!$I74="")),'4 Ope'!$I74,0)</f>
        <v>0</v>
      </c>
      <c r="AB74">
        <f>IF(AND('4 Ope'!D74&gt;Tmin, NOT('4 Ope'!$I74="")),'4 Ope'!$I74,0)</f>
        <v>0</v>
      </c>
      <c r="AC74">
        <f>IF(AND('4 Ope'!E74&gt;Tmin, NOT('4 Ope'!$I74="")),'4 Ope'!$I74,0)</f>
        <v>0</v>
      </c>
      <c r="AD74">
        <f>IF(AND('4 Ope'!F74&gt;Tmin, NOT('4 Ope'!$I74="")),'4 Ope'!$I74,0)</f>
        <v>0</v>
      </c>
      <c r="AE74">
        <f>IF(AND('4 Ope'!C74&lt;Tmax, NOT('4 Ope'!$H74="")),'4 Ope'!$H74,4)</f>
        <v>4</v>
      </c>
      <c r="AF74">
        <f>IF(AND('4 Ope'!D74&lt;Tmax, NOT('4 Ope'!$H74="")),'4 Ope'!$H74,4)</f>
        <v>4</v>
      </c>
      <c r="AG74">
        <f>IF(AND('4 Ope'!E74&lt;Tmax, NOT('4 Ope'!$H74="")),'4 Ope'!$H74,4)</f>
        <v>4</v>
      </c>
      <c r="AH74">
        <f>IF(AND('4 Ope'!F74&lt;Tmax, NOT('4 Ope'!$H74="")),'4 Ope'!$H74,4)</f>
        <v>4</v>
      </c>
      <c r="AI74"/>
      <c r="AJ74" s="234"/>
      <c r="AK74" s="234"/>
      <c r="AL74" s="234"/>
      <c r="AM74" s="234"/>
      <c r="AN74" s="234"/>
      <c r="AO74" s="234"/>
      <c r="AP74" s="234"/>
      <c r="AQ74" s="234"/>
      <c r="AR74" s="234"/>
      <c r="AS74" s="234"/>
      <c r="AT74" s="234"/>
    </row>
    <row r="75" spans="1:77" s="34" customFormat="1" x14ac:dyDescent="0.25">
      <c r="A75" s="128" t="s">
        <v>745</v>
      </c>
      <c r="B75" s="128" t="s">
        <v>746</v>
      </c>
      <c r="C75" s="136"/>
      <c r="D75" s="136"/>
      <c r="E75" s="136"/>
      <c r="F75" s="136"/>
      <c r="G75" s="133"/>
      <c r="H75" s="133"/>
      <c r="I75" s="133"/>
      <c r="J75" s="133"/>
      <c r="K75" s="234"/>
      <c r="L75" s="234"/>
      <c r="M75" s="234"/>
      <c r="N75" s="234"/>
      <c r="O75" s="234"/>
      <c r="P75" s="234"/>
      <c r="Q75" s="234"/>
      <c r="R75" s="234"/>
      <c r="S75" s="234"/>
      <c r="T75" s="234"/>
      <c r="U75" s="234"/>
      <c r="V75" s="234"/>
      <c r="W75" s="234"/>
      <c r="X75" s="234"/>
      <c r="Y75" s="234"/>
      <c r="Z75"/>
      <c r="AA75"/>
      <c r="AB75"/>
      <c r="AC75"/>
      <c r="AD75"/>
      <c r="AE75"/>
      <c r="AF75"/>
      <c r="AG75"/>
      <c r="AH75"/>
      <c r="AI75"/>
      <c r="AJ75" s="234"/>
      <c r="AK75" s="234"/>
      <c r="AL75" s="234"/>
      <c r="AM75" s="234"/>
      <c r="AN75" s="234"/>
      <c r="AO75" s="234"/>
      <c r="AP75" s="234"/>
      <c r="AQ75" s="234"/>
      <c r="AR75" s="234"/>
      <c r="AS75" s="234"/>
      <c r="AT75" s="234"/>
    </row>
    <row r="76" spans="1:77" s="34" customFormat="1" ht="30.6" x14ac:dyDescent="0.25">
      <c r="A76" s="128" t="s">
        <v>1009</v>
      </c>
      <c r="B76" s="128" t="s">
        <v>7317</v>
      </c>
      <c r="C76" s="136"/>
      <c r="D76" s="136"/>
      <c r="E76" s="136"/>
      <c r="F76" s="136"/>
      <c r="G76" s="133">
        <v>2</v>
      </c>
      <c r="H76" s="133"/>
      <c r="I76" s="133"/>
      <c r="J76" s="133" t="s">
        <v>7155</v>
      </c>
      <c r="K76" s="234"/>
      <c r="L76" s="234"/>
      <c r="M76" s="234"/>
      <c r="N76" s="234"/>
      <c r="O76" s="234"/>
      <c r="P76" s="234"/>
      <c r="Q76" s="234"/>
      <c r="R76" s="234"/>
      <c r="S76" s="234"/>
      <c r="T76" s="234"/>
      <c r="U76" s="234"/>
      <c r="V76" s="234"/>
      <c r="W76" s="234"/>
      <c r="X76" s="234"/>
      <c r="Y76" s="234"/>
      <c r="Z76">
        <f>IF(AND('4 Ope'!C76&gt;Tmin, NOT('4 Ope'!$I76="")),'4 Ope'!$I76,0)</f>
        <v>0</v>
      </c>
      <c r="AA76">
        <f>IF(AND('4 Ope'!C76&gt;Tmin, NOT('4 Ope'!$I76="")),'4 Ope'!$I76,0)</f>
        <v>0</v>
      </c>
      <c r="AB76">
        <f>IF(AND('4 Ope'!D76&gt;Tmin, NOT('4 Ope'!$I76="")),'4 Ope'!$I76,0)</f>
        <v>0</v>
      </c>
      <c r="AC76">
        <f>IF(AND('4 Ope'!E76&gt;Tmin, NOT('4 Ope'!$I76="")),'4 Ope'!$I76,0)</f>
        <v>0</v>
      </c>
      <c r="AD76">
        <f>IF(AND('4 Ope'!F76&gt;Tmin, NOT('4 Ope'!$I76="")),'4 Ope'!$I76,0)</f>
        <v>0</v>
      </c>
      <c r="AE76">
        <f>IF(AND('4 Ope'!C76&lt;Tmax, NOT('4 Ope'!$H76="")),'4 Ope'!$H76,4)</f>
        <v>4</v>
      </c>
      <c r="AF76">
        <f>IF(AND('4 Ope'!D76&lt;Tmax, NOT('4 Ope'!$H76="")),'4 Ope'!$H76,4)</f>
        <v>4</v>
      </c>
      <c r="AG76">
        <f>IF(AND('4 Ope'!E76&lt;Tmax, NOT('4 Ope'!$H76="")),'4 Ope'!$H76,4)</f>
        <v>4</v>
      </c>
      <c r="AH76">
        <f>IF(AND('4 Ope'!F76&lt;Tmax, NOT('4 Ope'!$H76="")),'4 Ope'!$H76,4)</f>
        <v>4</v>
      </c>
      <c r="AI76"/>
      <c r="AJ76" s="234"/>
      <c r="AK76" s="234"/>
      <c r="AL76" s="234"/>
      <c r="AM76" s="234"/>
      <c r="AN76" s="234"/>
      <c r="AO76" s="234"/>
      <c r="AP76" s="234"/>
      <c r="AQ76" s="234"/>
      <c r="AR76" s="234"/>
      <c r="AS76" s="234"/>
      <c r="AT76" s="234"/>
    </row>
    <row r="77" spans="1:77" s="34" customFormat="1" ht="20.399999999999999" x14ac:dyDescent="0.25">
      <c r="A77" s="128" t="s">
        <v>1010</v>
      </c>
      <c r="B77" s="128" t="s">
        <v>7318</v>
      </c>
      <c r="C77" s="136"/>
      <c r="D77" s="136"/>
      <c r="E77" s="136"/>
      <c r="F77" s="136"/>
      <c r="G77" s="133">
        <v>2</v>
      </c>
      <c r="H77" s="133"/>
      <c r="I77" s="133"/>
      <c r="J77" s="133" t="s">
        <v>7155</v>
      </c>
      <c r="K77" s="234"/>
      <c r="L77" s="234"/>
      <c r="M77" s="234"/>
      <c r="N77" s="234"/>
      <c r="O77" s="234"/>
      <c r="P77" s="234"/>
      <c r="Q77" s="234"/>
      <c r="R77" s="234"/>
      <c r="S77" s="234"/>
      <c r="T77" s="234"/>
      <c r="U77" s="234"/>
      <c r="V77" s="234"/>
      <c r="W77" s="234"/>
      <c r="X77" s="234"/>
      <c r="Y77" s="234"/>
      <c r="Z77">
        <f>IF(AND('4 Ope'!C77&gt;Tmin, NOT('4 Ope'!$I77="")),'4 Ope'!$I77,0)</f>
        <v>0</v>
      </c>
      <c r="AA77">
        <f>IF(AND('4 Ope'!C77&gt;Tmin, NOT('4 Ope'!$I77="")),'4 Ope'!$I77,0)</f>
        <v>0</v>
      </c>
      <c r="AB77">
        <f>IF(AND('4 Ope'!D77&gt;Tmin, NOT('4 Ope'!$I77="")),'4 Ope'!$I77,0)</f>
        <v>0</v>
      </c>
      <c r="AC77">
        <f>IF(AND('4 Ope'!E77&gt;Tmin, NOT('4 Ope'!$I77="")),'4 Ope'!$I77,0)</f>
        <v>0</v>
      </c>
      <c r="AD77">
        <f>IF(AND('4 Ope'!F77&gt;Tmin, NOT('4 Ope'!$I77="")),'4 Ope'!$I77,0)</f>
        <v>0</v>
      </c>
      <c r="AE77">
        <f>IF(AND('4 Ope'!C77&lt;Tmax, NOT('4 Ope'!$H77="")),'4 Ope'!$H77,4)</f>
        <v>4</v>
      </c>
      <c r="AF77">
        <f>IF(AND('4 Ope'!D77&lt;Tmax, NOT('4 Ope'!$H77="")),'4 Ope'!$H77,4)</f>
        <v>4</v>
      </c>
      <c r="AG77">
        <f>IF(AND('4 Ope'!E77&lt;Tmax, NOT('4 Ope'!$H77="")),'4 Ope'!$H77,4)</f>
        <v>4</v>
      </c>
      <c r="AH77">
        <f>IF(AND('4 Ope'!F77&lt;Tmax, NOT('4 Ope'!$H77="")),'4 Ope'!$H77,4)</f>
        <v>4</v>
      </c>
      <c r="AI77"/>
      <c r="AJ77" s="234"/>
      <c r="AK77" s="234"/>
      <c r="AL77" s="234"/>
      <c r="AM77" s="234"/>
      <c r="AN77" s="234"/>
      <c r="AO77" s="234"/>
      <c r="AP77" s="234"/>
      <c r="AQ77" s="234"/>
      <c r="AR77" s="234"/>
      <c r="AS77" s="234"/>
      <c r="AT77" s="234"/>
    </row>
    <row r="78" spans="1:77" s="34" customFormat="1" x14ac:dyDescent="0.25">
      <c r="A78" s="128" t="s">
        <v>747</v>
      </c>
      <c r="B78" s="128" t="s">
        <v>6764</v>
      </c>
      <c r="C78" s="136"/>
      <c r="D78" s="136"/>
      <c r="E78" s="136"/>
      <c r="F78" s="136"/>
      <c r="G78" s="133"/>
      <c r="H78" s="133"/>
      <c r="I78" s="133"/>
      <c r="J78" s="133"/>
      <c r="K78" s="234"/>
      <c r="L78" s="234"/>
      <c r="M78" s="234"/>
      <c r="N78" s="234"/>
      <c r="O78" s="234"/>
      <c r="P78" s="234"/>
      <c r="Q78" s="234"/>
      <c r="R78" s="234"/>
      <c r="S78" s="234"/>
      <c r="T78" s="234"/>
      <c r="U78" s="234"/>
      <c r="V78" s="234"/>
      <c r="W78" s="234"/>
      <c r="X78" s="234"/>
      <c r="Y78" s="234"/>
      <c r="Z78"/>
      <c r="AA78"/>
      <c r="AB78"/>
      <c r="AC78"/>
      <c r="AD78"/>
      <c r="AE78"/>
      <c r="AF78"/>
      <c r="AG78"/>
      <c r="AH78"/>
      <c r="AI78"/>
      <c r="AJ78" s="234"/>
      <c r="AK78" s="234"/>
      <c r="AL78" s="234"/>
      <c r="AM78" s="234"/>
      <c r="AN78" s="234"/>
      <c r="AO78" s="234"/>
      <c r="AP78" s="234"/>
      <c r="AQ78" s="234"/>
      <c r="AR78" s="234"/>
      <c r="AS78" s="234"/>
      <c r="AT78" s="234"/>
    </row>
    <row r="79" spans="1:77" s="34" customFormat="1" ht="30.6" x14ac:dyDescent="0.25">
      <c r="A79" s="128" t="s">
        <v>1011</v>
      </c>
      <c r="B79" s="128" t="s">
        <v>7319</v>
      </c>
      <c r="C79" s="136"/>
      <c r="D79" s="136"/>
      <c r="E79" s="136"/>
      <c r="F79" s="136"/>
      <c r="G79" s="133">
        <v>2</v>
      </c>
      <c r="H79" s="133"/>
      <c r="I79" s="133"/>
      <c r="J79" s="133" t="s">
        <v>7088</v>
      </c>
      <c r="K79" s="234"/>
      <c r="L79" s="234"/>
      <c r="M79" s="234"/>
      <c r="N79" s="234"/>
      <c r="O79" s="234"/>
      <c r="P79" s="234"/>
      <c r="Q79" s="234"/>
      <c r="R79" s="234"/>
      <c r="S79" s="234"/>
      <c r="T79" s="234"/>
      <c r="U79" s="234"/>
      <c r="V79" s="234"/>
      <c r="W79" s="234"/>
      <c r="X79" s="234"/>
      <c r="Y79" s="234"/>
      <c r="Z79">
        <f>IF(AND('4 Ope'!C79&gt;Tmin, NOT('4 Ope'!$I79="")),'4 Ope'!$I79,0)</f>
        <v>0</v>
      </c>
      <c r="AA79">
        <f>IF(AND('4 Ope'!C79&gt;Tmin, NOT('4 Ope'!$I79="")),'4 Ope'!$I79,0)</f>
        <v>0</v>
      </c>
      <c r="AB79">
        <f>IF(AND('4 Ope'!D79&gt;Tmin, NOT('4 Ope'!$I79="")),'4 Ope'!$I79,0)</f>
        <v>0</v>
      </c>
      <c r="AC79">
        <f>IF(AND('4 Ope'!E79&gt;Tmin, NOT('4 Ope'!$I79="")),'4 Ope'!$I79,0)</f>
        <v>0</v>
      </c>
      <c r="AD79">
        <f>IF(AND('4 Ope'!F79&gt;Tmin, NOT('4 Ope'!$I79="")),'4 Ope'!$I79,0)</f>
        <v>0</v>
      </c>
      <c r="AE79">
        <f>IF(AND('4 Ope'!C79&lt;Tmax, NOT('4 Ope'!$H79="")),'4 Ope'!$H79,4)</f>
        <v>4</v>
      </c>
      <c r="AF79">
        <f>IF(AND('4 Ope'!D79&lt;Tmax, NOT('4 Ope'!$H79="")),'4 Ope'!$H79,4)</f>
        <v>4</v>
      </c>
      <c r="AG79">
        <f>IF(AND('4 Ope'!E79&lt;Tmax, NOT('4 Ope'!$H79="")),'4 Ope'!$H79,4)</f>
        <v>4</v>
      </c>
      <c r="AH79">
        <f>IF(AND('4 Ope'!F79&lt;Tmax, NOT('4 Ope'!$H79="")),'4 Ope'!$H79,4)</f>
        <v>4</v>
      </c>
      <c r="AI79"/>
      <c r="AJ79" s="234"/>
      <c r="AK79" s="234"/>
      <c r="AL79" s="234"/>
      <c r="AM79" s="234"/>
      <c r="AN79" s="234"/>
      <c r="AO79" s="234"/>
      <c r="AP79" s="234"/>
      <c r="AQ79" s="234"/>
      <c r="AR79" s="234"/>
      <c r="AS79" s="234"/>
      <c r="AT79" s="234"/>
    </row>
    <row r="80" spans="1:77" s="34" customFormat="1" ht="20.399999999999999" x14ac:dyDescent="0.25">
      <c r="A80" s="128" t="s">
        <v>1012</v>
      </c>
      <c r="B80" s="128" t="s">
        <v>7320</v>
      </c>
      <c r="C80" s="136"/>
      <c r="D80" s="136"/>
      <c r="E80" s="136"/>
      <c r="F80" s="136"/>
      <c r="G80" s="133">
        <v>2</v>
      </c>
      <c r="H80" s="133"/>
      <c r="I80" s="133"/>
      <c r="J80" s="133" t="s">
        <v>7088</v>
      </c>
      <c r="K80" s="234"/>
      <c r="L80" s="234"/>
      <c r="M80" s="234"/>
      <c r="N80" s="234"/>
      <c r="O80" s="234"/>
      <c r="P80" s="234"/>
      <c r="Q80" s="234"/>
      <c r="R80" s="234"/>
      <c r="S80" s="234"/>
      <c r="T80" s="234"/>
      <c r="U80" s="234"/>
      <c r="V80" s="234"/>
      <c r="W80" s="234"/>
      <c r="X80" s="234"/>
      <c r="Y80" s="234"/>
      <c r="Z80">
        <f>IF(AND('4 Ope'!C80&gt;Tmin, NOT('4 Ope'!$I80="")),'4 Ope'!$I80,0)</f>
        <v>0</v>
      </c>
      <c r="AA80">
        <f>IF(AND('4 Ope'!C80&gt;Tmin, NOT('4 Ope'!$I80="")),'4 Ope'!$I80,0)</f>
        <v>0</v>
      </c>
      <c r="AB80">
        <f>IF(AND('4 Ope'!D80&gt;Tmin, NOT('4 Ope'!$I80="")),'4 Ope'!$I80,0)</f>
        <v>0</v>
      </c>
      <c r="AC80">
        <f>IF(AND('4 Ope'!E80&gt;Tmin, NOT('4 Ope'!$I80="")),'4 Ope'!$I80,0)</f>
        <v>0</v>
      </c>
      <c r="AD80">
        <f>IF(AND('4 Ope'!F80&gt;Tmin, NOT('4 Ope'!$I80="")),'4 Ope'!$I80,0)</f>
        <v>0</v>
      </c>
      <c r="AE80">
        <f>IF(AND('4 Ope'!C80&lt;Tmax, NOT('4 Ope'!$H80="")),'4 Ope'!$H80,4)</f>
        <v>4</v>
      </c>
      <c r="AF80">
        <f>IF(AND('4 Ope'!D80&lt;Tmax, NOT('4 Ope'!$H80="")),'4 Ope'!$H80,4)</f>
        <v>4</v>
      </c>
      <c r="AG80">
        <f>IF(AND('4 Ope'!E80&lt;Tmax, NOT('4 Ope'!$H80="")),'4 Ope'!$H80,4)</f>
        <v>4</v>
      </c>
      <c r="AH80">
        <f>IF(AND('4 Ope'!F80&lt;Tmax, NOT('4 Ope'!$H80="")),'4 Ope'!$H80,4)</f>
        <v>4</v>
      </c>
      <c r="AI80"/>
      <c r="AJ80" s="234"/>
      <c r="AK80" s="234"/>
      <c r="AL80" s="234"/>
      <c r="AM80" s="234"/>
      <c r="AN80" s="234"/>
      <c r="AO80" s="234"/>
      <c r="AP80" s="234"/>
      <c r="AQ80" s="234"/>
      <c r="AR80" s="234"/>
      <c r="AS80" s="234"/>
      <c r="AT80" s="234"/>
    </row>
    <row r="81" spans="1:77" s="237" customFormat="1" x14ac:dyDescent="0.25">
      <c r="A81" s="128" t="s">
        <v>626</v>
      </c>
      <c r="B81" s="128" t="s">
        <v>345</v>
      </c>
      <c r="C81" s="136"/>
      <c r="D81" s="136"/>
      <c r="E81" s="136"/>
      <c r="F81" s="136"/>
      <c r="G81" s="133"/>
      <c r="H81" s="133"/>
      <c r="I81" s="133"/>
      <c r="J81" s="133"/>
      <c r="K81" s="236"/>
      <c r="L81" s="236"/>
      <c r="M81" s="236"/>
      <c r="N81" s="236"/>
      <c r="O81" s="236"/>
      <c r="P81" s="236"/>
      <c r="Q81" s="236"/>
      <c r="R81" s="236"/>
      <c r="S81" s="236"/>
      <c r="T81" s="236"/>
      <c r="U81" s="236"/>
      <c r="V81" s="236"/>
      <c r="W81" s="236"/>
      <c r="X81" s="236"/>
      <c r="Y81" s="236"/>
      <c r="Z81"/>
      <c r="AA81"/>
      <c r="AB81"/>
      <c r="AC81"/>
      <c r="AD81"/>
      <c r="AE81"/>
      <c r="AF81"/>
      <c r="AG81"/>
      <c r="AH81"/>
      <c r="AI81"/>
      <c r="AJ81" s="236"/>
      <c r="AK81" s="236"/>
      <c r="AL81" s="236"/>
      <c r="AM81" s="236"/>
      <c r="AN81" s="236"/>
      <c r="AO81" s="236"/>
      <c r="AP81" s="236"/>
      <c r="AQ81" s="236"/>
      <c r="AR81" s="236"/>
      <c r="AS81" s="236"/>
      <c r="AT81" s="236"/>
      <c r="BY81" s="237">
        <f>IF(INDEX(Tab_actions,17,1)=1,INDEX(Tab_actions,17,12),0)</f>
        <v>0</v>
      </c>
    </row>
    <row r="82" spans="1:77" s="237" customFormat="1" ht="30.6" x14ac:dyDescent="0.25">
      <c r="A82" s="128" t="s">
        <v>1013</v>
      </c>
      <c r="B82" s="128" t="s">
        <v>4519</v>
      </c>
      <c r="C82" s="136"/>
      <c r="D82" s="136"/>
      <c r="E82" s="136"/>
      <c r="F82" s="136"/>
      <c r="G82" s="133">
        <v>4</v>
      </c>
      <c r="H82" s="133">
        <v>2</v>
      </c>
      <c r="I82" s="133"/>
      <c r="J82" s="133"/>
      <c r="K82" s="236"/>
      <c r="L82" s="236"/>
      <c r="M82" s="236"/>
      <c r="N82" s="236"/>
      <c r="O82" s="236"/>
      <c r="P82" s="236"/>
      <c r="Q82" s="236"/>
      <c r="R82" s="236"/>
      <c r="S82" s="236"/>
      <c r="T82" s="236"/>
      <c r="U82" s="236"/>
      <c r="V82" s="236"/>
      <c r="W82" s="236"/>
      <c r="X82" s="236"/>
      <c r="Y82" s="236"/>
      <c r="Z82">
        <f>IF(AND('4 Ope'!C82&gt;Tmin, NOT('4 Ope'!$I82="")),'4 Ope'!$I82,0)</f>
        <v>0</v>
      </c>
      <c r="AA82">
        <f>IF(AND('4 Ope'!C82&gt;Tmin, NOT('4 Ope'!$I82="")),'4 Ope'!$I82,0)</f>
        <v>0</v>
      </c>
      <c r="AB82">
        <f>IF(AND('4 Ope'!D82&gt;Tmin, NOT('4 Ope'!$I82="")),'4 Ope'!$I82,0)</f>
        <v>0</v>
      </c>
      <c r="AC82">
        <f>IF(AND('4 Ope'!E82&gt;Tmin, NOT('4 Ope'!$I82="")),'4 Ope'!$I82,0)</f>
        <v>0</v>
      </c>
      <c r="AD82">
        <f>IF(AND('4 Ope'!F82&gt;Tmin, NOT('4 Ope'!$I82="")),'4 Ope'!$I82,0)</f>
        <v>0</v>
      </c>
      <c r="AE82">
        <f>IF(AND('4 Ope'!C82&lt;Tmax, NOT('4 Ope'!$H82="")),'4 Ope'!$H82,4)</f>
        <v>2</v>
      </c>
      <c r="AF82">
        <f>IF(AND('4 Ope'!D82&lt;Tmax, NOT('4 Ope'!$H82="")),'4 Ope'!$H82,4)</f>
        <v>2</v>
      </c>
      <c r="AG82">
        <f>IF(AND('4 Ope'!E82&lt;Tmax, NOT('4 Ope'!$H82="")),'4 Ope'!$H82,4)</f>
        <v>2</v>
      </c>
      <c r="AH82">
        <f>IF(AND('4 Ope'!F82&lt;Tmax, NOT('4 Ope'!$H82="")),'4 Ope'!$H82,4)</f>
        <v>2</v>
      </c>
      <c r="AI82"/>
      <c r="AJ82" s="236"/>
      <c r="AK82" s="236"/>
      <c r="AL82" s="236"/>
      <c r="AM82" s="236"/>
      <c r="AN82" s="236"/>
      <c r="AO82" s="236"/>
      <c r="AP82" s="236"/>
      <c r="AQ82" s="236"/>
      <c r="AR82" s="236"/>
      <c r="AS82" s="236"/>
      <c r="AT82" s="236"/>
    </row>
    <row r="83" spans="1:77" s="237" customFormat="1" ht="20.399999999999999" x14ac:dyDescent="0.25">
      <c r="A83" s="128" t="s">
        <v>1014</v>
      </c>
      <c r="B83" s="128" t="s">
        <v>548</v>
      </c>
      <c r="C83" s="136"/>
      <c r="D83" s="136"/>
      <c r="E83" s="136"/>
      <c r="F83" s="136"/>
      <c r="G83" s="133">
        <v>4</v>
      </c>
      <c r="H83" s="133"/>
      <c r="I83" s="133"/>
      <c r="J83" s="133"/>
      <c r="K83" s="236"/>
      <c r="L83" s="236"/>
      <c r="M83" s="236"/>
      <c r="N83" s="236"/>
      <c r="O83" s="236"/>
      <c r="P83" s="236"/>
      <c r="Q83" s="236"/>
      <c r="R83" s="236"/>
      <c r="S83" s="236"/>
      <c r="T83" s="236"/>
      <c r="U83" s="236"/>
      <c r="V83" s="236"/>
      <c r="W83" s="236"/>
      <c r="X83" s="236"/>
      <c r="Y83" s="236"/>
      <c r="Z83">
        <f>IF(AND('4 Ope'!C83&gt;Tmin, NOT('4 Ope'!$I83="")),'4 Ope'!$I83,0)</f>
        <v>0</v>
      </c>
      <c r="AA83">
        <f>IF(AND('4 Ope'!C83&gt;Tmin, NOT('4 Ope'!$I83="")),'4 Ope'!$I83,0)</f>
        <v>0</v>
      </c>
      <c r="AB83">
        <f>IF(AND('4 Ope'!D83&gt;Tmin, NOT('4 Ope'!$I83="")),'4 Ope'!$I83,0)</f>
        <v>0</v>
      </c>
      <c r="AC83">
        <f>IF(AND('4 Ope'!E83&gt;Tmin, NOT('4 Ope'!$I83="")),'4 Ope'!$I83,0)</f>
        <v>0</v>
      </c>
      <c r="AD83">
        <f>IF(AND('4 Ope'!F83&gt;Tmin, NOT('4 Ope'!$I83="")),'4 Ope'!$I83,0)</f>
        <v>0</v>
      </c>
      <c r="AE83">
        <f>IF(AND('4 Ope'!C83&lt;Tmax, NOT('4 Ope'!$H83="")),'4 Ope'!$H83,4)</f>
        <v>4</v>
      </c>
      <c r="AF83">
        <f>IF(AND('4 Ope'!D83&lt;Tmax, NOT('4 Ope'!$H83="")),'4 Ope'!$H83,4)</f>
        <v>4</v>
      </c>
      <c r="AG83">
        <f>IF(AND('4 Ope'!E83&lt;Tmax, NOT('4 Ope'!$H83="")),'4 Ope'!$H83,4)</f>
        <v>4</v>
      </c>
      <c r="AH83">
        <f>IF(AND('4 Ope'!F83&lt;Tmax, NOT('4 Ope'!$H83="")),'4 Ope'!$H83,4)</f>
        <v>4</v>
      </c>
      <c r="AI83"/>
      <c r="AJ83" s="236"/>
      <c r="AK83" s="236"/>
      <c r="AL83" s="236"/>
      <c r="AM83" s="236"/>
      <c r="AN83" s="236"/>
      <c r="AO83" s="236"/>
      <c r="AP83" s="236"/>
      <c r="AQ83" s="236"/>
      <c r="AR83" s="236"/>
      <c r="AS83" s="236"/>
      <c r="AT83" s="236"/>
    </row>
    <row r="84" spans="1:77" s="237" customFormat="1" ht="20.399999999999999" x14ac:dyDescent="0.25">
      <c r="A84" s="128" t="s">
        <v>1015</v>
      </c>
      <c r="B84" s="128" t="s">
        <v>1016</v>
      </c>
      <c r="C84" s="136"/>
      <c r="D84" s="136"/>
      <c r="E84" s="136"/>
      <c r="F84" s="136"/>
      <c r="G84" s="133">
        <v>2</v>
      </c>
      <c r="H84" s="133">
        <v>2</v>
      </c>
      <c r="I84" s="133"/>
      <c r="J84" s="133"/>
      <c r="K84" s="236"/>
      <c r="L84" s="236"/>
      <c r="M84" s="236"/>
      <c r="N84" s="236"/>
      <c r="O84" s="236"/>
      <c r="P84" s="236"/>
      <c r="Q84" s="236"/>
      <c r="R84" s="236"/>
      <c r="S84" s="236"/>
      <c r="T84" s="236"/>
      <c r="U84" s="236"/>
      <c r="V84" s="236"/>
      <c r="W84" s="236"/>
      <c r="X84" s="236"/>
      <c r="Y84" s="236"/>
      <c r="Z84">
        <f>IF(AND('4 Ope'!C84&gt;Tmin, NOT('4 Ope'!$I84="")),'4 Ope'!$I84,0)</f>
        <v>0</v>
      </c>
      <c r="AA84">
        <f>IF(AND('4 Ope'!C84&gt;Tmin, NOT('4 Ope'!$I84="")),'4 Ope'!$I84,0)</f>
        <v>0</v>
      </c>
      <c r="AB84">
        <f>IF(AND('4 Ope'!D84&gt;Tmin, NOT('4 Ope'!$I84="")),'4 Ope'!$I84,0)</f>
        <v>0</v>
      </c>
      <c r="AC84">
        <f>IF(AND('4 Ope'!E84&gt;Tmin, NOT('4 Ope'!$I84="")),'4 Ope'!$I84,0)</f>
        <v>0</v>
      </c>
      <c r="AD84">
        <f>IF(AND('4 Ope'!F84&gt;Tmin, NOT('4 Ope'!$I84="")),'4 Ope'!$I84,0)</f>
        <v>0</v>
      </c>
      <c r="AE84">
        <f>IF(AND('4 Ope'!C84&lt;Tmax, NOT('4 Ope'!$H84="")),'4 Ope'!$H84,4)</f>
        <v>2</v>
      </c>
      <c r="AF84">
        <f>IF(AND('4 Ope'!D84&lt;Tmax, NOT('4 Ope'!$H84="")),'4 Ope'!$H84,4)</f>
        <v>2</v>
      </c>
      <c r="AG84">
        <f>IF(AND('4 Ope'!E84&lt;Tmax, NOT('4 Ope'!$H84="")),'4 Ope'!$H84,4)</f>
        <v>2</v>
      </c>
      <c r="AH84">
        <f>IF(AND('4 Ope'!F84&lt;Tmax, NOT('4 Ope'!$H84="")),'4 Ope'!$H84,4)</f>
        <v>2</v>
      </c>
      <c r="AI84"/>
      <c r="AJ84" s="236"/>
      <c r="AK84" s="236"/>
      <c r="AL84" s="236"/>
      <c r="AM84" s="236"/>
      <c r="AN84" s="236"/>
      <c r="AO84" s="236"/>
      <c r="AP84" s="236"/>
      <c r="AQ84" s="236"/>
      <c r="AR84" s="236"/>
      <c r="AS84" s="236"/>
      <c r="AT84" s="236"/>
    </row>
    <row r="85" spans="1:77" s="34" customFormat="1" ht="20.399999999999999" x14ac:dyDescent="0.25">
      <c r="A85" s="128" t="s">
        <v>1017</v>
      </c>
      <c r="B85" s="128" t="s">
        <v>351</v>
      </c>
      <c r="C85" s="136"/>
      <c r="D85" s="136"/>
      <c r="E85" s="136"/>
      <c r="F85" s="136"/>
      <c r="G85" s="133">
        <v>2</v>
      </c>
      <c r="H85" s="133">
        <v>3</v>
      </c>
      <c r="I85" s="133"/>
      <c r="J85" s="133"/>
      <c r="K85" s="234"/>
      <c r="L85" s="234"/>
      <c r="M85" s="234"/>
      <c r="N85" s="234"/>
      <c r="O85" s="234"/>
      <c r="P85" s="234"/>
      <c r="Q85" s="234"/>
      <c r="R85" s="234"/>
      <c r="S85" s="234"/>
      <c r="T85" s="234"/>
      <c r="U85" s="234"/>
      <c r="V85" s="234"/>
      <c r="W85" s="234"/>
      <c r="X85" s="234"/>
      <c r="Y85" s="234"/>
      <c r="Z85">
        <f>IF(AND('4 Ope'!C85&gt;Tmin, NOT('4 Ope'!$I85="")),'4 Ope'!$I85,0)</f>
        <v>0</v>
      </c>
      <c r="AA85">
        <f>IF(AND('4 Ope'!C85&gt;Tmin, NOT('4 Ope'!$I85="")),'4 Ope'!$I85,0)</f>
        <v>0</v>
      </c>
      <c r="AB85">
        <f>IF(AND('4 Ope'!D85&gt;Tmin, NOT('4 Ope'!$I85="")),'4 Ope'!$I85,0)</f>
        <v>0</v>
      </c>
      <c r="AC85">
        <f>IF(AND('4 Ope'!E85&gt;Tmin, NOT('4 Ope'!$I85="")),'4 Ope'!$I85,0)</f>
        <v>0</v>
      </c>
      <c r="AD85">
        <f>IF(AND('4 Ope'!F85&gt;Tmin, NOT('4 Ope'!$I85="")),'4 Ope'!$I85,0)</f>
        <v>0</v>
      </c>
      <c r="AE85">
        <f>IF(AND('4 Ope'!C85&lt;Tmax, NOT('4 Ope'!$H85="")),'4 Ope'!$H85,4)</f>
        <v>3</v>
      </c>
      <c r="AF85">
        <f>IF(AND('4 Ope'!D85&lt;Tmax, NOT('4 Ope'!$H85="")),'4 Ope'!$H85,4)</f>
        <v>3</v>
      </c>
      <c r="AG85">
        <f>IF(AND('4 Ope'!E85&lt;Tmax, NOT('4 Ope'!$H85="")),'4 Ope'!$H85,4)</f>
        <v>3</v>
      </c>
      <c r="AH85">
        <f>IF(AND('4 Ope'!F85&lt;Tmax, NOT('4 Ope'!$H85="")),'4 Ope'!$H85,4)</f>
        <v>3</v>
      </c>
      <c r="AI85"/>
      <c r="AJ85" s="234"/>
      <c r="AK85" s="234"/>
      <c r="AL85" s="234"/>
      <c r="AM85" s="234"/>
      <c r="AN85" s="234"/>
      <c r="AO85" s="234"/>
      <c r="AP85" s="234"/>
      <c r="AQ85" s="234"/>
      <c r="AR85" s="234"/>
      <c r="AS85" s="234"/>
      <c r="AT85" s="234"/>
    </row>
    <row r="86" spans="1:77" s="34" customFormat="1" x14ac:dyDescent="0.25">
      <c r="A86" s="128" t="s">
        <v>1018</v>
      </c>
      <c r="B86" s="128" t="s">
        <v>549</v>
      </c>
      <c r="C86" s="136"/>
      <c r="D86" s="136"/>
      <c r="E86" s="136"/>
      <c r="F86" s="136"/>
      <c r="G86" s="133">
        <v>2</v>
      </c>
      <c r="H86" s="133">
        <v>3</v>
      </c>
      <c r="I86" s="133"/>
      <c r="J86" s="133"/>
      <c r="K86" s="234"/>
      <c r="L86" s="234"/>
      <c r="M86" s="234"/>
      <c r="N86" s="234"/>
      <c r="O86" s="234"/>
      <c r="P86" s="234"/>
      <c r="Q86" s="234"/>
      <c r="R86" s="234"/>
      <c r="S86" s="234"/>
      <c r="T86" s="234"/>
      <c r="U86" s="234"/>
      <c r="V86" s="234"/>
      <c r="W86" s="234"/>
      <c r="X86" s="234"/>
      <c r="Y86" s="234"/>
      <c r="Z86">
        <f>IF(AND('4 Ope'!C86&gt;Tmin, NOT('4 Ope'!$I86="")),'4 Ope'!$I86,0)</f>
        <v>0</v>
      </c>
      <c r="AA86">
        <f>IF(AND('4 Ope'!C86&gt;Tmin, NOT('4 Ope'!$I86="")),'4 Ope'!$I86,0)</f>
        <v>0</v>
      </c>
      <c r="AB86">
        <f>IF(AND('4 Ope'!D86&gt;Tmin, NOT('4 Ope'!$I86="")),'4 Ope'!$I86,0)</f>
        <v>0</v>
      </c>
      <c r="AC86">
        <f>IF(AND('4 Ope'!E86&gt;Tmin, NOT('4 Ope'!$I86="")),'4 Ope'!$I86,0)</f>
        <v>0</v>
      </c>
      <c r="AD86">
        <f>IF(AND('4 Ope'!F86&gt;Tmin, NOT('4 Ope'!$I86="")),'4 Ope'!$I86,0)</f>
        <v>0</v>
      </c>
      <c r="AE86">
        <f>IF(AND('4 Ope'!C86&lt;Tmax, NOT('4 Ope'!$H86="")),'4 Ope'!$H86,4)</f>
        <v>3</v>
      </c>
      <c r="AF86">
        <f>IF(AND('4 Ope'!D86&lt;Tmax, NOT('4 Ope'!$H86="")),'4 Ope'!$H86,4)</f>
        <v>3</v>
      </c>
      <c r="AG86">
        <f>IF(AND('4 Ope'!E86&lt;Tmax, NOT('4 Ope'!$H86="")),'4 Ope'!$H86,4)</f>
        <v>3</v>
      </c>
      <c r="AH86">
        <f>IF(AND('4 Ope'!F86&lt;Tmax, NOT('4 Ope'!$H86="")),'4 Ope'!$H86,4)</f>
        <v>3</v>
      </c>
      <c r="AI86"/>
      <c r="AJ86" s="234"/>
      <c r="AK86" s="234"/>
      <c r="AL86" s="234"/>
      <c r="AM86" s="234"/>
      <c r="AN86" s="234"/>
      <c r="AO86" s="234"/>
      <c r="AP86" s="234"/>
      <c r="AQ86" s="234"/>
      <c r="AR86" s="234"/>
      <c r="AS86" s="234"/>
      <c r="AT86" s="234"/>
    </row>
    <row r="87" spans="1:77" s="34" customFormat="1" x14ac:dyDescent="0.25">
      <c r="A87" s="128" t="s">
        <v>624</v>
      </c>
      <c r="B87" s="128" t="s">
        <v>3235</v>
      </c>
      <c r="C87" s="136"/>
      <c r="D87" s="136"/>
      <c r="E87" s="136"/>
      <c r="F87" s="136"/>
      <c r="G87" s="133"/>
      <c r="H87" s="133"/>
      <c r="I87" s="133"/>
      <c r="J87" s="133"/>
      <c r="K87" s="234"/>
      <c r="L87" s="234"/>
      <c r="M87" s="234"/>
      <c r="N87" s="234"/>
      <c r="O87" s="234"/>
      <c r="P87" s="234"/>
      <c r="Q87" s="234"/>
      <c r="R87" s="234"/>
      <c r="S87" s="234"/>
      <c r="T87" s="234"/>
      <c r="U87" s="234"/>
      <c r="V87" s="234"/>
      <c r="W87" s="234"/>
      <c r="X87" s="234"/>
      <c r="Y87" s="234"/>
      <c r="Z87"/>
      <c r="AA87"/>
      <c r="AB87"/>
      <c r="AC87"/>
      <c r="AD87"/>
      <c r="AE87"/>
      <c r="AF87"/>
      <c r="AG87"/>
      <c r="AH87"/>
      <c r="AI87"/>
      <c r="AJ87" s="234"/>
      <c r="AK87" s="234"/>
      <c r="AL87" s="234"/>
      <c r="AM87" s="234"/>
      <c r="AN87" s="234"/>
      <c r="AO87" s="234"/>
      <c r="AP87" s="234"/>
      <c r="AQ87" s="234"/>
      <c r="AR87" s="234"/>
      <c r="AS87" s="234"/>
      <c r="AT87" s="234"/>
    </row>
    <row r="88" spans="1:77" s="34" customFormat="1" ht="20.399999999999999" x14ac:dyDescent="0.25">
      <c r="A88" s="128" t="s">
        <v>1019</v>
      </c>
      <c r="B88" s="128" t="s">
        <v>187</v>
      </c>
      <c r="C88" s="136"/>
      <c r="D88" s="136"/>
      <c r="E88" s="136"/>
      <c r="F88" s="136"/>
      <c r="G88" s="133">
        <v>4</v>
      </c>
      <c r="H88" s="133"/>
      <c r="I88" s="133"/>
      <c r="J88" s="133" t="s">
        <v>7120</v>
      </c>
      <c r="K88" s="234"/>
      <c r="L88" s="234"/>
      <c r="M88" s="234"/>
      <c r="N88" s="234"/>
      <c r="O88" s="234"/>
      <c r="P88" s="234"/>
      <c r="Q88" s="234"/>
      <c r="R88" s="234"/>
      <c r="S88" s="234"/>
      <c r="T88" s="234"/>
      <c r="U88" s="234"/>
      <c r="V88" s="234"/>
      <c r="W88" s="234"/>
      <c r="X88" s="234"/>
      <c r="Y88" s="234"/>
      <c r="Z88">
        <f>IF(AND('4 Ope'!C88&gt;Tmin, NOT('4 Ope'!$I88="")),'4 Ope'!$I88,0)</f>
        <v>0</v>
      </c>
      <c r="AA88">
        <f>IF(AND('4 Ope'!C88&gt;Tmin, NOT('4 Ope'!$I88="")),'4 Ope'!$I88,0)</f>
        <v>0</v>
      </c>
      <c r="AB88">
        <f>IF(AND('4 Ope'!D88&gt;Tmin, NOT('4 Ope'!$I88="")),'4 Ope'!$I88,0)</f>
        <v>0</v>
      </c>
      <c r="AC88">
        <f>IF(AND('4 Ope'!E88&gt;Tmin, NOT('4 Ope'!$I88="")),'4 Ope'!$I88,0)</f>
        <v>0</v>
      </c>
      <c r="AD88">
        <f>IF(AND('4 Ope'!F88&gt;Tmin, NOT('4 Ope'!$I88="")),'4 Ope'!$I88,0)</f>
        <v>0</v>
      </c>
      <c r="AE88">
        <f>IF(AND('4 Ope'!C88&lt;Tmax, NOT('4 Ope'!$H88="")),'4 Ope'!$H88,4)</f>
        <v>4</v>
      </c>
      <c r="AF88">
        <f>IF(AND('4 Ope'!D88&lt;Tmax, NOT('4 Ope'!$H88="")),'4 Ope'!$H88,4)</f>
        <v>4</v>
      </c>
      <c r="AG88">
        <f>IF(AND('4 Ope'!E88&lt;Tmax, NOT('4 Ope'!$H88="")),'4 Ope'!$H88,4)</f>
        <v>4</v>
      </c>
      <c r="AH88">
        <f>IF(AND('4 Ope'!F88&lt;Tmax, NOT('4 Ope'!$H88="")),'4 Ope'!$H88,4)</f>
        <v>4</v>
      </c>
      <c r="AI88"/>
      <c r="AJ88" s="234"/>
      <c r="AK88" s="234"/>
      <c r="AL88" s="234"/>
      <c r="AM88" s="234"/>
      <c r="AN88" s="234"/>
      <c r="AO88" s="234"/>
      <c r="AP88" s="234"/>
      <c r="AQ88" s="234"/>
      <c r="AR88" s="234"/>
      <c r="AS88" s="234"/>
      <c r="AT88" s="234"/>
    </row>
    <row r="89" spans="1:77" s="34" customFormat="1" ht="20.399999999999999" x14ac:dyDescent="0.25">
      <c r="A89" s="128" t="s">
        <v>1020</v>
      </c>
      <c r="B89" s="128" t="s">
        <v>188</v>
      </c>
      <c r="C89" s="136"/>
      <c r="D89" s="136"/>
      <c r="E89" s="136"/>
      <c r="F89" s="136"/>
      <c r="G89" s="133">
        <v>4</v>
      </c>
      <c r="H89" s="133"/>
      <c r="I89" s="133"/>
      <c r="J89" s="133" t="s">
        <v>7120</v>
      </c>
      <c r="K89" s="234"/>
      <c r="L89" s="234"/>
      <c r="M89" s="234"/>
      <c r="N89" s="234"/>
      <c r="O89" s="234"/>
      <c r="P89" s="234"/>
      <c r="Q89" s="234"/>
      <c r="R89" s="234"/>
      <c r="S89" s="234"/>
      <c r="T89" s="234"/>
      <c r="U89" s="234"/>
      <c r="V89" s="234"/>
      <c r="W89" s="234"/>
      <c r="X89" s="234"/>
      <c r="Y89" s="234"/>
      <c r="Z89">
        <f>IF(AND('4 Ope'!C89&gt;Tmin, NOT('4 Ope'!$I89="")),'4 Ope'!$I89,0)</f>
        <v>0</v>
      </c>
      <c r="AA89">
        <f>IF(AND('4 Ope'!C89&gt;Tmin, NOT('4 Ope'!$I89="")),'4 Ope'!$I89,0)</f>
        <v>0</v>
      </c>
      <c r="AB89">
        <f>IF(AND('4 Ope'!D89&gt;Tmin, NOT('4 Ope'!$I89="")),'4 Ope'!$I89,0)</f>
        <v>0</v>
      </c>
      <c r="AC89">
        <f>IF(AND('4 Ope'!E89&gt;Tmin, NOT('4 Ope'!$I89="")),'4 Ope'!$I89,0)</f>
        <v>0</v>
      </c>
      <c r="AD89">
        <f>IF(AND('4 Ope'!F89&gt;Tmin, NOT('4 Ope'!$I89="")),'4 Ope'!$I89,0)</f>
        <v>0</v>
      </c>
      <c r="AE89">
        <f>IF(AND('4 Ope'!C89&lt;Tmax, NOT('4 Ope'!$H89="")),'4 Ope'!$H89,4)</f>
        <v>4</v>
      </c>
      <c r="AF89">
        <f>IF(AND('4 Ope'!D89&lt;Tmax, NOT('4 Ope'!$H89="")),'4 Ope'!$H89,4)</f>
        <v>4</v>
      </c>
      <c r="AG89">
        <f>IF(AND('4 Ope'!E89&lt;Tmax, NOT('4 Ope'!$H89="")),'4 Ope'!$H89,4)</f>
        <v>4</v>
      </c>
      <c r="AH89">
        <f>IF(AND('4 Ope'!F89&lt;Tmax, NOT('4 Ope'!$H89="")),'4 Ope'!$H89,4)</f>
        <v>4</v>
      </c>
      <c r="AI89"/>
      <c r="AJ89" s="234"/>
      <c r="AK89" s="234"/>
      <c r="AL89" s="234"/>
      <c r="AM89" s="234"/>
      <c r="AN89" s="234"/>
      <c r="AO89" s="234"/>
      <c r="AP89" s="234"/>
      <c r="AQ89" s="234"/>
      <c r="AR89" s="234"/>
      <c r="AS89" s="234"/>
      <c r="AT89" s="234"/>
    </row>
    <row r="90" spans="1:77" s="34" customFormat="1" ht="20.399999999999999" x14ac:dyDescent="0.25">
      <c r="A90" s="128" t="s">
        <v>1021</v>
      </c>
      <c r="B90" s="128" t="s">
        <v>2123</v>
      </c>
      <c r="C90" s="136"/>
      <c r="D90" s="136"/>
      <c r="E90" s="136"/>
      <c r="F90" s="136"/>
      <c r="G90" s="133">
        <v>4</v>
      </c>
      <c r="H90" s="133">
        <v>3</v>
      </c>
      <c r="I90" s="133"/>
      <c r="J90" s="133"/>
      <c r="K90" s="234"/>
      <c r="L90" s="234"/>
      <c r="M90" s="234"/>
      <c r="N90" s="234"/>
      <c r="O90" s="234"/>
      <c r="P90" s="234"/>
      <c r="Q90" s="234"/>
      <c r="R90" s="234"/>
      <c r="S90" s="234"/>
      <c r="T90" s="234"/>
      <c r="U90" s="234"/>
      <c r="V90" s="234"/>
      <c r="W90" s="234"/>
      <c r="X90" s="234"/>
      <c r="Y90" s="234"/>
      <c r="Z90">
        <f>IF(AND('4 Ope'!C90&gt;Tmin, NOT('4 Ope'!$I90="")),'4 Ope'!$I90,0)</f>
        <v>0</v>
      </c>
      <c r="AA90">
        <f>IF(AND('4 Ope'!C90&gt;Tmin, NOT('4 Ope'!$I90="")),'4 Ope'!$I90,0)</f>
        <v>0</v>
      </c>
      <c r="AB90">
        <f>IF(AND('4 Ope'!D90&gt;Tmin, NOT('4 Ope'!$I90="")),'4 Ope'!$I90,0)</f>
        <v>0</v>
      </c>
      <c r="AC90">
        <f>IF(AND('4 Ope'!E90&gt;Tmin, NOT('4 Ope'!$I90="")),'4 Ope'!$I90,0)</f>
        <v>0</v>
      </c>
      <c r="AD90">
        <f>IF(AND('4 Ope'!F90&gt;Tmin, NOT('4 Ope'!$I90="")),'4 Ope'!$I90,0)</f>
        <v>0</v>
      </c>
      <c r="AE90">
        <f>IF(AND('4 Ope'!C90&lt;Tmax, NOT('4 Ope'!$H90="")),'4 Ope'!$H90,4)</f>
        <v>3</v>
      </c>
      <c r="AF90">
        <f>IF(AND('4 Ope'!D90&lt;Tmax, NOT('4 Ope'!$H90="")),'4 Ope'!$H90,4)</f>
        <v>3</v>
      </c>
      <c r="AG90">
        <f>IF(AND('4 Ope'!E90&lt;Tmax, NOT('4 Ope'!$H90="")),'4 Ope'!$H90,4)</f>
        <v>3</v>
      </c>
      <c r="AH90">
        <f>IF(AND('4 Ope'!F90&lt;Tmax, NOT('4 Ope'!$H90="")),'4 Ope'!$H90,4)</f>
        <v>3</v>
      </c>
      <c r="AI90"/>
      <c r="AJ90" s="234"/>
      <c r="AK90" s="234"/>
      <c r="AL90" s="234"/>
      <c r="AM90" s="234"/>
      <c r="AN90" s="234"/>
      <c r="AO90" s="234"/>
      <c r="AP90" s="234"/>
      <c r="AQ90" s="234"/>
      <c r="AR90" s="234"/>
      <c r="AS90" s="234"/>
      <c r="AT90" s="234"/>
    </row>
    <row r="91" spans="1:77" s="240" customFormat="1" ht="20.399999999999999" x14ac:dyDescent="0.25">
      <c r="A91" s="128" t="s">
        <v>1022</v>
      </c>
      <c r="B91" s="128" t="s">
        <v>71</v>
      </c>
      <c r="C91" s="136"/>
      <c r="D91" s="136"/>
      <c r="E91" s="136"/>
      <c r="F91" s="136"/>
      <c r="G91" s="133">
        <v>4</v>
      </c>
      <c r="H91" s="133">
        <v>2</v>
      </c>
      <c r="I91" s="133"/>
      <c r="J91" s="133"/>
      <c r="K91" s="239"/>
      <c r="L91" s="239"/>
      <c r="M91" s="239"/>
      <c r="N91" s="239"/>
      <c r="O91" s="239"/>
      <c r="P91" s="239"/>
      <c r="Q91" s="239"/>
      <c r="R91" s="239"/>
      <c r="S91" s="239"/>
      <c r="T91" s="239"/>
      <c r="U91" s="239"/>
      <c r="V91" s="239"/>
      <c r="W91" s="239"/>
      <c r="X91" s="239"/>
      <c r="Y91" s="239"/>
      <c r="Z91">
        <f>IF(AND('4 Ope'!C91&gt;Tmin, NOT('4 Ope'!$I91="")),'4 Ope'!$I91,0)</f>
        <v>0</v>
      </c>
      <c r="AA91">
        <f>IF(AND('4 Ope'!C91&gt;Tmin, NOT('4 Ope'!$I91="")),'4 Ope'!$I91,0)</f>
        <v>0</v>
      </c>
      <c r="AB91">
        <f>IF(AND('4 Ope'!D91&gt;Tmin, NOT('4 Ope'!$I91="")),'4 Ope'!$I91,0)</f>
        <v>0</v>
      </c>
      <c r="AC91">
        <f>IF(AND('4 Ope'!E91&gt;Tmin, NOT('4 Ope'!$I91="")),'4 Ope'!$I91,0)</f>
        <v>0</v>
      </c>
      <c r="AD91">
        <f>IF(AND('4 Ope'!F91&gt;Tmin, NOT('4 Ope'!$I91="")),'4 Ope'!$I91,0)</f>
        <v>0</v>
      </c>
      <c r="AE91">
        <f>IF(AND('4 Ope'!C91&lt;Tmax, NOT('4 Ope'!$H91="")),'4 Ope'!$H91,4)</f>
        <v>2</v>
      </c>
      <c r="AF91">
        <f>IF(AND('4 Ope'!D91&lt;Tmax, NOT('4 Ope'!$H91="")),'4 Ope'!$H91,4)</f>
        <v>2</v>
      </c>
      <c r="AG91">
        <f>IF(AND('4 Ope'!E91&lt;Tmax, NOT('4 Ope'!$H91="")),'4 Ope'!$H91,4)</f>
        <v>2</v>
      </c>
      <c r="AH91">
        <f>IF(AND('4 Ope'!F91&lt;Tmax, NOT('4 Ope'!$H91="")),'4 Ope'!$H91,4)</f>
        <v>2</v>
      </c>
      <c r="AI91"/>
      <c r="AJ91" s="239"/>
      <c r="AK91" s="239"/>
      <c r="AL91" s="239"/>
      <c r="AM91" s="239"/>
      <c r="AN91" s="239"/>
      <c r="AO91" s="239"/>
      <c r="AP91" s="239"/>
      <c r="AQ91" s="239"/>
      <c r="AR91" s="239"/>
      <c r="AS91" s="239"/>
      <c r="AT91" s="239"/>
    </row>
    <row r="92" spans="1:77" s="240" customFormat="1" ht="20.399999999999999" x14ac:dyDescent="0.25">
      <c r="A92" s="128" t="s">
        <v>1023</v>
      </c>
      <c r="B92" s="128" t="s">
        <v>189</v>
      </c>
      <c r="C92" s="136"/>
      <c r="D92" s="136"/>
      <c r="E92" s="136"/>
      <c r="F92" s="136"/>
      <c r="G92" s="133">
        <v>4</v>
      </c>
      <c r="H92" s="133"/>
      <c r="I92" s="133"/>
      <c r="J92" s="133"/>
      <c r="K92" s="239"/>
      <c r="L92" s="239"/>
      <c r="M92" s="239"/>
      <c r="N92" s="239"/>
      <c r="O92" s="239"/>
      <c r="P92" s="239"/>
      <c r="Q92" s="239"/>
      <c r="R92" s="239"/>
      <c r="S92" s="239"/>
      <c r="T92" s="239"/>
      <c r="U92" s="239"/>
      <c r="V92" s="239"/>
      <c r="W92" s="239"/>
      <c r="X92" s="239"/>
      <c r="Y92" s="239"/>
      <c r="Z92">
        <f>IF(AND('4 Ope'!C92&gt;Tmin, NOT('4 Ope'!$I92="")),'4 Ope'!$I92,0)</f>
        <v>0</v>
      </c>
      <c r="AA92">
        <f>IF(AND('4 Ope'!C92&gt;Tmin, NOT('4 Ope'!$I92="")),'4 Ope'!$I92,0)</f>
        <v>0</v>
      </c>
      <c r="AB92">
        <f>IF(AND('4 Ope'!D92&gt;Tmin, NOT('4 Ope'!$I92="")),'4 Ope'!$I92,0)</f>
        <v>0</v>
      </c>
      <c r="AC92">
        <f>IF(AND('4 Ope'!E92&gt;Tmin, NOT('4 Ope'!$I92="")),'4 Ope'!$I92,0)</f>
        <v>0</v>
      </c>
      <c r="AD92">
        <f>IF(AND('4 Ope'!F92&gt;Tmin, NOT('4 Ope'!$I92="")),'4 Ope'!$I92,0)</f>
        <v>0</v>
      </c>
      <c r="AE92">
        <f>IF(AND('4 Ope'!C92&lt;Tmax, NOT('4 Ope'!$H92="")),'4 Ope'!$H92,4)</f>
        <v>4</v>
      </c>
      <c r="AF92">
        <f>IF(AND('4 Ope'!D92&lt;Tmax, NOT('4 Ope'!$H92="")),'4 Ope'!$H92,4)</f>
        <v>4</v>
      </c>
      <c r="AG92">
        <f>IF(AND('4 Ope'!E92&lt;Tmax, NOT('4 Ope'!$H92="")),'4 Ope'!$H92,4)</f>
        <v>4</v>
      </c>
      <c r="AH92">
        <f>IF(AND('4 Ope'!F92&lt;Tmax, NOT('4 Ope'!$H92="")),'4 Ope'!$H92,4)</f>
        <v>4</v>
      </c>
      <c r="AI92"/>
      <c r="AJ92" s="239"/>
      <c r="AK92" s="239"/>
      <c r="AL92" s="239"/>
      <c r="AM92" s="239"/>
      <c r="AN92" s="239"/>
      <c r="AO92" s="239"/>
      <c r="AP92" s="239"/>
      <c r="AQ92" s="239"/>
      <c r="AR92" s="239"/>
      <c r="AS92" s="239"/>
      <c r="AT92" s="239"/>
    </row>
    <row r="93" spans="1:77" s="240" customFormat="1" ht="20.399999999999999" x14ac:dyDescent="0.25">
      <c r="A93" s="128" t="s">
        <v>1024</v>
      </c>
      <c r="B93" s="128" t="s">
        <v>344</v>
      </c>
      <c r="C93" s="136"/>
      <c r="D93" s="136"/>
      <c r="E93" s="136"/>
      <c r="F93" s="136"/>
      <c r="G93" s="133">
        <v>4</v>
      </c>
      <c r="H93" s="133">
        <v>3</v>
      </c>
      <c r="I93" s="133"/>
      <c r="J93" s="133"/>
      <c r="K93" s="239"/>
      <c r="L93" s="239"/>
      <c r="M93" s="239"/>
      <c r="N93" s="239"/>
      <c r="O93" s="239"/>
      <c r="P93" s="239"/>
      <c r="Q93" s="239"/>
      <c r="R93" s="239"/>
      <c r="S93" s="239"/>
      <c r="T93" s="239"/>
      <c r="U93" s="239"/>
      <c r="V93" s="239"/>
      <c r="W93" s="239"/>
      <c r="X93" s="239"/>
      <c r="Y93" s="239"/>
      <c r="Z93">
        <f>IF(AND('4 Ope'!C93&gt;Tmin, NOT('4 Ope'!$I93="")),'4 Ope'!$I93,0)</f>
        <v>0</v>
      </c>
      <c r="AA93">
        <f>IF(AND('4 Ope'!C93&gt;Tmin, NOT('4 Ope'!$I93="")),'4 Ope'!$I93,0)</f>
        <v>0</v>
      </c>
      <c r="AB93">
        <f>IF(AND('4 Ope'!D93&gt;Tmin, NOT('4 Ope'!$I93="")),'4 Ope'!$I93,0)</f>
        <v>0</v>
      </c>
      <c r="AC93">
        <f>IF(AND('4 Ope'!E93&gt;Tmin, NOT('4 Ope'!$I93="")),'4 Ope'!$I93,0)</f>
        <v>0</v>
      </c>
      <c r="AD93">
        <f>IF(AND('4 Ope'!F93&gt;Tmin, NOT('4 Ope'!$I93="")),'4 Ope'!$I93,0)</f>
        <v>0</v>
      </c>
      <c r="AE93">
        <f>IF(AND('4 Ope'!C93&lt;Tmax, NOT('4 Ope'!$H93="")),'4 Ope'!$H93,4)</f>
        <v>3</v>
      </c>
      <c r="AF93">
        <f>IF(AND('4 Ope'!D93&lt;Tmax, NOT('4 Ope'!$H93="")),'4 Ope'!$H93,4)</f>
        <v>3</v>
      </c>
      <c r="AG93">
        <f>IF(AND('4 Ope'!E93&lt;Tmax, NOT('4 Ope'!$H93="")),'4 Ope'!$H93,4)</f>
        <v>3</v>
      </c>
      <c r="AH93">
        <f>IF(AND('4 Ope'!F93&lt;Tmax, NOT('4 Ope'!$H93="")),'4 Ope'!$H93,4)</f>
        <v>3</v>
      </c>
      <c r="AI93"/>
      <c r="AJ93" s="239"/>
      <c r="AK93" s="239"/>
      <c r="AL93" s="239"/>
      <c r="AM93" s="239"/>
      <c r="AN93" s="239"/>
      <c r="AO93" s="239"/>
      <c r="AP93" s="239"/>
      <c r="AQ93" s="239"/>
      <c r="AR93" s="239"/>
      <c r="AS93" s="239"/>
      <c r="AT93" s="239"/>
    </row>
    <row r="94" spans="1:77" s="240" customFormat="1" x14ac:dyDescent="0.25">
      <c r="A94" s="128" t="s">
        <v>1025</v>
      </c>
      <c r="B94" s="128" t="s">
        <v>1026</v>
      </c>
      <c r="C94" s="136"/>
      <c r="D94" s="136"/>
      <c r="E94" s="136"/>
      <c r="F94" s="136"/>
      <c r="G94" s="133">
        <v>4</v>
      </c>
      <c r="H94" s="133">
        <v>3</v>
      </c>
      <c r="I94" s="133"/>
      <c r="J94" s="133"/>
      <c r="K94" s="239"/>
      <c r="L94" s="239"/>
      <c r="M94" s="239"/>
      <c r="N94" s="239"/>
      <c r="O94" s="239"/>
      <c r="P94" s="239"/>
      <c r="Q94" s="239"/>
      <c r="R94" s="239"/>
      <c r="S94" s="239"/>
      <c r="T94" s="239"/>
      <c r="U94" s="239"/>
      <c r="V94" s="239"/>
      <c r="W94" s="239"/>
      <c r="X94" s="239"/>
      <c r="Y94" s="239"/>
      <c r="Z94">
        <f>IF(AND('4 Ope'!C94&gt;Tmin, NOT('4 Ope'!$I94="")),'4 Ope'!$I94,0)</f>
        <v>0</v>
      </c>
      <c r="AA94">
        <f>IF(AND('4 Ope'!C94&gt;Tmin, NOT('4 Ope'!$I94="")),'4 Ope'!$I94,0)</f>
        <v>0</v>
      </c>
      <c r="AB94">
        <f>IF(AND('4 Ope'!D94&gt;Tmin, NOT('4 Ope'!$I94="")),'4 Ope'!$I94,0)</f>
        <v>0</v>
      </c>
      <c r="AC94">
        <f>IF(AND('4 Ope'!E94&gt;Tmin, NOT('4 Ope'!$I94="")),'4 Ope'!$I94,0)</f>
        <v>0</v>
      </c>
      <c r="AD94">
        <f>IF(AND('4 Ope'!F94&gt;Tmin, NOT('4 Ope'!$I94="")),'4 Ope'!$I94,0)</f>
        <v>0</v>
      </c>
      <c r="AE94">
        <f>IF(AND('4 Ope'!C94&lt;Tmax, NOT('4 Ope'!$H94="")),'4 Ope'!$H94,4)</f>
        <v>3</v>
      </c>
      <c r="AF94">
        <f>IF(AND('4 Ope'!D94&lt;Tmax, NOT('4 Ope'!$H94="")),'4 Ope'!$H94,4)</f>
        <v>3</v>
      </c>
      <c r="AG94">
        <f>IF(AND('4 Ope'!E94&lt;Tmax, NOT('4 Ope'!$H94="")),'4 Ope'!$H94,4)</f>
        <v>3</v>
      </c>
      <c r="AH94">
        <f>IF(AND('4 Ope'!F94&lt;Tmax, NOT('4 Ope'!$H94="")),'4 Ope'!$H94,4)</f>
        <v>3</v>
      </c>
      <c r="AI94"/>
      <c r="AJ94" s="239"/>
      <c r="AK94" s="239"/>
      <c r="AL94" s="239"/>
      <c r="AM94" s="239"/>
      <c r="AN94" s="239"/>
      <c r="AO94" s="239"/>
      <c r="AP94" s="239"/>
      <c r="AQ94" s="239"/>
      <c r="AR94" s="239"/>
      <c r="AS94" s="239"/>
      <c r="AT94" s="239"/>
    </row>
    <row r="95" spans="1:77" s="240" customFormat="1" x14ac:dyDescent="0.25">
      <c r="A95" s="128" t="s">
        <v>1027</v>
      </c>
      <c r="B95" s="128" t="s">
        <v>1028</v>
      </c>
      <c r="C95" s="136"/>
      <c r="D95" s="136"/>
      <c r="E95" s="136"/>
      <c r="F95" s="136"/>
      <c r="G95" s="133">
        <v>2</v>
      </c>
      <c r="H95" s="133"/>
      <c r="I95" s="133"/>
      <c r="J95" s="133"/>
      <c r="K95" s="239"/>
      <c r="L95" s="239"/>
      <c r="M95" s="239"/>
      <c r="N95" s="239"/>
      <c r="O95" s="239"/>
      <c r="P95" s="239"/>
      <c r="Q95" s="239"/>
      <c r="R95" s="239"/>
      <c r="S95" s="239"/>
      <c r="T95" s="239"/>
      <c r="U95" s="239"/>
      <c r="V95" s="239"/>
      <c r="W95" s="239"/>
      <c r="X95" s="239"/>
      <c r="Y95" s="239"/>
      <c r="Z95">
        <f>IF(AND('4 Ope'!C95&gt;Tmin, NOT('4 Ope'!$I95="")),'4 Ope'!$I95,0)</f>
        <v>0</v>
      </c>
      <c r="AA95">
        <f>IF(AND('4 Ope'!C95&gt;Tmin, NOT('4 Ope'!$I95="")),'4 Ope'!$I95,0)</f>
        <v>0</v>
      </c>
      <c r="AB95">
        <f>IF(AND('4 Ope'!D95&gt;Tmin, NOT('4 Ope'!$I95="")),'4 Ope'!$I95,0)</f>
        <v>0</v>
      </c>
      <c r="AC95">
        <f>IF(AND('4 Ope'!E95&gt;Tmin, NOT('4 Ope'!$I95="")),'4 Ope'!$I95,0)</f>
        <v>0</v>
      </c>
      <c r="AD95">
        <f>IF(AND('4 Ope'!F95&gt;Tmin, NOT('4 Ope'!$I95="")),'4 Ope'!$I95,0)</f>
        <v>0</v>
      </c>
      <c r="AE95">
        <f>IF(AND('4 Ope'!C95&lt;Tmax, NOT('4 Ope'!$H95="")),'4 Ope'!$H95,4)</f>
        <v>4</v>
      </c>
      <c r="AF95">
        <f>IF(AND('4 Ope'!D95&lt;Tmax, NOT('4 Ope'!$H95="")),'4 Ope'!$H95,4)</f>
        <v>4</v>
      </c>
      <c r="AG95">
        <f>IF(AND('4 Ope'!E95&lt;Tmax, NOT('4 Ope'!$H95="")),'4 Ope'!$H95,4)</f>
        <v>4</v>
      </c>
      <c r="AH95">
        <f>IF(AND('4 Ope'!F95&lt;Tmax, NOT('4 Ope'!$H95="")),'4 Ope'!$H95,4)</f>
        <v>4</v>
      </c>
      <c r="AI95"/>
      <c r="AJ95" s="239"/>
      <c r="AK95" s="239"/>
      <c r="AL95" s="239"/>
      <c r="AM95" s="239"/>
      <c r="AN95" s="239"/>
      <c r="AO95" s="239"/>
      <c r="AP95" s="239"/>
      <c r="AQ95" s="239"/>
      <c r="AR95" s="239"/>
      <c r="AS95" s="239"/>
      <c r="AT95" s="239"/>
    </row>
    <row r="96" spans="1:77" s="240" customFormat="1" ht="20.399999999999999" x14ac:dyDescent="0.25">
      <c r="A96" s="128" t="s">
        <v>7444</v>
      </c>
      <c r="B96" s="128" t="s">
        <v>7445</v>
      </c>
      <c r="C96" s="136"/>
      <c r="D96" s="136"/>
      <c r="E96" s="136"/>
      <c r="F96" s="136"/>
      <c r="G96" s="133">
        <v>2</v>
      </c>
      <c r="H96" s="133"/>
      <c r="I96" s="133"/>
      <c r="J96" s="133" t="s">
        <v>7120</v>
      </c>
      <c r="K96" s="239"/>
      <c r="L96" s="239"/>
      <c r="M96" s="239"/>
      <c r="N96" s="239"/>
      <c r="O96" s="239"/>
      <c r="P96" s="239"/>
      <c r="Q96" s="239"/>
      <c r="R96" s="239"/>
      <c r="S96" s="239"/>
      <c r="T96" s="239"/>
      <c r="U96" s="239"/>
      <c r="V96" s="239"/>
      <c r="W96" s="239"/>
      <c r="X96" s="239"/>
      <c r="Y96" s="239"/>
      <c r="Z96"/>
      <c r="AA96"/>
      <c r="AB96"/>
      <c r="AC96"/>
      <c r="AD96"/>
      <c r="AE96"/>
      <c r="AF96"/>
      <c r="AG96"/>
      <c r="AH96"/>
      <c r="AI96"/>
      <c r="AJ96" s="239"/>
      <c r="AK96" s="239"/>
      <c r="AL96" s="239"/>
      <c r="AM96" s="239"/>
      <c r="AN96" s="239"/>
      <c r="AO96" s="239"/>
      <c r="AP96" s="239"/>
      <c r="AQ96" s="239"/>
      <c r="AR96" s="239"/>
      <c r="AS96" s="239"/>
      <c r="AT96" s="239"/>
    </row>
    <row r="97" spans="1:46" s="240" customFormat="1" x14ac:dyDescent="0.25">
      <c r="A97" s="128" t="s">
        <v>623</v>
      </c>
      <c r="B97" s="128" t="s">
        <v>1029</v>
      </c>
      <c r="C97" s="136"/>
      <c r="D97" s="136"/>
      <c r="E97" s="136"/>
      <c r="F97" s="136"/>
      <c r="G97" s="133"/>
      <c r="H97" s="133"/>
      <c r="I97" s="133"/>
      <c r="J97" s="133"/>
      <c r="K97" s="239"/>
      <c r="L97" s="239"/>
      <c r="M97" s="239"/>
      <c r="N97" s="239"/>
      <c r="O97" s="239"/>
      <c r="P97" s="239"/>
      <c r="Q97" s="239"/>
      <c r="R97" s="239"/>
      <c r="S97" s="239"/>
      <c r="T97" s="239"/>
      <c r="U97" s="239"/>
      <c r="V97" s="239"/>
      <c r="W97" s="239"/>
      <c r="X97" s="239"/>
      <c r="Y97" s="239"/>
      <c r="Z97"/>
      <c r="AA97"/>
      <c r="AB97"/>
      <c r="AC97"/>
      <c r="AD97"/>
      <c r="AE97"/>
      <c r="AF97"/>
      <c r="AG97"/>
      <c r="AH97"/>
      <c r="AI97"/>
      <c r="AJ97" s="239"/>
      <c r="AK97" s="239"/>
      <c r="AL97" s="239"/>
      <c r="AM97" s="239"/>
      <c r="AN97" s="239"/>
      <c r="AO97" s="239"/>
      <c r="AP97" s="239"/>
      <c r="AQ97" s="239"/>
      <c r="AR97" s="239"/>
      <c r="AS97" s="239"/>
      <c r="AT97" s="239"/>
    </row>
    <row r="98" spans="1:46" s="240" customFormat="1" ht="20.399999999999999" x14ac:dyDescent="0.25">
      <c r="A98" s="128" t="s">
        <v>1030</v>
      </c>
      <c r="B98" s="128" t="s">
        <v>446</v>
      </c>
      <c r="C98" s="136"/>
      <c r="D98" s="136"/>
      <c r="E98" s="136"/>
      <c r="F98" s="136"/>
      <c r="G98" s="133">
        <v>2</v>
      </c>
      <c r="H98" s="133"/>
      <c r="I98" s="133"/>
      <c r="J98" s="133" t="s">
        <v>7118</v>
      </c>
      <c r="K98" s="239"/>
      <c r="L98" s="239"/>
      <c r="M98" s="239"/>
      <c r="N98" s="239"/>
      <c r="O98" s="239"/>
      <c r="P98" s="239"/>
      <c r="Q98" s="239"/>
      <c r="R98" s="239"/>
      <c r="S98" s="239"/>
      <c r="T98" s="239"/>
      <c r="U98" s="239"/>
      <c r="V98" s="239"/>
      <c r="W98" s="239"/>
      <c r="X98" s="239"/>
      <c r="Y98" s="239"/>
      <c r="Z98">
        <f>IF(AND('4 Ope'!C98&gt;Tmin, NOT('4 Ope'!$I98="")),'4 Ope'!$I98,0)</f>
        <v>0</v>
      </c>
      <c r="AA98">
        <f>IF(AND('4 Ope'!C98&gt;Tmin, NOT('4 Ope'!$I98="")),'4 Ope'!$I98,0)</f>
        <v>0</v>
      </c>
      <c r="AB98">
        <f>IF(AND('4 Ope'!D98&gt;Tmin, NOT('4 Ope'!$I98="")),'4 Ope'!$I98,0)</f>
        <v>0</v>
      </c>
      <c r="AC98">
        <f>IF(AND('4 Ope'!E98&gt;Tmin, NOT('4 Ope'!$I98="")),'4 Ope'!$I98,0)</f>
        <v>0</v>
      </c>
      <c r="AD98">
        <f>IF(AND('4 Ope'!F98&gt;Tmin, NOT('4 Ope'!$I98="")),'4 Ope'!$I98,0)</f>
        <v>0</v>
      </c>
      <c r="AE98">
        <f>IF(AND('4 Ope'!C98&lt;Tmax, NOT('4 Ope'!$H98="")),'4 Ope'!$H98,4)</f>
        <v>4</v>
      </c>
      <c r="AF98">
        <f>IF(AND('4 Ope'!D98&lt;Tmax, NOT('4 Ope'!$H98="")),'4 Ope'!$H98,4)</f>
        <v>4</v>
      </c>
      <c r="AG98">
        <f>IF(AND('4 Ope'!E98&lt;Tmax, NOT('4 Ope'!$H98="")),'4 Ope'!$H98,4)</f>
        <v>4</v>
      </c>
      <c r="AH98">
        <f>IF(AND('4 Ope'!F98&lt;Tmax, NOT('4 Ope'!$H98="")),'4 Ope'!$H98,4)</f>
        <v>4</v>
      </c>
      <c r="AI98"/>
      <c r="AJ98" s="239"/>
      <c r="AK98" s="239"/>
      <c r="AL98" s="239"/>
      <c r="AM98" s="239"/>
      <c r="AN98" s="239"/>
      <c r="AO98" s="239"/>
      <c r="AP98" s="239"/>
      <c r="AQ98" s="239"/>
      <c r="AR98" s="239"/>
      <c r="AS98" s="239"/>
      <c r="AT98" s="239"/>
    </row>
    <row r="99" spans="1:46" s="240" customFormat="1" x14ac:dyDescent="0.25">
      <c r="A99" s="128" t="s">
        <v>1031</v>
      </c>
      <c r="B99" s="128" t="s">
        <v>224</v>
      </c>
      <c r="C99" s="136"/>
      <c r="D99" s="136"/>
      <c r="E99" s="136"/>
      <c r="F99" s="136"/>
      <c r="G99" s="133">
        <v>4</v>
      </c>
      <c r="H99" s="133"/>
      <c r="I99" s="133"/>
      <c r="J99" s="133" t="s">
        <v>7118</v>
      </c>
      <c r="K99" s="239"/>
      <c r="L99" s="239"/>
      <c r="M99" s="239"/>
      <c r="N99" s="239"/>
      <c r="O99" s="239"/>
      <c r="P99" s="239"/>
      <c r="Q99" s="239"/>
      <c r="R99" s="239"/>
      <c r="S99" s="239"/>
      <c r="T99" s="239"/>
      <c r="U99" s="239"/>
      <c r="V99" s="239"/>
      <c r="W99" s="239"/>
      <c r="X99" s="239"/>
      <c r="Y99" s="239"/>
      <c r="Z99">
        <f>IF(AND('4 Ope'!C99&gt;Tmin, NOT('4 Ope'!$I99="")),'4 Ope'!$I99,0)</f>
        <v>0</v>
      </c>
      <c r="AA99">
        <f>IF(AND('4 Ope'!C99&gt;Tmin, NOT('4 Ope'!$I99="")),'4 Ope'!$I99,0)</f>
        <v>0</v>
      </c>
      <c r="AB99">
        <f>IF(AND('4 Ope'!D99&gt;Tmin, NOT('4 Ope'!$I99="")),'4 Ope'!$I99,0)</f>
        <v>0</v>
      </c>
      <c r="AC99">
        <f>IF(AND('4 Ope'!E99&gt;Tmin, NOT('4 Ope'!$I99="")),'4 Ope'!$I99,0)</f>
        <v>0</v>
      </c>
      <c r="AD99">
        <f>IF(AND('4 Ope'!F99&gt;Tmin, NOT('4 Ope'!$I99="")),'4 Ope'!$I99,0)</f>
        <v>0</v>
      </c>
      <c r="AE99">
        <f>IF(AND('4 Ope'!C99&lt;Tmax, NOT('4 Ope'!$H99="")),'4 Ope'!$H99,4)</f>
        <v>4</v>
      </c>
      <c r="AF99">
        <f>IF(AND('4 Ope'!D99&lt;Tmax, NOT('4 Ope'!$H99="")),'4 Ope'!$H99,4)</f>
        <v>4</v>
      </c>
      <c r="AG99">
        <f>IF(AND('4 Ope'!E99&lt;Tmax, NOT('4 Ope'!$H99="")),'4 Ope'!$H99,4)</f>
        <v>4</v>
      </c>
      <c r="AH99">
        <f>IF(AND('4 Ope'!F99&lt;Tmax, NOT('4 Ope'!$H99="")),'4 Ope'!$H99,4)</f>
        <v>4</v>
      </c>
      <c r="AI99"/>
      <c r="AJ99" s="239"/>
      <c r="AK99" s="239"/>
      <c r="AL99" s="239"/>
      <c r="AM99" s="239"/>
      <c r="AN99" s="239"/>
      <c r="AO99" s="239"/>
      <c r="AP99" s="239"/>
      <c r="AQ99" s="239"/>
      <c r="AR99" s="239"/>
      <c r="AS99" s="239"/>
      <c r="AT99" s="239"/>
    </row>
    <row r="100" spans="1:46" s="240" customFormat="1" ht="20.399999999999999" x14ac:dyDescent="0.25">
      <c r="A100" s="128" t="s">
        <v>1032</v>
      </c>
      <c r="B100" s="128" t="s">
        <v>2124</v>
      </c>
      <c r="C100" s="136"/>
      <c r="D100" s="136"/>
      <c r="E100" s="136"/>
      <c r="F100" s="136"/>
      <c r="G100" s="133">
        <v>4</v>
      </c>
      <c r="H100" s="133">
        <v>3</v>
      </c>
      <c r="I100" s="133"/>
      <c r="J100" s="133"/>
      <c r="K100" s="239"/>
      <c r="L100" s="239"/>
      <c r="M100" s="239"/>
      <c r="N100" s="239"/>
      <c r="O100" s="239"/>
      <c r="P100" s="239"/>
      <c r="Q100" s="239"/>
      <c r="R100" s="239"/>
      <c r="S100" s="239"/>
      <c r="T100" s="239"/>
      <c r="U100" s="239"/>
      <c r="V100" s="239"/>
      <c r="W100" s="239"/>
      <c r="X100" s="239"/>
      <c r="Y100" s="239"/>
      <c r="Z100">
        <f>IF(AND('4 Ope'!C100&gt;Tmin, NOT('4 Ope'!$I100="")),'4 Ope'!$I100,0)</f>
        <v>0</v>
      </c>
      <c r="AA100">
        <f>IF(AND('4 Ope'!C100&gt;Tmin, NOT('4 Ope'!$I100="")),'4 Ope'!$I100,0)</f>
        <v>0</v>
      </c>
      <c r="AB100">
        <f>IF(AND('4 Ope'!D100&gt;Tmin, NOT('4 Ope'!$I100="")),'4 Ope'!$I100,0)</f>
        <v>0</v>
      </c>
      <c r="AC100">
        <f>IF(AND('4 Ope'!E100&gt;Tmin, NOT('4 Ope'!$I100="")),'4 Ope'!$I100,0)</f>
        <v>0</v>
      </c>
      <c r="AD100">
        <f>IF(AND('4 Ope'!F100&gt;Tmin, NOT('4 Ope'!$I100="")),'4 Ope'!$I100,0)</f>
        <v>0</v>
      </c>
      <c r="AE100">
        <f>IF(AND('4 Ope'!C100&lt;Tmax, NOT('4 Ope'!$H100="")),'4 Ope'!$H100,4)</f>
        <v>3</v>
      </c>
      <c r="AF100">
        <f>IF(AND('4 Ope'!D100&lt;Tmax, NOT('4 Ope'!$H100="")),'4 Ope'!$H100,4)</f>
        <v>3</v>
      </c>
      <c r="AG100">
        <f>IF(AND('4 Ope'!E100&lt;Tmax, NOT('4 Ope'!$H100="")),'4 Ope'!$H100,4)</f>
        <v>3</v>
      </c>
      <c r="AH100">
        <f>IF(AND('4 Ope'!F100&lt;Tmax, NOT('4 Ope'!$H100="")),'4 Ope'!$H100,4)</f>
        <v>3</v>
      </c>
      <c r="AI100"/>
      <c r="AJ100" s="239"/>
      <c r="AK100" s="239"/>
      <c r="AL100" s="239"/>
      <c r="AM100" s="239"/>
      <c r="AN100" s="239"/>
      <c r="AO100" s="239"/>
      <c r="AP100" s="239"/>
      <c r="AQ100" s="239"/>
      <c r="AR100" s="239"/>
      <c r="AS100" s="239"/>
      <c r="AT100" s="239"/>
    </row>
    <row r="101" spans="1:46" s="34" customFormat="1" ht="20.399999999999999" x14ac:dyDescent="0.25">
      <c r="A101" s="128" t="s">
        <v>1034</v>
      </c>
      <c r="B101" s="128" t="s">
        <v>1033</v>
      </c>
      <c r="C101" s="136"/>
      <c r="D101" s="136"/>
      <c r="E101" s="136"/>
      <c r="F101" s="136"/>
      <c r="G101" s="133">
        <v>1</v>
      </c>
      <c r="H101" s="133"/>
      <c r="I101" s="133"/>
      <c r="J101" s="133"/>
      <c r="K101" s="234"/>
      <c r="L101" s="234"/>
      <c r="M101" s="234"/>
      <c r="N101" s="234"/>
      <c r="O101" s="234"/>
      <c r="P101" s="234"/>
      <c r="Q101" s="234"/>
      <c r="R101" s="234"/>
      <c r="S101" s="234"/>
      <c r="T101" s="234"/>
      <c r="U101" s="234"/>
      <c r="V101" s="234"/>
      <c r="W101" s="234"/>
      <c r="X101" s="234"/>
      <c r="Y101" s="234"/>
      <c r="Z101">
        <f>IF(AND('4 Ope'!C101&gt;Tmin, NOT('4 Ope'!$I101="")),'4 Ope'!$I101,0)</f>
        <v>0</v>
      </c>
      <c r="AA101">
        <f>IF(AND('4 Ope'!C101&gt;Tmin, NOT('4 Ope'!$I101="")),'4 Ope'!$I101,0)</f>
        <v>0</v>
      </c>
      <c r="AB101">
        <f>IF(AND('4 Ope'!D101&gt;Tmin, NOT('4 Ope'!$I101="")),'4 Ope'!$I101,0)</f>
        <v>0</v>
      </c>
      <c r="AC101">
        <f>IF(AND('4 Ope'!E101&gt;Tmin, NOT('4 Ope'!$I101="")),'4 Ope'!$I101,0)</f>
        <v>0</v>
      </c>
      <c r="AD101">
        <f>IF(AND('4 Ope'!F101&gt;Tmin, NOT('4 Ope'!$I101="")),'4 Ope'!$I101,0)</f>
        <v>0</v>
      </c>
      <c r="AE101">
        <f>IF(AND('4 Ope'!C101&lt;Tmax, NOT('4 Ope'!$H101="")),'4 Ope'!$H101,4)</f>
        <v>4</v>
      </c>
      <c r="AF101">
        <f>IF(AND('4 Ope'!D101&lt;Tmax, NOT('4 Ope'!$H101="")),'4 Ope'!$H101,4)</f>
        <v>4</v>
      </c>
      <c r="AG101">
        <f>IF(AND('4 Ope'!E101&lt;Tmax, NOT('4 Ope'!$H101="")),'4 Ope'!$H101,4)</f>
        <v>4</v>
      </c>
      <c r="AH101">
        <f>IF(AND('4 Ope'!F101&lt;Tmax, NOT('4 Ope'!$H101="")),'4 Ope'!$H101,4)</f>
        <v>4</v>
      </c>
      <c r="AI101"/>
      <c r="AJ101" s="234"/>
      <c r="AK101" s="234"/>
      <c r="AL101" s="234"/>
      <c r="AM101" s="234"/>
      <c r="AN101" s="234"/>
      <c r="AO101" s="234"/>
      <c r="AP101" s="234"/>
      <c r="AQ101" s="234"/>
      <c r="AR101" s="234"/>
      <c r="AS101" s="234"/>
      <c r="AT101" s="234"/>
    </row>
    <row r="102" spans="1:46" s="34" customFormat="1" ht="20.399999999999999" x14ac:dyDescent="0.25">
      <c r="A102" s="128" t="s">
        <v>1035</v>
      </c>
      <c r="B102" s="128" t="s">
        <v>2125</v>
      </c>
      <c r="C102" s="136"/>
      <c r="D102" s="136"/>
      <c r="E102" s="136"/>
      <c r="F102" s="136"/>
      <c r="G102" s="133">
        <v>4</v>
      </c>
      <c r="H102" s="133"/>
      <c r="I102" s="133"/>
      <c r="J102" s="133"/>
      <c r="K102" s="234"/>
      <c r="L102" s="234"/>
      <c r="M102" s="234"/>
      <c r="N102" s="234"/>
      <c r="O102" s="234"/>
      <c r="P102" s="234"/>
      <c r="Q102" s="234"/>
      <c r="R102" s="234"/>
      <c r="S102" s="234"/>
      <c r="T102" s="234"/>
      <c r="U102" s="234"/>
      <c r="V102" s="234"/>
      <c r="W102" s="234"/>
      <c r="X102" s="234"/>
      <c r="Y102" s="234"/>
      <c r="Z102">
        <f>IF(AND('4 Ope'!C102&gt;Tmin, NOT('4 Ope'!$I102="")),'4 Ope'!$I102,0)</f>
        <v>0</v>
      </c>
      <c r="AA102">
        <f>IF(AND('4 Ope'!C102&gt;Tmin, NOT('4 Ope'!$I102="")),'4 Ope'!$I102,0)</f>
        <v>0</v>
      </c>
      <c r="AB102">
        <f>IF(AND('4 Ope'!D102&gt;Tmin, NOT('4 Ope'!$I102="")),'4 Ope'!$I102,0)</f>
        <v>0</v>
      </c>
      <c r="AC102">
        <f>IF(AND('4 Ope'!E102&gt;Tmin, NOT('4 Ope'!$I102="")),'4 Ope'!$I102,0)</f>
        <v>0</v>
      </c>
      <c r="AD102">
        <f>IF(AND('4 Ope'!F102&gt;Tmin, NOT('4 Ope'!$I102="")),'4 Ope'!$I102,0)</f>
        <v>0</v>
      </c>
      <c r="AE102">
        <f>IF(AND('4 Ope'!C102&lt;Tmax, NOT('4 Ope'!$H102="")),'4 Ope'!$H102,4)</f>
        <v>4</v>
      </c>
      <c r="AF102">
        <f>IF(AND('4 Ope'!D102&lt;Tmax, NOT('4 Ope'!$H102="")),'4 Ope'!$H102,4)</f>
        <v>4</v>
      </c>
      <c r="AG102">
        <f>IF(AND('4 Ope'!E102&lt;Tmax, NOT('4 Ope'!$H102="")),'4 Ope'!$H102,4)</f>
        <v>4</v>
      </c>
      <c r="AH102">
        <f>IF(AND('4 Ope'!F102&lt;Tmax, NOT('4 Ope'!$H102="")),'4 Ope'!$H102,4)</f>
        <v>4</v>
      </c>
      <c r="AI102"/>
      <c r="AJ102" s="234"/>
      <c r="AK102" s="234"/>
      <c r="AL102" s="234"/>
      <c r="AM102" s="234"/>
      <c r="AN102" s="234"/>
      <c r="AO102" s="234"/>
      <c r="AP102" s="234"/>
      <c r="AQ102" s="234"/>
      <c r="AR102" s="234"/>
      <c r="AS102" s="234"/>
      <c r="AT102" s="234"/>
    </row>
    <row r="103" spans="1:46" s="34" customFormat="1" ht="20.399999999999999" x14ac:dyDescent="0.25">
      <c r="A103" s="128" t="s">
        <v>1036</v>
      </c>
      <c r="B103" s="128" t="s">
        <v>2126</v>
      </c>
      <c r="C103" s="136"/>
      <c r="D103" s="136"/>
      <c r="E103" s="136"/>
      <c r="F103" s="136"/>
      <c r="G103" s="133">
        <v>4</v>
      </c>
      <c r="H103" s="133"/>
      <c r="I103" s="133"/>
      <c r="J103" s="133"/>
      <c r="K103" s="234"/>
      <c r="L103" s="234"/>
      <c r="M103" s="234"/>
      <c r="N103" s="234"/>
      <c r="O103" s="234"/>
      <c r="P103" s="234"/>
      <c r="Q103" s="234"/>
      <c r="R103" s="234"/>
      <c r="S103" s="234"/>
      <c r="T103" s="234"/>
      <c r="U103" s="234"/>
      <c r="V103" s="234"/>
      <c r="W103" s="234"/>
      <c r="X103" s="234"/>
      <c r="Y103" s="234"/>
      <c r="Z103">
        <f>IF(AND('4 Ope'!C103&gt;Tmin, NOT('4 Ope'!$I103="")),'4 Ope'!$I103,0)</f>
        <v>0</v>
      </c>
      <c r="AA103">
        <f>IF(AND('4 Ope'!C103&gt;Tmin, NOT('4 Ope'!$I103="")),'4 Ope'!$I103,0)</f>
        <v>0</v>
      </c>
      <c r="AB103">
        <f>IF(AND('4 Ope'!D103&gt;Tmin, NOT('4 Ope'!$I103="")),'4 Ope'!$I103,0)</f>
        <v>0</v>
      </c>
      <c r="AC103">
        <f>IF(AND('4 Ope'!E103&gt;Tmin, NOT('4 Ope'!$I103="")),'4 Ope'!$I103,0)</f>
        <v>0</v>
      </c>
      <c r="AD103">
        <f>IF(AND('4 Ope'!F103&gt;Tmin, NOT('4 Ope'!$I103="")),'4 Ope'!$I103,0)</f>
        <v>0</v>
      </c>
      <c r="AE103">
        <f>IF(AND('4 Ope'!C103&lt;Tmax, NOT('4 Ope'!$H103="")),'4 Ope'!$H103,4)</f>
        <v>4</v>
      </c>
      <c r="AF103">
        <f>IF(AND('4 Ope'!D103&lt;Tmax, NOT('4 Ope'!$H103="")),'4 Ope'!$H103,4)</f>
        <v>4</v>
      </c>
      <c r="AG103">
        <f>IF(AND('4 Ope'!E103&lt;Tmax, NOT('4 Ope'!$H103="")),'4 Ope'!$H103,4)</f>
        <v>4</v>
      </c>
      <c r="AH103">
        <f>IF(AND('4 Ope'!F103&lt;Tmax, NOT('4 Ope'!$H103="")),'4 Ope'!$H103,4)</f>
        <v>4</v>
      </c>
      <c r="AI103"/>
      <c r="AJ103" s="234"/>
      <c r="AK103" s="234"/>
      <c r="AL103" s="234"/>
      <c r="AM103" s="234"/>
      <c r="AN103" s="234"/>
      <c r="AO103" s="234"/>
      <c r="AP103" s="234"/>
      <c r="AQ103" s="234"/>
      <c r="AR103" s="234"/>
      <c r="AS103" s="234"/>
      <c r="AT103" s="234"/>
    </row>
    <row r="104" spans="1:46" s="240" customFormat="1" ht="20.399999999999999" x14ac:dyDescent="0.25">
      <c r="A104" s="128" t="s">
        <v>1037</v>
      </c>
      <c r="B104" s="128" t="s">
        <v>270</v>
      </c>
      <c r="C104" s="136"/>
      <c r="D104" s="136"/>
      <c r="E104" s="136"/>
      <c r="F104" s="136"/>
      <c r="G104" s="133">
        <v>4</v>
      </c>
      <c r="H104" s="133"/>
      <c r="I104" s="133"/>
      <c r="J104" s="133"/>
      <c r="K104" s="239"/>
      <c r="L104" s="239"/>
      <c r="M104" s="239"/>
      <c r="N104" s="239"/>
      <c r="O104" s="239"/>
      <c r="P104" s="239"/>
      <c r="Q104" s="239"/>
      <c r="R104" s="239"/>
      <c r="S104" s="239"/>
      <c r="T104" s="239"/>
      <c r="U104" s="239"/>
      <c r="V104" s="239"/>
      <c r="W104" s="239"/>
      <c r="X104" s="239"/>
      <c r="Y104" s="239"/>
      <c r="Z104">
        <f>IF(AND('4 Ope'!C104&gt;Tmin, NOT('4 Ope'!$I104="")),'4 Ope'!$I104,0)</f>
        <v>0</v>
      </c>
      <c r="AA104">
        <f>IF(AND('4 Ope'!C104&gt;Tmin, NOT('4 Ope'!$I104="")),'4 Ope'!$I104,0)</f>
        <v>0</v>
      </c>
      <c r="AB104">
        <f>IF(AND('4 Ope'!D104&gt;Tmin, NOT('4 Ope'!$I104="")),'4 Ope'!$I104,0)</f>
        <v>0</v>
      </c>
      <c r="AC104">
        <f>IF(AND('4 Ope'!E104&gt;Tmin, NOT('4 Ope'!$I104="")),'4 Ope'!$I104,0)</f>
        <v>0</v>
      </c>
      <c r="AD104">
        <f>IF(AND('4 Ope'!F104&gt;Tmin, NOT('4 Ope'!$I104="")),'4 Ope'!$I104,0)</f>
        <v>0</v>
      </c>
      <c r="AE104">
        <f>IF(AND('4 Ope'!C104&lt;Tmax, NOT('4 Ope'!$H104="")),'4 Ope'!$H104,4)</f>
        <v>4</v>
      </c>
      <c r="AF104">
        <f>IF(AND('4 Ope'!D104&lt;Tmax, NOT('4 Ope'!$H104="")),'4 Ope'!$H104,4)</f>
        <v>4</v>
      </c>
      <c r="AG104">
        <f>IF(AND('4 Ope'!E104&lt;Tmax, NOT('4 Ope'!$H104="")),'4 Ope'!$H104,4)</f>
        <v>4</v>
      </c>
      <c r="AH104">
        <f>IF(AND('4 Ope'!F104&lt;Tmax, NOT('4 Ope'!$H104="")),'4 Ope'!$H104,4)</f>
        <v>4</v>
      </c>
      <c r="AI104"/>
      <c r="AJ104" s="239"/>
      <c r="AK104" s="239"/>
      <c r="AL104" s="239"/>
      <c r="AM104" s="239"/>
      <c r="AN104" s="239"/>
      <c r="AO104" s="239"/>
      <c r="AP104" s="239"/>
      <c r="AQ104" s="239"/>
      <c r="AR104" s="239"/>
      <c r="AS104" s="239"/>
      <c r="AT104" s="239"/>
    </row>
    <row r="105" spans="1:46" s="34" customFormat="1" ht="30.6" x14ac:dyDescent="0.25">
      <c r="A105" s="128" t="s">
        <v>1039</v>
      </c>
      <c r="B105" s="128" t="s">
        <v>1038</v>
      </c>
      <c r="C105" s="136"/>
      <c r="D105" s="136"/>
      <c r="E105" s="136"/>
      <c r="F105" s="136"/>
      <c r="G105" s="133">
        <v>4</v>
      </c>
      <c r="H105" s="133"/>
      <c r="I105" s="133"/>
      <c r="J105" s="133"/>
      <c r="K105" s="234"/>
      <c r="L105" s="234"/>
      <c r="M105" s="234"/>
      <c r="N105" s="234"/>
      <c r="O105" s="234"/>
      <c r="P105" s="234"/>
      <c r="Q105" s="234"/>
      <c r="R105" s="234"/>
      <c r="S105" s="234"/>
      <c r="T105" s="234"/>
      <c r="U105" s="234"/>
      <c r="V105" s="234"/>
      <c r="W105" s="234"/>
      <c r="X105" s="234"/>
      <c r="Y105" s="234"/>
      <c r="Z105">
        <f>IF(AND('4 Ope'!C105&gt;Tmin, NOT('4 Ope'!$I105="")),'4 Ope'!$I105,0)</f>
        <v>0</v>
      </c>
      <c r="AA105">
        <f>IF(AND('4 Ope'!C105&gt;Tmin, NOT('4 Ope'!$I105="")),'4 Ope'!$I105,0)</f>
        <v>0</v>
      </c>
      <c r="AB105">
        <f>IF(AND('4 Ope'!D105&gt;Tmin, NOT('4 Ope'!$I105="")),'4 Ope'!$I105,0)</f>
        <v>0</v>
      </c>
      <c r="AC105">
        <f>IF(AND('4 Ope'!E105&gt;Tmin, NOT('4 Ope'!$I105="")),'4 Ope'!$I105,0)</f>
        <v>0</v>
      </c>
      <c r="AD105">
        <f>IF(AND('4 Ope'!F105&gt;Tmin, NOT('4 Ope'!$I105="")),'4 Ope'!$I105,0)</f>
        <v>0</v>
      </c>
      <c r="AE105">
        <f>IF(AND('4 Ope'!C105&lt;Tmax, NOT('4 Ope'!$H105="")),'4 Ope'!$H105,4)</f>
        <v>4</v>
      </c>
      <c r="AF105">
        <f>IF(AND('4 Ope'!D105&lt;Tmax, NOT('4 Ope'!$H105="")),'4 Ope'!$H105,4)</f>
        <v>4</v>
      </c>
      <c r="AG105">
        <f>IF(AND('4 Ope'!E105&lt;Tmax, NOT('4 Ope'!$H105="")),'4 Ope'!$H105,4)</f>
        <v>4</v>
      </c>
      <c r="AH105">
        <f>IF(AND('4 Ope'!F105&lt;Tmax, NOT('4 Ope'!$H105="")),'4 Ope'!$H105,4)</f>
        <v>4</v>
      </c>
      <c r="AI105"/>
      <c r="AJ105" s="234"/>
      <c r="AK105" s="234"/>
      <c r="AL105" s="234"/>
      <c r="AM105" s="234"/>
      <c r="AN105" s="234"/>
      <c r="AO105" s="234"/>
      <c r="AP105" s="234"/>
      <c r="AQ105" s="234"/>
      <c r="AR105" s="234"/>
      <c r="AS105" s="234"/>
      <c r="AT105" s="234"/>
    </row>
    <row r="106" spans="1:46" s="34" customFormat="1" x14ac:dyDescent="0.25">
      <c r="A106" s="128" t="s">
        <v>1041</v>
      </c>
      <c r="B106" s="128" t="s">
        <v>7321</v>
      </c>
      <c r="C106" s="136"/>
      <c r="D106" s="136"/>
      <c r="E106" s="136"/>
      <c r="F106" s="136"/>
      <c r="G106" s="133">
        <v>4</v>
      </c>
      <c r="H106" s="133"/>
      <c r="I106" s="133"/>
      <c r="J106" s="133" t="s">
        <v>7118</v>
      </c>
      <c r="K106" s="234"/>
      <c r="L106" s="234"/>
      <c r="M106" s="234"/>
      <c r="N106" s="234"/>
      <c r="O106" s="234"/>
      <c r="P106" s="234"/>
      <c r="Q106" s="234"/>
      <c r="R106" s="234"/>
      <c r="S106" s="234"/>
      <c r="T106" s="234"/>
      <c r="U106" s="234"/>
      <c r="V106" s="234"/>
      <c r="W106" s="234"/>
      <c r="X106" s="234"/>
      <c r="Y106" s="234"/>
      <c r="Z106">
        <f>IF(AND('4 Ope'!C106&gt;Tmin, NOT('4 Ope'!$I106="")),'4 Ope'!$I106,0)</f>
        <v>0</v>
      </c>
      <c r="AA106">
        <f>IF(AND('4 Ope'!C106&gt;Tmin, NOT('4 Ope'!$I106="")),'4 Ope'!$I106,0)</f>
        <v>0</v>
      </c>
      <c r="AB106">
        <f>IF(AND('4 Ope'!D106&gt;Tmin, NOT('4 Ope'!$I106="")),'4 Ope'!$I106,0)</f>
        <v>0</v>
      </c>
      <c r="AC106">
        <f>IF(AND('4 Ope'!E106&gt;Tmin, NOT('4 Ope'!$I106="")),'4 Ope'!$I106,0)</f>
        <v>0</v>
      </c>
      <c r="AD106">
        <f>IF(AND('4 Ope'!F106&gt;Tmin, NOT('4 Ope'!$I106="")),'4 Ope'!$I106,0)</f>
        <v>0</v>
      </c>
      <c r="AE106">
        <f>IF(AND('4 Ope'!C106&lt;Tmax, NOT('4 Ope'!$H106="")),'4 Ope'!$H106,4)</f>
        <v>4</v>
      </c>
      <c r="AF106">
        <f>IF(AND('4 Ope'!D106&lt;Tmax, NOT('4 Ope'!$H106="")),'4 Ope'!$H106,4)</f>
        <v>4</v>
      </c>
      <c r="AG106">
        <f>IF(AND('4 Ope'!E106&lt;Tmax, NOT('4 Ope'!$H106="")),'4 Ope'!$H106,4)</f>
        <v>4</v>
      </c>
      <c r="AH106">
        <f>IF(AND('4 Ope'!F106&lt;Tmax, NOT('4 Ope'!$H106="")),'4 Ope'!$H106,4)</f>
        <v>4</v>
      </c>
      <c r="AI106"/>
      <c r="AJ106" s="234"/>
      <c r="AK106" s="234"/>
      <c r="AL106" s="234"/>
      <c r="AM106" s="234"/>
      <c r="AN106" s="234"/>
      <c r="AO106" s="234"/>
      <c r="AP106" s="234"/>
      <c r="AQ106" s="234"/>
      <c r="AR106" s="234"/>
      <c r="AS106" s="234"/>
      <c r="AT106" s="234"/>
    </row>
    <row r="107" spans="1:46" s="34" customFormat="1" ht="20.399999999999999" x14ac:dyDescent="0.25">
      <c r="A107" s="128" t="s">
        <v>1042</v>
      </c>
      <c r="B107" s="128" t="s">
        <v>1040</v>
      </c>
      <c r="C107" s="136"/>
      <c r="D107" s="136"/>
      <c r="E107" s="136"/>
      <c r="F107" s="136"/>
      <c r="G107" s="133">
        <v>4</v>
      </c>
      <c r="H107" s="133"/>
      <c r="I107" s="133"/>
      <c r="J107" s="133"/>
      <c r="K107" s="234"/>
      <c r="L107" s="234"/>
      <c r="M107" s="234"/>
      <c r="N107" s="234"/>
      <c r="O107" s="234"/>
      <c r="P107" s="234"/>
      <c r="Q107" s="234"/>
      <c r="R107" s="234"/>
      <c r="S107" s="234"/>
      <c r="T107" s="234"/>
      <c r="U107" s="234"/>
      <c r="V107" s="234"/>
      <c r="W107" s="234"/>
      <c r="X107" s="234"/>
      <c r="Y107" s="234"/>
      <c r="Z107">
        <f>IF(AND('4 Ope'!C107&gt;Tmin, NOT('4 Ope'!$I107="")),'4 Ope'!$I107,0)</f>
        <v>0</v>
      </c>
      <c r="AA107">
        <f>IF(AND('4 Ope'!C107&gt;Tmin, NOT('4 Ope'!$I107="")),'4 Ope'!$I107,0)</f>
        <v>0</v>
      </c>
      <c r="AB107">
        <f>IF(AND('4 Ope'!D107&gt;Tmin, NOT('4 Ope'!$I107="")),'4 Ope'!$I107,0)</f>
        <v>0</v>
      </c>
      <c r="AC107">
        <f>IF(AND('4 Ope'!E107&gt;Tmin, NOT('4 Ope'!$I107="")),'4 Ope'!$I107,0)</f>
        <v>0</v>
      </c>
      <c r="AD107">
        <f>IF(AND('4 Ope'!F107&gt;Tmin, NOT('4 Ope'!$I107="")),'4 Ope'!$I107,0)</f>
        <v>0</v>
      </c>
      <c r="AE107">
        <f>IF(AND('4 Ope'!C107&lt;Tmax, NOT('4 Ope'!$H107="")),'4 Ope'!$H107,4)</f>
        <v>4</v>
      </c>
      <c r="AF107">
        <f>IF(AND('4 Ope'!D107&lt;Tmax, NOT('4 Ope'!$H107="")),'4 Ope'!$H107,4)</f>
        <v>4</v>
      </c>
      <c r="AG107">
        <f>IF(AND('4 Ope'!E107&lt;Tmax, NOT('4 Ope'!$H107="")),'4 Ope'!$H107,4)</f>
        <v>4</v>
      </c>
      <c r="AH107">
        <f>IF(AND('4 Ope'!F107&lt;Tmax, NOT('4 Ope'!$H107="")),'4 Ope'!$H107,4)</f>
        <v>4</v>
      </c>
      <c r="AI107"/>
      <c r="AJ107" s="234"/>
      <c r="AK107" s="234"/>
      <c r="AL107" s="234"/>
      <c r="AM107" s="234"/>
      <c r="AN107" s="234"/>
      <c r="AO107" s="234"/>
      <c r="AP107" s="234"/>
      <c r="AQ107" s="234"/>
      <c r="AR107" s="234"/>
      <c r="AS107" s="234"/>
      <c r="AT107" s="234"/>
    </row>
    <row r="108" spans="1:46" s="34" customFormat="1" x14ac:dyDescent="0.25">
      <c r="A108" s="128" t="s">
        <v>1044</v>
      </c>
      <c r="B108" s="128" t="s">
        <v>447</v>
      </c>
      <c r="C108" s="136"/>
      <c r="D108" s="136"/>
      <c r="E108" s="136"/>
      <c r="F108" s="136"/>
      <c r="G108" s="133">
        <v>2</v>
      </c>
      <c r="H108" s="133"/>
      <c r="I108" s="133"/>
      <c r="J108" s="133"/>
      <c r="K108" s="234"/>
      <c r="L108" s="234"/>
      <c r="M108" s="234"/>
      <c r="N108" s="234"/>
      <c r="O108" s="234"/>
      <c r="P108" s="234"/>
      <c r="Q108" s="234"/>
      <c r="R108" s="234"/>
      <c r="S108" s="234"/>
      <c r="T108" s="234"/>
      <c r="U108" s="234"/>
      <c r="V108" s="234"/>
      <c r="W108" s="234"/>
      <c r="X108" s="234"/>
      <c r="Y108" s="234"/>
      <c r="Z108">
        <f>IF(AND('4 Ope'!C108&gt;Tmin, NOT('4 Ope'!$I108="")),'4 Ope'!$I108,0)</f>
        <v>0</v>
      </c>
      <c r="AA108">
        <f>IF(AND('4 Ope'!C108&gt;Tmin, NOT('4 Ope'!$I108="")),'4 Ope'!$I108,0)</f>
        <v>0</v>
      </c>
      <c r="AB108">
        <f>IF(AND('4 Ope'!D108&gt;Tmin, NOT('4 Ope'!$I108="")),'4 Ope'!$I108,0)</f>
        <v>0</v>
      </c>
      <c r="AC108">
        <f>IF(AND('4 Ope'!E108&gt;Tmin, NOT('4 Ope'!$I108="")),'4 Ope'!$I108,0)</f>
        <v>0</v>
      </c>
      <c r="AD108">
        <f>IF(AND('4 Ope'!F108&gt;Tmin, NOT('4 Ope'!$I108="")),'4 Ope'!$I108,0)</f>
        <v>0</v>
      </c>
      <c r="AE108">
        <f>IF(AND('4 Ope'!C108&lt;Tmax, NOT('4 Ope'!$H108="")),'4 Ope'!$H108,4)</f>
        <v>4</v>
      </c>
      <c r="AF108">
        <f>IF(AND('4 Ope'!D108&lt;Tmax, NOT('4 Ope'!$H108="")),'4 Ope'!$H108,4)</f>
        <v>4</v>
      </c>
      <c r="AG108">
        <f>IF(AND('4 Ope'!E108&lt;Tmax, NOT('4 Ope'!$H108="")),'4 Ope'!$H108,4)</f>
        <v>4</v>
      </c>
      <c r="AH108">
        <f>IF(AND('4 Ope'!F108&lt;Tmax, NOT('4 Ope'!$H108="")),'4 Ope'!$H108,4)</f>
        <v>4</v>
      </c>
      <c r="AI108"/>
      <c r="AJ108" s="234"/>
      <c r="AK108" s="234"/>
      <c r="AL108" s="234"/>
      <c r="AM108" s="234"/>
      <c r="AN108" s="234"/>
      <c r="AO108" s="234"/>
      <c r="AP108" s="234"/>
      <c r="AQ108" s="234"/>
      <c r="AR108" s="234"/>
      <c r="AS108" s="234"/>
      <c r="AT108" s="234"/>
    </row>
    <row r="109" spans="1:46" s="34" customFormat="1" x14ac:dyDescent="0.25">
      <c r="A109" s="128" t="s">
        <v>2127</v>
      </c>
      <c r="B109" s="128" t="s">
        <v>1043</v>
      </c>
      <c r="C109" s="136"/>
      <c r="D109" s="136"/>
      <c r="E109" s="136"/>
      <c r="F109" s="136"/>
      <c r="G109" s="133">
        <v>4</v>
      </c>
      <c r="H109" s="133">
        <v>2</v>
      </c>
      <c r="I109" s="133"/>
      <c r="J109" s="133" t="s">
        <v>7122</v>
      </c>
      <c r="K109" s="234"/>
      <c r="L109" s="234"/>
      <c r="M109" s="234"/>
      <c r="N109" s="234"/>
      <c r="O109" s="234"/>
      <c r="P109" s="234"/>
      <c r="Q109" s="234"/>
      <c r="R109" s="234"/>
      <c r="S109" s="234"/>
      <c r="T109" s="234"/>
      <c r="U109" s="234"/>
      <c r="V109" s="234"/>
      <c r="W109" s="234"/>
      <c r="X109" s="234"/>
      <c r="Y109" s="234"/>
      <c r="Z109">
        <f>IF(AND('4 Ope'!C109&gt;Tmin, NOT('4 Ope'!$I109="")),'4 Ope'!$I109,0)</f>
        <v>0</v>
      </c>
      <c r="AA109">
        <f>IF(AND('4 Ope'!C109&gt;Tmin, NOT('4 Ope'!$I109="")),'4 Ope'!$I109,0)</f>
        <v>0</v>
      </c>
      <c r="AB109">
        <f>IF(AND('4 Ope'!D109&gt;Tmin, NOT('4 Ope'!$I109="")),'4 Ope'!$I109,0)</f>
        <v>0</v>
      </c>
      <c r="AC109">
        <f>IF(AND('4 Ope'!E109&gt;Tmin, NOT('4 Ope'!$I109="")),'4 Ope'!$I109,0)</f>
        <v>0</v>
      </c>
      <c r="AD109">
        <f>IF(AND('4 Ope'!F109&gt;Tmin, NOT('4 Ope'!$I109="")),'4 Ope'!$I109,0)</f>
        <v>0</v>
      </c>
      <c r="AE109">
        <f>IF(AND('4 Ope'!C109&lt;Tmax, NOT('4 Ope'!$H109="")),'4 Ope'!$H109,4)</f>
        <v>2</v>
      </c>
      <c r="AF109">
        <f>IF(AND('4 Ope'!D109&lt;Tmax, NOT('4 Ope'!$H109="")),'4 Ope'!$H109,4)</f>
        <v>2</v>
      </c>
      <c r="AG109">
        <f>IF(AND('4 Ope'!E109&lt;Tmax, NOT('4 Ope'!$H109="")),'4 Ope'!$H109,4)</f>
        <v>2</v>
      </c>
      <c r="AH109">
        <f>IF(AND('4 Ope'!F109&lt;Tmax, NOT('4 Ope'!$H109="")),'4 Ope'!$H109,4)</f>
        <v>2</v>
      </c>
      <c r="AI109"/>
      <c r="AJ109" s="234"/>
      <c r="AK109" s="234"/>
      <c r="AL109" s="234"/>
      <c r="AM109" s="234"/>
      <c r="AN109" s="234"/>
      <c r="AO109" s="234"/>
      <c r="AP109" s="234"/>
      <c r="AQ109" s="234"/>
      <c r="AR109" s="234"/>
      <c r="AS109" s="234"/>
      <c r="AT109" s="234"/>
    </row>
    <row r="110" spans="1:46" s="34" customFormat="1" ht="20.399999999999999" x14ac:dyDescent="0.25">
      <c r="A110" s="128" t="s">
        <v>7322</v>
      </c>
      <c r="B110" s="128" t="s">
        <v>225</v>
      </c>
      <c r="C110" s="136"/>
      <c r="D110" s="136"/>
      <c r="E110" s="136"/>
      <c r="F110" s="136"/>
      <c r="G110" s="133">
        <v>2</v>
      </c>
      <c r="H110" s="133"/>
      <c r="I110" s="133"/>
      <c r="J110" s="133"/>
      <c r="K110" s="234"/>
      <c r="L110" s="234"/>
      <c r="M110" s="234"/>
      <c r="N110" s="234"/>
      <c r="O110" s="234"/>
      <c r="P110" s="234"/>
      <c r="Q110" s="234"/>
      <c r="R110" s="234"/>
      <c r="S110" s="234"/>
      <c r="T110" s="234"/>
      <c r="U110" s="234"/>
      <c r="V110" s="234"/>
      <c r="W110" s="234"/>
      <c r="X110" s="234"/>
      <c r="Y110" s="234"/>
      <c r="Z110">
        <f>IF(AND('4 Ope'!C110&gt;Tmin, NOT('4 Ope'!$I110="")),'4 Ope'!$I110,0)</f>
        <v>0</v>
      </c>
      <c r="AA110">
        <f>IF(AND('4 Ope'!C110&gt;Tmin, NOT('4 Ope'!$I110="")),'4 Ope'!$I110,0)</f>
        <v>0</v>
      </c>
      <c r="AB110">
        <f>IF(AND('4 Ope'!D110&gt;Tmin, NOT('4 Ope'!$I110="")),'4 Ope'!$I110,0)</f>
        <v>0</v>
      </c>
      <c r="AC110">
        <f>IF(AND('4 Ope'!E110&gt;Tmin, NOT('4 Ope'!$I110="")),'4 Ope'!$I110,0)</f>
        <v>0</v>
      </c>
      <c r="AD110">
        <f>IF(AND('4 Ope'!F110&gt;Tmin, NOT('4 Ope'!$I110="")),'4 Ope'!$I110,0)</f>
        <v>0</v>
      </c>
      <c r="AE110">
        <f>IF(AND('4 Ope'!C110&lt;Tmax, NOT('4 Ope'!$H110="")),'4 Ope'!$H110,4)</f>
        <v>4</v>
      </c>
      <c r="AF110">
        <f>IF(AND('4 Ope'!D110&lt;Tmax, NOT('4 Ope'!$H110="")),'4 Ope'!$H110,4)</f>
        <v>4</v>
      </c>
      <c r="AG110">
        <f>IF(AND('4 Ope'!E110&lt;Tmax, NOT('4 Ope'!$H110="")),'4 Ope'!$H110,4)</f>
        <v>4</v>
      </c>
      <c r="AH110">
        <f>IF(AND('4 Ope'!F110&lt;Tmax, NOT('4 Ope'!$H110="")),'4 Ope'!$H110,4)</f>
        <v>4</v>
      </c>
      <c r="AI110"/>
      <c r="AJ110" s="234"/>
      <c r="AK110" s="234"/>
      <c r="AL110" s="234"/>
      <c r="AM110" s="234"/>
      <c r="AN110" s="234"/>
      <c r="AO110" s="234"/>
      <c r="AP110" s="234"/>
      <c r="AQ110" s="234"/>
      <c r="AR110" s="234"/>
      <c r="AS110" s="234"/>
      <c r="AT110" s="234"/>
    </row>
    <row r="111" spans="1:46" s="34" customFormat="1" x14ac:dyDescent="0.25">
      <c r="A111" s="128" t="s">
        <v>631</v>
      </c>
      <c r="B111" s="128" t="s">
        <v>1045</v>
      </c>
      <c r="C111" s="136"/>
      <c r="D111" s="136"/>
      <c r="E111" s="136"/>
      <c r="F111" s="136"/>
      <c r="G111" s="133"/>
      <c r="H111" s="133"/>
      <c r="I111" s="133"/>
      <c r="J111" s="133"/>
      <c r="K111" s="234"/>
      <c r="L111" s="234"/>
      <c r="M111" s="234"/>
      <c r="N111" s="234"/>
      <c r="O111" s="234"/>
      <c r="P111" s="234"/>
      <c r="Q111" s="234"/>
      <c r="R111" s="234"/>
      <c r="S111" s="234"/>
      <c r="T111" s="234"/>
      <c r="U111" s="234"/>
      <c r="V111" s="234"/>
      <c r="W111" s="234"/>
      <c r="X111" s="234"/>
      <c r="Y111" s="234"/>
      <c r="Z111"/>
      <c r="AA111"/>
      <c r="AB111"/>
      <c r="AC111"/>
      <c r="AD111"/>
      <c r="AE111"/>
      <c r="AF111"/>
      <c r="AG111"/>
      <c r="AH111"/>
      <c r="AI111"/>
      <c r="AJ111" s="234"/>
      <c r="AK111" s="234"/>
      <c r="AL111" s="234"/>
      <c r="AM111" s="234"/>
      <c r="AN111" s="234"/>
      <c r="AO111" s="234"/>
      <c r="AP111" s="234"/>
      <c r="AQ111" s="234"/>
      <c r="AR111" s="234"/>
      <c r="AS111" s="234"/>
      <c r="AT111" s="234"/>
    </row>
    <row r="112" spans="1:46" s="34" customFormat="1" x14ac:dyDescent="0.25">
      <c r="A112" s="128" t="s">
        <v>1046</v>
      </c>
      <c r="B112" s="128" t="s">
        <v>154</v>
      </c>
      <c r="C112" s="136"/>
      <c r="D112" s="136"/>
      <c r="E112" s="136"/>
      <c r="F112" s="136"/>
      <c r="G112" s="133">
        <v>4</v>
      </c>
      <c r="H112" s="133"/>
      <c r="I112" s="133"/>
      <c r="J112" s="133"/>
      <c r="K112" s="234"/>
      <c r="L112" s="234"/>
      <c r="M112" s="234"/>
      <c r="N112" s="234"/>
      <c r="O112" s="234"/>
      <c r="P112" s="234"/>
      <c r="Q112" s="234"/>
      <c r="R112" s="234"/>
      <c r="S112" s="234"/>
      <c r="T112" s="234"/>
      <c r="U112" s="234"/>
      <c r="V112" s="234"/>
      <c r="W112" s="234"/>
      <c r="X112" s="234"/>
      <c r="Y112" s="234"/>
      <c r="Z112">
        <f>IF(AND('4 Ope'!C112&gt;Tmin, NOT('4 Ope'!$I112="")),'4 Ope'!$I112,0)</f>
        <v>0</v>
      </c>
      <c r="AA112">
        <f>IF(AND('4 Ope'!C112&gt;Tmin, NOT('4 Ope'!$I112="")),'4 Ope'!$I112,0)</f>
        <v>0</v>
      </c>
      <c r="AB112">
        <f>IF(AND('4 Ope'!D112&gt;Tmin, NOT('4 Ope'!$I112="")),'4 Ope'!$I112,0)</f>
        <v>0</v>
      </c>
      <c r="AC112">
        <f>IF(AND('4 Ope'!E112&gt;Tmin, NOT('4 Ope'!$I112="")),'4 Ope'!$I112,0)</f>
        <v>0</v>
      </c>
      <c r="AD112">
        <f>IF(AND('4 Ope'!F112&gt;Tmin, NOT('4 Ope'!$I112="")),'4 Ope'!$I112,0)</f>
        <v>0</v>
      </c>
      <c r="AE112">
        <f>IF(AND('4 Ope'!C112&lt;Tmax, NOT('4 Ope'!$H112="")),'4 Ope'!$H112,4)</f>
        <v>4</v>
      </c>
      <c r="AF112">
        <f>IF(AND('4 Ope'!D112&lt;Tmax, NOT('4 Ope'!$H112="")),'4 Ope'!$H112,4)</f>
        <v>4</v>
      </c>
      <c r="AG112">
        <f>IF(AND('4 Ope'!E112&lt;Tmax, NOT('4 Ope'!$H112="")),'4 Ope'!$H112,4)</f>
        <v>4</v>
      </c>
      <c r="AH112">
        <f>IF(AND('4 Ope'!F112&lt;Tmax, NOT('4 Ope'!$H112="")),'4 Ope'!$H112,4)</f>
        <v>4</v>
      </c>
      <c r="AI112"/>
      <c r="AJ112" s="234"/>
      <c r="AK112" s="234"/>
      <c r="AL112" s="234"/>
      <c r="AM112" s="234"/>
      <c r="AN112" s="234"/>
      <c r="AO112" s="234"/>
      <c r="AP112" s="234"/>
      <c r="AQ112" s="234"/>
      <c r="AR112" s="234"/>
      <c r="AS112" s="234"/>
      <c r="AT112" s="234"/>
    </row>
    <row r="113" spans="1:78" s="34" customFormat="1" x14ac:dyDescent="0.25">
      <c r="A113" s="128" t="s">
        <v>1047</v>
      </c>
      <c r="B113" s="128" t="s">
        <v>155</v>
      </c>
      <c r="C113" s="136"/>
      <c r="D113" s="136"/>
      <c r="E113" s="136"/>
      <c r="F113" s="136"/>
      <c r="G113" s="133">
        <v>4</v>
      </c>
      <c r="H113" s="133">
        <v>3</v>
      </c>
      <c r="I113" s="133"/>
      <c r="J113" s="133"/>
      <c r="K113" s="234"/>
      <c r="L113" s="234"/>
      <c r="M113" s="234"/>
      <c r="N113" s="234"/>
      <c r="O113" s="234"/>
      <c r="P113" s="234"/>
      <c r="Q113" s="234"/>
      <c r="R113" s="234"/>
      <c r="S113" s="234"/>
      <c r="T113" s="234"/>
      <c r="U113" s="234"/>
      <c r="V113" s="234"/>
      <c r="W113" s="234"/>
      <c r="X113" s="234"/>
      <c r="Y113" s="234"/>
      <c r="Z113">
        <f>IF(AND('4 Ope'!C113&gt;Tmin, NOT('4 Ope'!$I113="")),'4 Ope'!$I113,0)</f>
        <v>0</v>
      </c>
      <c r="AA113">
        <f>IF(AND('4 Ope'!C113&gt;Tmin, NOT('4 Ope'!$I113="")),'4 Ope'!$I113,0)</f>
        <v>0</v>
      </c>
      <c r="AB113">
        <f>IF(AND('4 Ope'!D113&gt;Tmin, NOT('4 Ope'!$I113="")),'4 Ope'!$I113,0)</f>
        <v>0</v>
      </c>
      <c r="AC113">
        <f>IF(AND('4 Ope'!E113&gt;Tmin, NOT('4 Ope'!$I113="")),'4 Ope'!$I113,0)</f>
        <v>0</v>
      </c>
      <c r="AD113">
        <f>IF(AND('4 Ope'!F113&gt;Tmin, NOT('4 Ope'!$I113="")),'4 Ope'!$I113,0)</f>
        <v>0</v>
      </c>
      <c r="AE113">
        <f>IF(AND('4 Ope'!C113&lt;Tmax, NOT('4 Ope'!$H113="")),'4 Ope'!$H113,4)</f>
        <v>3</v>
      </c>
      <c r="AF113">
        <f>IF(AND('4 Ope'!D113&lt;Tmax, NOT('4 Ope'!$H113="")),'4 Ope'!$H113,4)</f>
        <v>3</v>
      </c>
      <c r="AG113">
        <f>IF(AND('4 Ope'!E113&lt;Tmax, NOT('4 Ope'!$H113="")),'4 Ope'!$H113,4)</f>
        <v>3</v>
      </c>
      <c r="AH113">
        <f>IF(AND('4 Ope'!F113&lt;Tmax, NOT('4 Ope'!$H113="")),'4 Ope'!$H113,4)</f>
        <v>3</v>
      </c>
      <c r="AI113"/>
      <c r="AJ113" s="234"/>
      <c r="AK113" s="234"/>
      <c r="AL113" s="234"/>
      <c r="AM113" s="234"/>
      <c r="AN113" s="234"/>
      <c r="AO113" s="234"/>
      <c r="AP113" s="234"/>
      <c r="AQ113" s="234"/>
      <c r="AR113" s="234"/>
      <c r="AS113" s="234"/>
      <c r="AT113" s="234"/>
    </row>
    <row r="114" spans="1:78" s="240" customFormat="1" x14ac:dyDescent="0.25">
      <c r="A114" s="128" t="s">
        <v>1048</v>
      </c>
      <c r="B114" s="128" t="s">
        <v>156</v>
      </c>
      <c r="C114" s="136"/>
      <c r="D114" s="136"/>
      <c r="E114" s="136"/>
      <c r="F114" s="136"/>
      <c r="G114" s="133">
        <v>4</v>
      </c>
      <c r="H114" s="133">
        <v>3</v>
      </c>
      <c r="I114" s="133"/>
      <c r="J114" s="133"/>
      <c r="K114" s="239"/>
      <c r="L114" s="239"/>
      <c r="M114" s="239"/>
      <c r="N114" s="239"/>
      <c r="O114" s="239"/>
      <c r="P114" s="239"/>
      <c r="Q114" s="239"/>
      <c r="R114" s="239"/>
      <c r="S114" s="239"/>
      <c r="T114" s="239"/>
      <c r="U114" s="239"/>
      <c r="V114" s="239"/>
      <c r="W114" s="239"/>
      <c r="X114" s="239"/>
      <c r="Y114" s="239"/>
      <c r="Z114">
        <f>IF(AND('4 Ope'!C114&gt;Tmin, NOT('4 Ope'!$I114="")),'4 Ope'!$I114,0)</f>
        <v>0</v>
      </c>
      <c r="AA114">
        <f>IF(AND('4 Ope'!C114&gt;Tmin, NOT('4 Ope'!$I114="")),'4 Ope'!$I114,0)</f>
        <v>0</v>
      </c>
      <c r="AB114">
        <f>IF(AND('4 Ope'!D114&gt;Tmin, NOT('4 Ope'!$I114="")),'4 Ope'!$I114,0)</f>
        <v>0</v>
      </c>
      <c r="AC114">
        <f>IF(AND('4 Ope'!E114&gt;Tmin, NOT('4 Ope'!$I114="")),'4 Ope'!$I114,0)</f>
        <v>0</v>
      </c>
      <c r="AD114">
        <f>IF(AND('4 Ope'!F114&gt;Tmin, NOT('4 Ope'!$I114="")),'4 Ope'!$I114,0)</f>
        <v>0</v>
      </c>
      <c r="AE114">
        <f>IF(AND('4 Ope'!C114&lt;Tmax, NOT('4 Ope'!$H114="")),'4 Ope'!$H114,4)</f>
        <v>3</v>
      </c>
      <c r="AF114">
        <f>IF(AND('4 Ope'!D114&lt;Tmax, NOT('4 Ope'!$H114="")),'4 Ope'!$H114,4)</f>
        <v>3</v>
      </c>
      <c r="AG114">
        <f>IF(AND('4 Ope'!E114&lt;Tmax, NOT('4 Ope'!$H114="")),'4 Ope'!$H114,4)</f>
        <v>3</v>
      </c>
      <c r="AH114">
        <f>IF(AND('4 Ope'!F114&lt;Tmax, NOT('4 Ope'!$H114="")),'4 Ope'!$H114,4)</f>
        <v>3</v>
      </c>
      <c r="AI114"/>
      <c r="AJ114" s="239"/>
      <c r="AK114" s="239"/>
      <c r="AL114" s="239"/>
      <c r="AM114" s="239"/>
      <c r="AN114" s="239"/>
      <c r="AO114" s="239"/>
      <c r="AP114" s="239"/>
      <c r="AQ114" s="239"/>
      <c r="AR114" s="239"/>
      <c r="AS114" s="239"/>
      <c r="AT114" s="239"/>
      <c r="BY114" s="240">
        <f>IF(INDEX(Tab_actions,57,1)=1,INDEX(Tab_actions,57,4),0)</f>
        <v>0</v>
      </c>
      <c r="BZ114" s="240">
        <f>IF(INDEX(Tab_actions,103,1)=1,INDEX(Tab_actions,103,4),0)</f>
        <v>0</v>
      </c>
    </row>
    <row r="115" spans="1:78" s="34" customFormat="1" ht="20.399999999999999" x14ac:dyDescent="0.25">
      <c r="A115" s="128" t="s">
        <v>1049</v>
      </c>
      <c r="B115" s="128" t="s">
        <v>157</v>
      </c>
      <c r="C115" s="136"/>
      <c r="D115" s="136"/>
      <c r="E115" s="136"/>
      <c r="F115" s="136"/>
      <c r="G115" s="133">
        <v>4</v>
      </c>
      <c r="H115" s="133">
        <v>3</v>
      </c>
      <c r="I115" s="133"/>
      <c r="J115" s="133"/>
      <c r="K115" s="234"/>
      <c r="L115" s="234"/>
      <c r="M115" s="234"/>
      <c r="N115" s="234"/>
      <c r="O115" s="234"/>
      <c r="P115" s="234"/>
      <c r="Q115" s="234"/>
      <c r="R115" s="234"/>
      <c r="S115" s="234"/>
      <c r="T115" s="234"/>
      <c r="U115" s="234"/>
      <c r="V115" s="234"/>
      <c r="W115" s="234"/>
      <c r="X115" s="234"/>
      <c r="Y115" s="234"/>
      <c r="Z115">
        <f>IF(AND('4 Ope'!C115&gt;Tmin, NOT('4 Ope'!$I115="")),'4 Ope'!$I115,0)</f>
        <v>0</v>
      </c>
      <c r="AA115">
        <f>IF(AND('4 Ope'!C115&gt;Tmin, NOT('4 Ope'!$I115="")),'4 Ope'!$I115,0)</f>
        <v>0</v>
      </c>
      <c r="AB115">
        <f>IF(AND('4 Ope'!D115&gt;Tmin, NOT('4 Ope'!$I115="")),'4 Ope'!$I115,0)</f>
        <v>0</v>
      </c>
      <c r="AC115">
        <f>IF(AND('4 Ope'!E115&gt;Tmin, NOT('4 Ope'!$I115="")),'4 Ope'!$I115,0)</f>
        <v>0</v>
      </c>
      <c r="AD115">
        <f>IF(AND('4 Ope'!F115&gt;Tmin, NOT('4 Ope'!$I115="")),'4 Ope'!$I115,0)</f>
        <v>0</v>
      </c>
      <c r="AE115">
        <f>IF(AND('4 Ope'!C115&lt;Tmax, NOT('4 Ope'!$H115="")),'4 Ope'!$H115,4)</f>
        <v>3</v>
      </c>
      <c r="AF115">
        <f>IF(AND('4 Ope'!D115&lt;Tmax, NOT('4 Ope'!$H115="")),'4 Ope'!$H115,4)</f>
        <v>3</v>
      </c>
      <c r="AG115">
        <f>IF(AND('4 Ope'!E115&lt;Tmax, NOT('4 Ope'!$H115="")),'4 Ope'!$H115,4)</f>
        <v>3</v>
      </c>
      <c r="AH115">
        <f>IF(AND('4 Ope'!F115&lt;Tmax, NOT('4 Ope'!$H115="")),'4 Ope'!$H115,4)</f>
        <v>3</v>
      </c>
      <c r="AI115"/>
      <c r="AJ115" s="234"/>
      <c r="AK115" s="234"/>
      <c r="AL115" s="234"/>
      <c r="AM115" s="234"/>
      <c r="AN115" s="234"/>
      <c r="AO115" s="234"/>
      <c r="AP115" s="234"/>
      <c r="AQ115" s="234"/>
      <c r="AR115" s="234"/>
      <c r="AS115" s="234"/>
      <c r="AT115" s="234"/>
    </row>
    <row r="116" spans="1:78" s="34" customFormat="1" x14ac:dyDescent="0.25">
      <c r="A116" s="128" t="s">
        <v>1050</v>
      </c>
      <c r="B116" s="128" t="s">
        <v>158</v>
      </c>
      <c r="C116" s="136"/>
      <c r="D116" s="136"/>
      <c r="E116" s="136"/>
      <c r="F116" s="136"/>
      <c r="G116" s="133">
        <v>4</v>
      </c>
      <c r="H116" s="133">
        <v>3</v>
      </c>
      <c r="I116" s="133"/>
      <c r="J116" s="133"/>
      <c r="K116" s="234"/>
      <c r="L116" s="234"/>
      <c r="M116" s="234"/>
      <c r="N116" s="234"/>
      <c r="O116" s="234"/>
      <c r="P116" s="234"/>
      <c r="Q116" s="234"/>
      <c r="R116" s="234"/>
      <c r="S116" s="234"/>
      <c r="T116" s="234"/>
      <c r="U116" s="234"/>
      <c r="V116" s="234"/>
      <c r="W116" s="234"/>
      <c r="X116" s="234"/>
      <c r="Y116" s="234"/>
      <c r="Z116">
        <f>IF(AND('4 Ope'!C116&gt;Tmin, NOT('4 Ope'!$I116="")),'4 Ope'!$I116,0)</f>
        <v>0</v>
      </c>
      <c r="AA116">
        <f>IF(AND('4 Ope'!C116&gt;Tmin, NOT('4 Ope'!$I116="")),'4 Ope'!$I116,0)</f>
        <v>0</v>
      </c>
      <c r="AB116">
        <f>IF(AND('4 Ope'!D116&gt;Tmin, NOT('4 Ope'!$I116="")),'4 Ope'!$I116,0)</f>
        <v>0</v>
      </c>
      <c r="AC116">
        <f>IF(AND('4 Ope'!E116&gt;Tmin, NOT('4 Ope'!$I116="")),'4 Ope'!$I116,0)</f>
        <v>0</v>
      </c>
      <c r="AD116">
        <f>IF(AND('4 Ope'!F116&gt;Tmin, NOT('4 Ope'!$I116="")),'4 Ope'!$I116,0)</f>
        <v>0</v>
      </c>
      <c r="AE116">
        <f>IF(AND('4 Ope'!C116&lt;Tmax, NOT('4 Ope'!$H116="")),'4 Ope'!$H116,4)</f>
        <v>3</v>
      </c>
      <c r="AF116">
        <f>IF(AND('4 Ope'!D116&lt;Tmax, NOT('4 Ope'!$H116="")),'4 Ope'!$H116,4)</f>
        <v>3</v>
      </c>
      <c r="AG116">
        <f>IF(AND('4 Ope'!E116&lt;Tmax, NOT('4 Ope'!$H116="")),'4 Ope'!$H116,4)</f>
        <v>3</v>
      </c>
      <c r="AH116">
        <f>IF(AND('4 Ope'!F116&lt;Tmax, NOT('4 Ope'!$H116="")),'4 Ope'!$H116,4)</f>
        <v>3</v>
      </c>
      <c r="AI116"/>
      <c r="AJ116" s="234"/>
      <c r="AK116" s="234"/>
      <c r="AL116" s="234"/>
      <c r="AM116" s="234"/>
      <c r="AN116" s="234"/>
      <c r="AO116" s="234"/>
      <c r="AP116" s="234"/>
      <c r="AQ116" s="234"/>
      <c r="AR116" s="234"/>
      <c r="AS116" s="234"/>
      <c r="AT116" s="234"/>
    </row>
    <row r="117" spans="1:78" s="34" customFormat="1" ht="20.399999999999999" x14ac:dyDescent="0.25">
      <c r="A117" s="128" t="s">
        <v>1051</v>
      </c>
      <c r="B117" s="128" t="s">
        <v>159</v>
      </c>
      <c r="C117" s="136"/>
      <c r="D117" s="136"/>
      <c r="E117" s="136"/>
      <c r="F117" s="136"/>
      <c r="G117" s="133">
        <v>4</v>
      </c>
      <c r="H117" s="133">
        <v>3</v>
      </c>
      <c r="I117" s="133"/>
      <c r="J117" s="133"/>
      <c r="K117" s="234"/>
      <c r="L117" s="234"/>
      <c r="M117" s="234"/>
      <c r="N117" s="234"/>
      <c r="O117" s="234"/>
      <c r="P117" s="234"/>
      <c r="Q117" s="234"/>
      <c r="R117" s="234"/>
      <c r="S117" s="234"/>
      <c r="T117" s="234"/>
      <c r="U117" s="234"/>
      <c r="V117" s="234"/>
      <c r="W117" s="234"/>
      <c r="X117" s="234"/>
      <c r="Y117" s="234"/>
      <c r="Z117">
        <f>IF(AND('4 Ope'!C117&gt;Tmin, NOT('4 Ope'!$I117="")),'4 Ope'!$I117,0)</f>
        <v>0</v>
      </c>
      <c r="AA117">
        <f>IF(AND('4 Ope'!C117&gt;Tmin, NOT('4 Ope'!$I117="")),'4 Ope'!$I117,0)</f>
        <v>0</v>
      </c>
      <c r="AB117">
        <f>IF(AND('4 Ope'!D117&gt;Tmin, NOT('4 Ope'!$I117="")),'4 Ope'!$I117,0)</f>
        <v>0</v>
      </c>
      <c r="AC117">
        <f>IF(AND('4 Ope'!E117&gt;Tmin, NOT('4 Ope'!$I117="")),'4 Ope'!$I117,0)</f>
        <v>0</v>
      </c>
      <c r="AD117">
        <f>IF(AND('4 Ope'!F117&gt;Tmin, NOT('4 Ope'!$I117="")),'4 Ope'!$I117,0)</f>
        <v>0</v>
      </c>
      <c r="AE117">
        <f>IF(AND('4 Ope'!C117&lt;Tmax, NOT('4 Ope'!$H117="")),'4 Ope'!$H117,4)</f>
        <v>3</v>
      </c>
      <c r="AF117">
        <f>IF(AND('4 Ope'!D117&lt;Tmax, NOT('4 Ope'!$H117="")),'4 Ope'!$H117,4)</f>
        <v>3</v>
      </c>
      <c r="AG117">
        <f>IF(AND('4 Ope'!E117&lt;Tmax, NOT('4 Ope'!$H117="")),'4 Ope'!$H117,4)</f>
        <v>3</v>
      </c>
      <c r="AH117">
        <f>IF(AND('4 Ope'!F117&lt;Tmax, NOT('4 Ope'!$H117="")),'4 Ope'!$H117,4)</f>
        <v>3</v>
      </c>
      <c r="AI117"/>
      <c r="AJ117" s="234"/>
      <c r="AK117" s="234"/>
      <c r="AL117" s="234"/>
      <c r="AM117" s="234"/>
      <c r="AN117" s="234"/>
      <c r="AO117" s="234"/>
      <c r="AP117" s="234"/>
      <c r="AQ117" s="234"/>
      <c r="AR117" s="234"/>
      <c r="AS117" s="234"/>
      <c r="AT117" s="234"/>
    </row>
    <row r="118" spans="1:78" s="34" customFormat="1" x14ac:dyDescent="0.25">
      <c r="A118" s="128" t="s">
        <v>1052</v>
      </c>
      <c r="B118" s="128" t="s">
        <v>160</v>
      </c>
      <c r="C118" s="136"/>
      <c r="D118" s="136"/>
      <c r="E118" s="136"/>
      <c r="F118" s="136"/>
      <c r="G118" s="133">
        <v>4</v>
      </c>
      <c r="H118" s="133"/>
      <c r="I118" s="133"/>
      <c r="J118" s="133"/>
      <c r="K118" s="234"/>
      <c r="L118" s="234"/>
      <c r="M118" s="234"/>
      <c r="N118" s="234"/>
      <c r="O118" s="234"/>
      <c r="P118" s="234"/>
      <c r="Q118" s="234"/>
      <c r="R118" s="234"/>
      <c r="S118" s="234"/>
      <c r="T118" s="234"/>
      <c r="U118" s="234"/>
      <c r="V118" s="234"/>
      <c r="W118" s="234"/>
      <c r="X118" s="234"/>
      <c r="Y118" s="234"/>
      <c r="Z118">
        <f>IF(AND('4 Ope'!C118&gt;Tmin, NOT('4 Ope'!$I118="")),'4 Ope'!$I118,0)</f>
        <v>0</v>
      </c>
      <c r="AA118">
        <f>IF(AND('4 Ope'!C118&gt;Tmin, NOT('4 Ope'!$I118="")),'4 Ope'!$I118,0)</f>
        <v>0</v>
      </c>
      <c r="AB118">
        <f>IF(AND('4 Ope'!D118&gt;Tmin, NOT('4 Ope'!$I118="")),'4 Ope'!$I118,0)</f>
        <v>0</v>
      </c>
      <c r="AC118">
        <f>IF(AND('4 Ope'!E118&gt;Tmin, NOT('4 Ope'!$I118="")),'4 Ope'!$I118,0)</f>
        <v>0</v>
      </c>
      <c r="AD118">
        <f>IF(AND('4 Ope'!F118&gt;Tmin, NOT('4 Ope'!$I118="")),'4 Ope'!$I118,0)</f>
        <v>0</v>
      </c>
      <c r="AE118">
        <f>IF(AND('4 Ope'!C118&lt;Tmax, NOT('4 Ope'!$H118="")),'4 Ope'!$H118,4)</f>
        <v>4</v>
      </c>
      <c r="AF118">
        <f>IF(AND('4 Ope'!D118&lt;Tmax, NOT('4 Ope'!$H118="")),'4 Ope'!$H118,4)</f>
        <v>4</v>
      </c>
      <c r="AG118">
        <f>IF(AND('4 Ope'!E118&lt;Tmax, NOT('4 Ope'!$H118="")),'4 Ope'!$H118,4)</f>
        <v>4</v>
      </c>
      <c r="AH118">
        <f>IF(AND('4 Ope'!F118&lt;Tmax, NOT('4 Ope'!$H118="")),'4 Ope'!$H118,4)</f>
        <v>4</v>
      </c>
      <c r="AI118"/>
      <c r="AJ118" s="234"/>
      <c r="AK118" s="234"/>
      <c r="AL118" s="234"/>
      <c r="AM118" s="234"/>
      <c r="AN118" s="234"/>
      <c r="AO118" s="234"/>
      <c r="AP118" s="234"/>
      <c r="AQ118" s="234"/>
      <c r="AR118" s="234"/>
      <c r="AS118" s="234"/>
      <c r="AT118" s="234"/>
    </row>
    <row r="119" spans="1:78" s="34" customFormat="1" ht="20.399999999999999" x14ac:dyDescent="0.25">
      <c r="A119" s="128" t="s">
        <v>1053</v>
      </c>
      <c r="B119" s="128" t="s">
        <v>215</v>
      </c>
      <c r="C119" s="136"/>
      <c r="D119" s="136"/>
      <c r="E119" s="136"/>
      <c r="F119" s="136"/>
      <c r="G119" s="133">
        <v>4</v>
      </c>
      <c r="H119" s="133"/>
      <c r="I119" s="133"/>
      <c r="J119" s="133"/>
      <c r="K119" s="234"/>
      <c r="L119" s="234"/>
      <c r="M119" s="234"/>
      <c r="N119" s="234"/>
      <c r="O119" s="234"/>
      <c r="P119" s="234"/>
      <c r="Q119" s="234"/>
      <c r="R119" s="234"/>
      <c r="S119" s="234"/>
      <c r="T119" s="234"/>
      <c r="U119" s="234"/>
      <c r="V119" s="234"/>
      <c r="W119" s="234"/>
      <c r="X119" s="234"/>
      <c r="Y119" s="234"/>
      <c r="Z119">
        <f>IF(AND('4 Ope'!C119&gt;Tmin, NOT('4 Ope'!$I119="")),'4 Ope'!$I119,0)</f>
        <v>0</v>
      </c>
      <c r="AA119">
        <f>IF(AND('4 Ope'!C119&gt;Tmin, NOT('4 Ope'!$I119="")),'4 Ope'!$I119,0)</f>
        <v>0</v>
      </c>
      <c r="AB119">
        <f>IF(AND('4 Ope'!D119&gt;Tmin, NOT('4 Ope'!$I119="")),'4 Ope'!$I119,0)</f>
        <v>0</v>
      </c>
      <c r="AC119">
        <f>IF(AND('4 Ope'!E119&gt;Tmin, NOT('4 Ope'!$I119="")),'4 Ope'!$I119,0)</f>
        <v>0</v>
      </c>
      <c r="AD119">
        <f>IF(AND('4 Ope'!F119&gt;Tmin, NOT('4 Ope'!$I119="")),'4 Ope'!$I119,0)</f>
        <v>0</v>
      </c>
      <c r="AE119">
        <f>IF(AND('4 Ope'!C119&lt;Tmax, NOT('4 Ope'!$H119="")),'4 Ope'!$H119,4)</f>
        <v>4</v>
      </c>
      <c r="AF119">
        <f>IF(AND('4 Ope'!D119&lt;Tmax, NOT('4 Ope'!$H119="")),'4 Ope'!$H119,4)</f>
        <v>4</v>
      </c>
      <c r="AG119">
        <f>IF(AND('4 Ope'!E119&lt;Tmax, NOT('4 Ope'!$H119="")),'4 Ope'!$H119,4)</f>
        <v>4</v>
      </c>
      <c r="AH119">
        <f>IF(AND('4 Ope'!F119&lt;Tmax, NOT('4 Ope'!$H119="")),'4 Ope'!$H119,4)</f>
        <v>4</v>
      </c>
      <c r="AI119"/>
      <c r="AJ119" s="234"/>
      <c r="AK119" s="234"/>
      <c r="AL119" s="234"/>
      <c r="AM119" s="234"/>
      <c r="AN119" s="234"/>
      <c r="AO119" s="234"/>
      <c r="AP119" s="234"/>
      <c r="AQ119" s="234"/>
      <c r="AR119" s="234"/>
      <c r="AS119" s="234"/>
      <c r="AT119" s="234"/>
    </row>
    <row r="120" spans="1:78" s="34" customFormat="1" x14ac:dyDescent="0.25">
      <c r="A120" s="128" t="s">
        <v>1054</v>
      </c>
      <c r="B120" s="128" t="s">
        <v>186</v>
      </c>
      <c r="C120" s="136"/>
      <c r="D120" s="136"/>
      <c r="E120" s="136"/>
      <c r="F120" s="136"/>
      <c r="G120" s="133">
        <v>4</v>
      </c>
      <c r="H120" s="133">
        <v>3</v>
      </c>
      <c r="I120" s="133"/>
      <c r="J120" s="133"/>
      <c r="K120" s="234"/>
      <c r="L120" s="234"/>
      <c r="M120" s="234"/>
      <c r="N120" s="234"/>
      <c r="O120" s="234"/>
      <c r="P120" s="234"/>
      <c r="Q120" s="234"/>
      <c r="R120" s="234"/>
      <c r="S120" s="234"/>
      <c r="T120" s="234"/>
      <c r="U120" s="234"/>
      <c r="V120" s="234"/>
      <c r="W120" s="234"/>
      <c r="X120" s="234"/>
      <c r="Y120" s="234"/>
      <c r="Z120">
        <f>IF(AND('4 Ope'!C120&gt;Tmin, NOT('4 Ope'!$I120="")),'4 Ope'!$I120,0)</f>
        <v>0</v>
      </c>
      <c r="AA120">
        <f>IF(AND('4 Ope'!C120&gt;Tmin, NOT('4 Ope'!$I120="")),'4 Ope'!$I120,0)</f>
        <v>0</v>
      </c>
      <c r="AB120">
        <f>IF(AND('4 Ope'!D120&gt;Tmin, NOT('4 Ope'!$I120="")),'4 Ope'!$I120,0)</f>
        <v>0</v>
      </c>
      <c r="AC120">
        <f>IF(AND('4 Ope'!E120&gt;Tmin, NOT('4 Ope'!$I120="")),'4 Ope'!$I120,0)</f>
        <v>0</v>
      </c>
      <c r="AD120">
        <f>IF(AND('4 Ope'!F120&gt;Tmin, NOT('4 Ope'!$I120="")),'4 Ope'!$I120,0)</f>
        <v>0</v>
      </c>
      <c r="AE120">
        <f>IF(AND('4 Ope'!C120&lt;Tmax, NOT('4 Ope'!$H120="")),'4 Ope'!$H120,4)</f>
        <v>3</v>
      </c>
      <c r="AF120">
        <f>IF(AND('4 Ope'!D120&lt;Tmax, NOT('4 Ope'!$H120="")),'4 Ope'!$H120,4)</f>
        <v>3</v>
      </c>
      <c r="AG120">
        <f>IF(AND('4 Ope'!E120&lt;Tmax, NOT('4 Ope'!$H120="")),'4 Ope'!$H120,4)</f>
        <v>3</v>
      </c>
      <c r="AH120">
        <f>IF(AND('4 Ope'!F120&lt;Tmax, NOT('4 Ope'!$H120="")),'4 Ope'!$H120,4)</f>
        <v>3</v>
      </c>
      <c r="AI120"/>
      <c r="AJ120" s="234"/>
      <c r="AK120" s="234"/>
      <c r="AL120" s="234"/>
      <c r="AM120" s="234"/>
      <c r="AN120" s="234"/>
      <c r="AO120" s="234"/>
      <c r="AP120" s="234"/>
      <c r="AQ120" s="234"/>
      <c r="AR120" s="234"/>
      <c r="AS120" s="234"/>
      <c r="AT120" s="234"/>
    </row>
    <row r="121" spans="1:78" s="34" customFormat="1" x14ac:dyDescent="0.25">
      <c r="A121" s="128" t="s">
        <v>1055</v>
      </c>
      <c r="B121" s="128" t="s">
        <v>161</v>
      </c>
      <c r="C121" s="136"/>
      <c r="D121" s="136"/>
      <c r="E121" s="136"/>
      <c r="F121" s="136"/>
      <c r="G121" s="133">
        <v>2</v>
      </c>
      <c r="H121" s="133">
        <v>3</v>
      </c>
      <c r="I121" s="133"/>
      <c r="J121" s="133"/>
      <c r="K121" s="234"/>
      <c r="L121" s="234"/>
      <c r="M121" s="234"/>
      <c r="N121" s="234"/>
      <c r="O121" s="234"/>
      <c r="P121" s="234"/>
      <c r="Q121" s="234"/>
      <c r="R121" s="234"/>
      <c r="S121" s="234"/>
      <c r="T121" s="234"/>
      <c r="U121" s="234"/>
      <c r="V121" s="234"/>
      <c r="W121" s="234"/>
      <c r="X121" s="234"/>
      <c r="Y121" s="234"/>
      <c r="Z121">
        <f>IF(AND('4 Ope'!C121&gt;Tmin, NOT('4 Ope'!$I121="")),'4 Ope'!$I121,0)</f>
        <v>0</v>
      </c>
      <c r="AA121">
        <f>IF(AND('4 Ope'!C121&gt;Tmin, NOT('4 Ope'!$I121="")),'4 Ope'!$I121,0)</f>
        <v>0</v>
      </c>
      <c r="AB121">
        <f>IF(AND('4 Ope'!D121&gt;Tmin, NOT('4 Ope'!$I121="")),'4 Ope'!$I121,0)</f>
        <v>0</v>
      </c>
      <c r="AC121">
        <f>IF(AND('4 Ope'!E121&gt;Tmin, NOT('4 Ope'!$I121="")),'4 Ope'!$I121,0)</f>
        <v>0</v>
      </c>
      <c r="AD121">
        <f>IF(AND('4 Ope'!F121&gt;Tmin, NOT('4 Ope'!$I121="")),'4 Ope'!$I121,0)</f>
        <v>0</v>
      </c>
      <c r="AE121">
        <f>IF(AND('4 Ope'!C121&lt;Tmax, NOT('4 Ope'!$H121="")),'4 Ope'!$H121,4)</f>
        <v>3</v>
      </c>
      <c r="AF121">
        <f>IF(AND('4 Ope'!D121&lt;Tmax, NOT('4 Ope'!$H121="")),'4 Ope'!$H121,4)</f>
        <v>3</v>
      </c>
      <c r="AG121">
        <f>IF(AND('4 Ope'!E121&lt;Tmax, NOT('4 Ope'!$H121="")),'4 Ope'!$H121,4)</f>
        <v>3</v>
      </c>
      <c r="AH121">
        <f>IF(AND('4 Ope'!F121&lt;Tmax, NOT('4 Ope'!$H121="")),'4 Ope'!$H121,4)</f>
        <v>3</v>
      </c>
      <c r="AI121"/>
      <c r="AJ121" s="234"/>
      <c r="AK121" s="234"/>
      <c r="AL121" s="234"/>
      <c r="AM121" s="234"/>
      <c r="AN121" s="234"/>
      <c r="AO121" s="234"/>
      <c r="AP121" s="234"/>
      <c r="AQ121" s="234"/>
      <c r="AR121" s="234"/>
      <c r="AS121" s="234"/>
      <c r="AT121" s="234"/>
    </row>
    <row r="122" spans="1:78" s="34" customFormat="1" ht="30.6" x14ac:dyDescent="0.25">
      <c r="A122" s="128" t="s">
        <v>1056</v>
      </c>
      <c r="B122" s="128" t="s">
        <v>2336</v>
      </c>
      <c r="C122" s="136"/>
      <c r="D122" s="136"/>
      <c r="E122" s="136"/>
      <c r="F122" s="136"/>
      <c r="G122" s="133"/>
      <c r="H122" s="133"/>
      <c r="I122" s="133"/>
      <c r="J122" s="133"/>
      <c r="K122" s="234"/>
      <c r="L122" s="234"/>
      <c r="M122" s="234"/>
      <c r="N122" s="234"/>
      <c r="O122" s="234"/>
      <c r="P122" s="234"/>
      <c r="Q122" s="234"/>
      <c r="R122" s="234"/>
      <c r="S122" s="234"/>
      <c r="T122" s="234"/>
      <c r="U122" s="234"/>
      <c r="V122" s="234"/>
      <c r="W122" s="234"/>
      <c r="X122" s="234"/>
      <c r="Y122" s="234"/>
      <c r="Z122"/>
      <c r="AA122"/>
      <c r="AB122"/>
      <c r="AC122"/>
      <c r="AD122"/>
      <c r="AE122"/>
      <c r="AF122"/>
      <c r="AG122"/>
      <c r="AH122"/>
      <c r="AI122"/>
      <c r="AJ122" s="234"/>
      <c r="AK122" s="234"/>
      <c r="AL122" s="234"/>
      <c r="AM122" s="234"/>
      <c r="AN122" s="234"/>
      <c r="AO122" s="234"/>
      <c r="AP122" s="234"/>
      <c r="AQ122" s="234"/>
      <c r="AR122" s="234"/>
      <c r="AS122" s="234"/>
      <c r="AT122" s="234"/>
    </row>
    <row r="123" spans="1:78" s="34" customFormat="1" ht="20.399999999999999" x14ac:dyDescent="0.25">
      <c r="A123" s="128" t="s">
        <v>1057</v>
      </c>
      <c r="B123" s="128" t="s">
        <v>7323</v>
      </c>
      <c r="C123" s="136"/>
      <c r="D123" s="136"/>
      <c r="E123" s="136"/>
      <c r="F123" s="136"/>
      <c r="G123" s="133">
        <v>2</v>
      </c>
      <c r="H123" s="133"/>
      <c r="I123" s="133"/>
      <c r="J123" s="133" t="s">
        <v>7123</v>
      </c>
      <c r="K123" s="234"/>
      <c r="L123" s="234"/>
      <c r="M123" s="234"/>
      <c r="N123" s="234"/>
      <c r="O123" s="234"/>
      <c r="P123" s="234"/>
      <c r="Q123" s="234"/>
      <c r="R123" s="234"/>
      <c r="S123" s="234"/>
      <c r="T123" s="234"/>
      <c r="U123" s="234"/>
      <c r="V123" s="234"/>
      <c r="W123" s="234"/>
      <c r="X123" s="234"/>
      <c r="Y123" s="234"/>
      <c r="Z123">
        <f>IF(AND('4 Ope'!C123&gt;Tmin, NOT('4 Ope'!$I123="")),'4 Ope'!$I123,0)</f>
        <v>0</v>
      </c>
      <c r="AA123">
        <f>IF(AND('4 Ope'!C123&gt;Tmin, NOT('4 Ope'!$I123="")),'4 Ope'!$I123,0)</f>
        <v>0</v>
      </c>
      <c r="AB123">
        <f>IF(AND('4 Ope'!D123&gt;Tmin, NOT('4 Ope'!$I123="")),'4 Ope'!$I123,0)</f>
        <v>0</v>
      </c>
      <c r="AC123">
        <f>IF(AND('4 Ope'!E123&gt;Tmin, NOT('4 Ope'!$I123="")),'4 Ope'!$I123,0)</f>
        <v>0</v>
      </c>
      <c r="AD123">
        <f>IF(AND('4 Ope'!F123&gt;Tmin, NOT('4 Ope'!$I123="")),'4 Ope'!$I123,0)</f>
        <v>0</v>
      </c>
      <c r="AE123">
        <f>IF(AND('4 Ope'!C123&lt;Tmax, NOT('4 Ope'!$H123="")),'4 Ope'!$H123,4)</f>
        <v>4</v>
      </c>
      <c r="AF123">
        <f>IF(AND('4 Ope'!D123&lt;Tmax, NOT('4 Ope'!$H123="")),'4 Ope'!$H123,4)</f>
        <v>4</v>
      </c>
      <c r="AG123">
        <f>IF(AND('4 Ope'!E123&lt;Tmax, NOT('4 Ope'!$H123="")),'4 Ope'!$H123,4)</f>
        <v>4</v>
      </c>
      <c r="AH123">
        <f>IF(AND('4 Ope'!F123&lt;Tmax, NOT('4 Ope'!$H123="")),'4 Ope'!$H123,4)</f>
        <v>4</v>
      </c>
      <c r="AI123"/>
      <c r="AJ123" s="234"/>
      <c r="AK123" s="234"/>
      <c r="AL123" s="234"/>
      <c r="AM123" s="234"/>
      <c r="AN123" s="234"/>
      <c r="AO123" s="234"/>
      <c r="AP123" s="234"/>
      <c r="AQ123" s="234"/>
      <c r="AR123" s="234"/>
      <c r="AS123" s="234"/>
      <c r="AT123" s="234"/>
    </row>
    <row r="124" spans="1:78" s="34" customFormat="1" ht="20.399999999999999" x14ac:dyDescent="0.25">
      <c r="A124" s="128" t="s">
        <v>1058</v>
      </c>
      <c r="B124" s="128" t="s">
        <v>7324</v>
      </c>
      <c r="C124" s="136"/>
      <c r="D124" s="136"/>
      <c r="E124" s="136"/>
      <c r="F124" s="136"/>
      <c r="G124" s="133">
        <v>2</v>
      </c>
      <c r="H124" s="133"/>
      <c r="I124" s="133"/>
      <c r="J124" s="133" t="s">
        <v>7123</v>
      </c>
      <c r="K124" s="234"/>
      <c r="L124" s="234"/>
      <c r="M124" s="234"/>
      <c r="N124" s="234"/>
      <c r="O124" s="234"/>
      <c r="P124" s="234"/>
      <c r="Q124" s="234"/>
      <c r="R124" s="234"/>
      <c r="S124" s="234"/>
      <c r="T124" s="234"/>
      <c r="U124" s="234"/>
      <c r="V124" s="234"/>
      <c r="W124" s="234"/>
      <c r="X124" s="234"/>
      <c r="Y124" s="234"/>
      <c r="Z124">
        <f>IF(AND('4 Ope'!C124&gt;Tmin, NOT('4 Ope'!$I124="")),'4 Ope'!$I124,0)</f>
        <v>0</v>
      </c>
      <c r="AA124">
        <f>IF(AND('4 Ope'!C124&gt;Tmin, NOT('4 Ope'!$I124="")),'4 Ope'!$I124,0)</f>
        <v>0</v>
      </c>
      <c r="AB124">
        <f>IF(AND('4 Ope'!D124&gt;Tmin, NOT('4 Ope'!$I124="")),'4 Ope'!$I124,0)</f>
        <v>0</v>
      </c>
      <c r="AC124">
        <f>IF(AND('4 Ope'!E124&gt;Tmin, NOT('4 Ope'!$I124="")),'4 Ope'!$I124,0)</f>
        <v>0</v>
      </c>
      <c r="AD124">
        <f>IF(AND('4 Ope'!F124&gt;Tmin, NOT('4 Ope'!$I124="")),'4 Ope'!$I124,0)</f>
        <v>0</v>
      </c>
      <c r="AE124">
        <f>IF(AND('4 Ope'!C124&lt;Tmax, NOT('4 Ope'!$H124="")),'4 Ope'!$H124,4)</f>
        <v>4</v>
      </c>
      <c r="AF124">
        <f>IF(AND('4 Ope'!D124&lt;Tmax, NOT('4 Ope'!$H124="")),'4 Ope'!$H124,4)</f>
        <v>4</v>
      </c>
      <c r="AG124">
        <f>IF(AND('4 Ope'!E124&lt;Tmax, NOT('4 Ope'!$H124="")),'4 Ope'!$H124,4)</f>
        <v>4</v>
      </c>
      <c r="AH124">
        <f>IF(AND('4 Ope'!F124&lt;Tmax, NOT('4 Ope'!$H124="")),'4 Ope'!$H124,4)</f>
        <v>4</v>
      </c>
      <c r="AI124"/>
      <c r="AJ124" s="234"/>
      <c r="AK124" s="234"/>
      <c r="AL124" s="234"/>
      <c r="AM124" s="234"/>
      <c r="AN124" s="234"/>
      <c r="AO124" s="234"/>
      <c r="AP124" s="234"/>
      <c r="AQ124" s="234"/>
      <c r="AR124" s="234"/>
      <c r="AS124" s="234"/>
      <c r="AT124" s="234"/>
    </row>
    <row r="125" spans="1:78" s="34" customFormat="1" ht="20.399999999999999" x14ac:dyDescent="0.25">
      <c r="A125" s="128" t="s">
        <v>1059</v>
      </c>
      <c r="B125" s="128" t="s">
        <v>7325</v>
      </c>
      <c r="C125" s="136"/>
      <c r="D125" s="136"/>
      <c r="E125" s="136"/>
      <c r="F125" s="136"/>
      <c r="G125" s="133">
        <v>2</v>
      </c>
      <c r="H125" s="133"/>
      <c r="I125" s="133"/>
      <c r="J125" s="133" t="s">
        <v>7123</v>
      </c>
      <c r="K125" s="234"/>
      <c r="L125" s="234"/>
      <c r="M125" s="234"/>
      <c r="N125" s="234"/>
      <c r="O125" s="234"/>
      <c r="P125" s="234"/>
      <c r="Q125" s="234"/>
      <c r="R125" s="234"/>
      <c r="S125" s="234"/>
      <c r="T125" s="234"/>
      <c r="U125" s="234"/>
      <c r="V125" s="234"/>
      <c r="W125" s="234"/>
      <c r="X125" s="234"/>
      <c r="Y125" s="234"/>
      <c r="Z125">
        <f>IF(AND('4 Ope'!C125&gt;Tmin, NOT('4 Ope'!$I125="")),'4 Ope'!$I125,0)</f>
        <v>0</v>
      </c>
      <c r="AA125">
        <f>IF(AND('4 Ope'!C125&gt;Tmin, NOT('4 Ope'!$I125="")),'4 Ope'!$I125,0)</f>
        <v>0</v>
      </c>
      <c r="AB125">
        <f>IF(AND('4 Ope'!D125&gt;Tmin, NOT('4 Ope'!$I125="")),'4 Ope'!$I125,0)</f>
        <v>0</v>
      </c>
      <c r="AC125">
        <f>IF(AND('4 Ope'!E125&gt;Tmin, NOT('4 Ope'!$I125="")),'4 Ope'!$I125,0)</f>
        <v>0</v>
      </c>
      <c r="AD125">
        <f>IF(AND('4 Ope'!F125&gt;Tmin, NOT('4 Ope'!$I125="")),'4 Ope'!$I125,0)</f>
        <v>0</v>
      </c>
      <c r="AE125">
        <f>IF(AND('4 Ope'!C125&lt;Tmax, NOT('4 Ope'!$H125="")),'4 Ope'!$H125,4)</f>
        <v>4</v>
      </c>
      <c r="AF125">
        <f>IF(AND('4 Ope'!D125&lt;Tmax, NOT('4 Ope'!$H125="")),'4 Ope'!$H125,4)</f>
        <v>4</v>
      </c>
      <c r="AG125">
        <f>IF(AND('4 Ope'!E125&lt;Tmax, NOT('4 Ope'!$H125="")),'4 Ope'!$H125,4)</f>
        <v>4</v>
      </c>
      <c r="AH125">
        <f>IF(AND('4 Ope'!F125&lt;Tmax, NOT('4 Ope'!$H125="")),'4 Ope'!$H125,4)</f>
        <v>4</v>
      </c>
      <c r="AI125"/>
      <c r="AJ125" s="234"/>
      <c r="AK125" s="234"/>
      <c r="AL125" s="234"/>
      <c r="AM125" s="234"/>
      <c r="AN125" s="234"/>
      <c r="AO125" s="234"/>
      <c r="AP125" s="234"/>
      <c r="AQ125" s="234"/>
    </row>
    <row r="126" spans="1:78" s="34" customFormat="1" x14ac:dyDescent="0.25">
      <c r="A126" s="128" t="s">
        <v>1060</v>
      </c>
      <c r="B126" s="128" t="s">
        <v>4517</v>
      </c>
      <c r="C126" s="136"/>
      <c r="D126" s="136"/>
      <c r="E126" s="136"/>
      <c r="F126" s="136"/>
      <c r="G126" s="133"/>
      <c r="H126" s="133"/>
      <c r="I126" s="133"/>
      <c r="J126" s="133"/>
      <c r="K126" s="234"/>
      <c r="L126" s="234"/>
      <c r="M126" s="234"/>
      <c r="N126" s="234"/>
      <c r="O126" s="234"/>
      <c r="P126" s="234"/>
      <c r="Q126" s="234"/>
      <c r="R126" s="234"/>
      <c r="S126" s="234"/>
      <c r="T126" s="234"/>
      <c r="U126" s="234"/>
      <c r="V126" s="234"/>
      <c r="W126" s="234"/>
      <c r="X126" s="234"/>
      <c r="Y126" s="234"/>
      <c r="Z126"/>
      <c r="AA126"/>
      <c r="AB126"/>
      <c r="AC126"/>
      <c r="AD126"/>
      <c r="AE126"/>
      <c r="AF126"/>
      <c r="AG126"/>
      <c r="AH126"/>
      <c r="AI126"/>
      <c r="AJ126" s="234"/>
      <c r="AK126" s="234"/>
      <c r="AL126" s="234"/>
      <c r="AM126" s="234"/>
      <c r="AN126" s="234"/>
      <c r="AO126" s="234"/>
      <c r="AP126" s="234"/>
      <c r="AQ126" s="234"/>
    </row>
    <row r="127" spans="1:78" s="34" customFormat="1" ht="20.399999999999999" x14ac:dyDescent="0.25">
      <c r="A127" s="128" t="s">
        <v>1062</v>
      </c>
      <c r="B127" s="128" t="s">
        <v>4512</v>
      </c>
      <c r="C127" s="136"/>
      <c r="D127" s="136"/>
      <c r="E127" s="136"/>
      <c r="F127" s="136"/>
      <c r="G127" s="133">
        <v>4</v>
      </c>
      <c r="H127" s="133"/>
      <c r="I127" s="133"/>
      <c r="J127" s="133" t="s">
        <v>7095</v>
      </c>
      <c r="K127" s="234"/>
      <c r="L127" s="234"/>
      <c r="M127" s="234"/>
      <c r="N127" s="234"/>
      <c r="O127" s="234"/>
      <c r="P127" s="234"/>
      <c r="Q127" s="234"/>
      <c r="R127" s="234"/>
      <c r="S127" s="234"/>
      <c r="T127" s="234"/>
      <c r="U127" s="234"/>
      <c r="V127" s="234"/>
      <c r="W127" s="234"/>
      <c r="X127" s="234"/>
      <c r="Y127" s="234"/>
      <c r="Z127">
        <f>IF(AND('4 Ope'!C127&gt;Tmin, NOT('4 Ope'!$I127="")),'4 Ope'!$I127,0)</f>
        <v>0</v>
      </c>
      <c r="AA127">
        <f>IF(AND('4 Ope'!C127&gt;Tmin, NOT('4 Ope'!$I127="")),'4 Ope'!$I127,0)</f>
        <v>0</v>
      </c>
      <c r="AB127">
        <f>IF(AND('4 Ope'!D127&gt;Tmin, NOT('4 Ope'!$I127="")),'4 Ope'!$I127,0)</f>
        <v>0</v>
      </c>
      <c r="AC127">
        <f>IF(AND('4 Ope'!E127&gt;Tmin, NOT('4 Ope'!$I127="")),'4 Ope'!$I127,0)</f>
        <v>0</v>
      </c>
      <c r="AD127">
        <f>IF(AND('4 Ope'!F127&gt;Tmin, NOT('4 Ope'!$I127="")),'4 Ope'!$I127,0)</f>
        <v>0</v>
      </c>
      <c r="AE127">
        <f>IF(AND('4 Ope'!C127&lt;Tmax, NOT('4 Ope'!$H127="")),'4 Ope'!$H127,4)</f>
        <v>4</v>
      </c>
      <c r="AF127">
        <f>IF(AND('4 Ope'!D127&lt;Tmax, NOT('4 Ope'!$H127="")),'4 Ope'!$H127,4)</f>
        <v>4</v>
      </c>
      <c r="AG127">
        <f>IF(AND('4 Ope'!E127&lt;Tmax, NOT('4 Ope'!$H127="")),'4 Ope'!$H127,4)</f>
        <v>4</v>
      </c>
      <c r="AH127">
        <f>IF(AND('4 Ope'!F127&lt;Tmax, NOT('4 Ope'!$H127="")),'4 Ope'!$H127,4)</f>
        <v>4</v>
      </c>
      <c r="AI127"/>
      <c r="AJ127" s="234"/>
      <c r="AK127" s="234"/>
      <c r="AL127" s="234"/>
      <c r="AM127" s="234"/>
      <c r="AN127" s="234"/>
      <c r="AO127" s="234"/>
      <c r="AP127" s="234"/>
      <c r="AQ127" s="234"/>
    </row>
    <row r="128" spans="1:78" s="34" customFormat="1" x14ac:dyDescent="0.25">
      <c r="A128" s="128" t="s">
        <v>1063</v>
      </c>
      <c r="B128" s="128" t="s">
        <v>1064</v>
      </c>
      <c r="C128" s="136"/>
      <c r="D128" s="136"/>
      <c r="E128" s="136"/>
      <c r="F128" s="136"/>
      <c r="G128" s="133">
        <v>4</v>
      </c>
      <c r="H128" s="133">
        <v>2</v>
      </c>
      <c r="I128" s="133"/>
      <c r="J128" s="133"/>
      <c r="K128" s="234"/>
      <c r="L128" s="234"/>
      <c r="M128" s="234"/>
      <c r="N128" s="234"/>
      <c r="O128" s="234"/>
      <c r="P128" s="234"/>
      <c r="Q128" s="234"/>
      <c r="R128" s="234"/>
      <c r="S128" s="234"/>
      <c r="T128" s="234"/>
      <c r="U128" s="234"/>
      <c r="V128" s="234"/>
      <c r="W128" s="234"/>
      <c r="X128" s="234"/>
      <c r="Y128" s="234"/>
      <c r="Z128">
        <f>IF(AND('4 Ope'!C128&gt;Tmin, NOT('4 Ope'!$I128="")),'4 Ope'!$I128,0)</f>
        <v>0</v>
      </c>
      <c r="AA128">
        <f>IF(AND('4 Ope'!C128&gt;Tmin, NOT('4 Ope'!$I128="")),'4 Ope'!$I128,0)</f>
        <v>0</v>
      </c>
      <c r="AB128">
        <f>IF(AND('4 Ope'!D128&gt;Tmin, NOT('4 Ope'!$I128="")),'4 Ope'!$I128,0)</f>
        <v>0</v>
      </c>
      <c r="AC128">
        <f>IF(AND('4 Ope'!E128&gt;Tmin, NOT('4 Ope'!$I128="")),'4 Ope'!$I128,0)</f>
        <v>0</v>
      </c>
      <c r="AD128">
        <f>IF(AND('4 Ope'!F128&gt;Tmin, NOT('4 Ope'!$I128="")),'4 Ope'!$I128,0)</f>
        <v>0</v>
      </c>
      <c r="AE128">
        <f>IF(AND('4 Ope'!C128&lt;Tmax, NOT('4 Ope'!$H128="")),'4 Ope'!$H128,4)</f>
        <v>2</v>
      </c>
      <c r="AF128">
        <f>IF(AND('4 Ope'!D128&lt;Tmax, NOT('4 Ope'!$H128="")),'4 Ope'!$H128,4)</f>
        <v>2</v>
      </c>
      <c r="AG128">
        <f>IF(AND('4 Ope'!E128&lt;Tmax, NOT('4 Ope'!$H128="")),'4 Ope'!$H128,4)</f>
        <v>2</v>
      </c>
      <c r="AH128">
        <f>IF(AND('4 Ope'!F128&lt;Tmax, NOT('4 Ope'!$H128="")),'4 Ope'!$H128,4)</f>
        <v>2</v>
      </c>
      <c r="AI128"/>
      <c r="AJ128" s="234"/>
      <c r="AK128" s="234"/>
      <c r="AL128" s="234"/>
      <c r="AM128" s="234"/>
      <c r="AN128" s="234"/>
      <c r="AO128" s="234"/>
      <c r="AP128" s="234"/>
      <c r="AQ128" s="234"/>
    </row>
    <row r="129" spans="1:46" s="34" customFormat="1" x14ac:dyDescent="0.25">
      <c r="A129" s="128" t="s">
        <v>1065</v>
      </c>
      <c r="B129" s="128" t="s">
        <v>4612</v>
      </c>
      <c r="C129" s="136"/>
      <c r="D129" s="136"/>
      <c r="E129" s="136"/>
      <c r="F129" s="136"/>
      <c r="G129" s="133">
        <v>4</v>
      </c>
      <c r="H129" s="133"/>
      <c r="I129" s="133"/>
      <c r="J129" s="133"/>
      <c r="K129" s="234"/>
      <c r="L129" s="234"/>
      <c r="M129" s="234"/>
      <c r="N129" s="234"/>
      <c r="O129" s="234"/>
      <c r="P129" s="234"/>
      <c r="Q129" s="234"/>
      <c r="R129" s="234"/>
      <c r="S129" s="234"/>
      <c r="T129" s="234"/>
      <c r="U129" s="234"/>
      <c r="V129" s="234"/>
      <c r="W129" s="234"/>
      <c r="X129" s="234"/>
      <c r="Y129" s="234"/>
      <c r="Z129">
        <f>IF(AND('4 Ope'!C129&gt;Tmin, NOT('4 Ope'!$I129="")),'4 Ope'!$I129,0)</f>
        <v>0</v>
      </c>
      <c r="AA129">
        <f>IF(AND('4 Ope'!C129&gt;Tmin, NOT('4 Ope'!$I129="")),'4 Ope'!$I129,0)</f>
        <v>0</v>
      </c>
      <c r="AB129">
        <f>IF(AND('4 Ope'!D129&gt;Tmin, NOT('4 Ope'!$I129="")),'4 Ope'!$I129,0)</f>
        <v>0</v>
      </c>
      <c r="AC129">
        <f>IF(AND('4 Ope'!E129&gt;Tmin, NOT('4 Ope'!$I129="")),'4 Ope'!$I129,0)</f>
        <v>0</v>
      </c>
      <c r="AD129">
        <f>IF(AND('4 Ope'!F129&gt;Tmin, NOT('4 Ope'!$I129="")),'4 Ope'!$I129,0)</f>
        <v>0</v>
      </c>
      <c r="AE129">
        <f>IF(AND('4 Ope'!C129&lt;Tmax, NOT('4 Ope'!$H129="")),'4 Ope'!$H129,4)</f>
        <v>4</v>
      </c>
      <c r="AF129">
        <f>IF(AND('4 Ope'!D129&lt;Tmax, NOT('4 Ope'!$H129="")),'4 Ope'!$H129,4)</f>
        <v>4</v>
      </c>
      <c r="AG129">
        <f>IF(AND('4 Ope'!E129&lt;Tmax, NOT('4 Ope'!$H129="")),'4 Ope'!$H129,4)</f>
        <v>4</v>
      </c>
      <c r="AH129">
        <f>IF(AND('4 Ope'!F129&lt;Tmax, NOT('4 Ope'!$H129="")),'4 Ope'!$H129,4)</f>
        <v>4</v>
      </c>
      <c r="AI129"/>
      <c r="AJ129" s="234"/>
      <c r="AK129" s="234"/>
      <c r="AL129" s="234"/>
      <c r="AM129" s="234"/>
      <c r="AN129" s="234"/>
      <c r="AO129" s="234"/>
      <c r="AP129" s="234"/>
      <c r="AQ129" s="234"/>
    </row>
    <row r="130" spans="1:46" s="34" customFormat="1" ht="20.399999999999999" x14ac:dyDescent="0.25">
      <c r="A130" s="128" t="s">
        <v>1066</v>
      </c>
      <c r="B130" s="128" t="s">
        <v>4513</v>
      </c>
      <c r="C130" s="136"/>
      <c r="D130" s="136"/>
      <c r="E130" s="136"/>
      <c r="F130" s="136"/>
      <c r="G130" s="133">
        <v>4</v>
      </c>
      <c r="H130" s="133"/>
      <c r="I130" s="133"/>
      <c r="J130" s="133"/>
      <c r="K130" s="234"/>
      <c r="L130" s="234"/>
      <c r="M130" s="234"/>
      <c r="N130" s="234"/>
      <c r="O130" s="234"/>
      <c r="P130" s="234"/>
      <c r="Q130" s="234"/>
      <c r="R130" s="234"/>
      <c r="S130" s="234"/>
      <c r="T130" s="234"/>
      <c r="U130" s="234"/>
      <c r="V130" s="234"/>
      <c r="W130" s="234"/>
      <c r="X130" s="234"/>
      <c r="Y130" s="234"/>
      <c r="Z130">
        <f>IF(AND('4 Ope'!C130&gt;Tmin, NOT('4 Ope'!$I130="")),'4 Ope'!$I130,0)</f>
        <v>0</v>
      </c>
      <c r="AA130">
        <f>IF(AND('4 Ope'!C130&gt;Tmin, NOT('4 Ope'!$I130="")),'4 Ope'!$I130,0)</f>
        <v>0</v>
      </c>
      <c r="AB130">
        <f>IF(AND('4 Ope'!D130&gt;Tmin, NOT('4 Ope'!$I130="")),'4 Ope'!$I130,0)</f>
        <v>0</v>
      </c>
      <c r="AC130">
        <f>IF(AND('4 Ope'!E130&gt;Tmin, NOT('4 Ope'!$I130="")),'4 Ope'!$I130,0)</f>
        <v>0</v>
      </c>
      <c r="AD130">
        <f>IF(AND('4 Ope'!F130&gt;Tmin, NOT('4 Ope'!$I130="")),'4 Ope'!$I130,0)</f>
        <v>0</v>
      </c>
      <c r="AE130">
        <f>IF(AND('4 Ope'!C130&lt;Tmax, NOT('4 Ope'!$H130="")),'4 Ope'!$H130,4)</f>
        <v>4</v>
      </c>
      <c r="AF130">
        <f>IF(AND('4 Ope'!D130&lt;Tmax, NOT('4 Ope'!$H130="")),'4 Ope'!$H130,4)</f>
        <v>4</v>
      </c>
      <c r="AG130">
        <f>IF(AND('4 Ope'!E130&lt;Tmax, NOT('4 Ope'!$H130="")),'4 Ope'!$H130,4)</f>
        <v>4</v>
      </c>
      <c r="AH130">
        <f>IF(AND('4 Ope'!F130&lt;Tmax, NOT('4 Ope'!$H130="")),'4 Ope'!$H130,4)</f>
        <v>4</v>
      </c>
      <c r="AI130"/>
      <c r="AJ130" s="234"/>
      <c r="AK130" s="234"/>
      <c r="AL130" s="234"/>
      <c r="AM130" s="234"/>
      <c r="AN130" s="234"/>
      <c r="AO130" s="234"/>
      <c r="AP130" s="234"/>
      <c r="AQ130" s="234"/>
    </row>
    <row r="131" spans="1:46" s="34" customFormat="1" x14ac:dyDescent="0.25">
      <c r="A131" s="128" t="s">
        <v>1067</v>
      </c>
      <c r="B131" s="128" t="s">
        <v>4514</v>
      </c>
      <c r="C131" s="136"/>
      <c r="D131" s="136"/>
      <c r="E131" s="136"/>
      <c r="F131" s="136"/>
      <c r="G131" s="133">
        <v>4</v>
      </c>
      <c r="H131" s="133"/>
      <c r="I131" s="133"/>
      <c r="J131" s="133"/>
      <c r="K131" s="234"/>
      <c r="L131" s="234"/>
      <c r="M131" s="234"/>
      <c r="N131" s="234"/>
      <c r="O131" s="234"/>
      <c r="P131" s="234"/>
      <c r="Q131" s="234"/>
      <c r="R131" s="234"/>
      <c r="S131" s="234"/>
      <c r="T131" s="234"/>
      <c r="U131" s="234"/>
      <c r="V131" s="234"/>
      <c r="W131" s="234"/>
      <c r="X131" s="234"/>
      <c r="Y131" s="234"/>
      <c r="Z131">
        <f>IF(AND('4 Ope'!C131&gt;Tmin, NOT('4 Ope'!$I131="")),'4 Ope'!$I131,0)</f>
        <v>0</v>
      </c>
      <c r="AA131">
        <f>IF(AND('4 Ope'!C131&gt;Tmin, NOT('4 Ope'!$I131="")),'4 Ope'!$I131,0)</f>
        <v>0</v>
      </c>
      <c r="AB131">
        <f>IF(AND('4 Ope'!D131&gt;Tmin, NOT('4 Ope'!$I131="")),'4 Ope'!$I131,0)</f>
        <v>0</v>
      </c>
      <c r="AC131">
        <f>IF(AND('4 Ope'!E131&gt;Tmin, NOT('4 Ope'!$I131="")),'4 Ope'!$I131,0)</f>
        <v>0</v>
      </c>
      <c r="AD131">
        <f>IF(AND('4 Ope'!F131&gt;Tmin, NOT('4 Ope'!$I131="")),'4 Ope'!$I131,0)</f>
        <v>0</v>
      </c>
      <c r="AE131">
        <f>IF(AND('4 Ope'!C131&lt;Tmax, NOT('4 Ope'!$H131="")),'4 Ope'!$H131,4)</f>
        <v>4</v>
      </c>
      <c r="AF131">
        <f>IF(AND('4 Ope'!D131&lt;Tmax, NOT('4 Ope'!$H131="")),'4 Ope'!$H131,4)</f>
        <v>4</v>
      </c>
      <c r="AG131">
        <f>IF(AND('4 Ope'!E131&lt;Tmax, NOT('4 Ope'!$H131="")),'4 Ope'!$H131,4)</f>
        <v>4</v>
      </c>
      <c r="AH131">
        <f>IF(AND('4 Ope'!F131&lt;Tmax, NOT('4 Ope'!$H131="")),'4 Ope'!$H131,4)</f>
        <v>4</v>
      </c>
      <c r="AI131"/>
      <c r="AJ131" s="234"/>
      <c r="AK131" s="234"/>
      <c r="AL131" s="234"/>
      <c r="AM131" s="234"/>
      <c r="AN131" s="234"/>
      <c r="AO131" s="234"/>
      <c r="AP131" s="234"/>
      <c r="AQ131" s="234"/>
    </row>
    <row r="132" spans="1:46" s="34" customFormat="1" x14ac:dyDescent="0.25">
      <c r="A132" s="128" t="s">
        <v>1068</v>
      </c>
      <c r="B132" s="128" t="s">
        <v>4515</v>
      </c>
      <c r="C132" s="136"/>
      <c r="D132" s="136"/>
      <c r="E132" s="136"/>
      <c r="F132" s="136"/>
      <c r="G132" s="133">
        <v>4</v>
      </c>
      <c r="H132" s="133">
        <v>2</v>
      </c>
      <c r="I132" s="133"/>
      <c r="J132" s="133"/>
      <c r="K132" s="234"/>
      <c r="L132" s="234"/>
      <c r="M132" s="234"/>
      <c r="N132" s="234"/>
      <c r="O132" s="234"/>
      <c r="P132" s="234"/>
      <c r="Q132" s="234"/>
      <c r="R132" s="234"/>
      <c r="S132" s="234"/>
      <c r="T132" s="234"/>
      <c r="U132" s="234"/>
      <c r="V132" s="234"/>
      <c r="W132" s="234"/>
      <c r="X132" s="234"/>
      <c r="Y132" s="234"/>
      <c r="Z132">
        <f>IF(AND('4 Ope'!C132&gt;Tmin, NOT('4 Ope'!$I132="")),'4 Ope'!$I132,0)</f>
        <v>0</v>
      </c>
      <c r="AA132">
        <f>IF(AND('4 Ope'!C132&gt;Tmin, NOT('4 Ope'!$I132="")),'4 Ope'!$I132,0)</f>
        <v>0</v>
      </c>
      <c r="AB132">
        <f>IF(AND('4 Ope'!D132&gt;Tmin, NOT('4 Ope'!$I132="")),'4 Ope'!$I132,0)</f>
        <v>0</v>
      </c>
      <c r="AC132">
        <f>IF(AND('4 Ope'!E132&gt;Tmin, NOT('4 Ope'!$I132="")),'4 Ope'!$I132,0)</f>
        <v>0</v>
      </c>
      <c r="AD132">
        <f>IF(AND('4 Ope'!F132&gt;Tmin, NOT('4 Ope'!$I132="")),'4 Ope'!$I132,0)</f>
        <v>0</v>
      </c>
      <c r="AE132">
        <f>IF(AND('4 Ope'!C132&lt;Tmax, NOT('4 Ope'!$H132="")),'4 Ope'!$H132,4)</f>
        <v>2</v>
      </c>
      <c r="AF132">
        <f>IF(AND('4 Ope'!D132&lt;Tmax, NOT('4 Ope'!$H132="")),'4 Ope'!$H132,4)</f>
        <v>2</v>
      </c>
      <c r="AG132">
        <f>IF(AND('4 Ope'!E132&lt;Tmax, NOT('4 Ope'!$H132="")),'4 Ope'!$H132,4)</f>
        <v>2</v>
      </c>
      <c r="AH132">
        <f>IF(AND('4 Ope'!F132&lt;Tmax, NOT('4 Ope'!$H132="")),'4 Ope'!$H132,4)</f>
        <v>2</v>
      </c>
      <c r="AI132"/>
      <c r="AJ132" s="234"/>
      <c r="AK132" s="234"/>
      <c r="AL132" s="234"/>
      <c r="AM132" s="234"/>
      <c r="AN132" s="234"/>
      <c r="AO132" s="234"/>
      <c r="AP132" s="234"/>
      <c r="AQ132" s="234"/>
    </row>
    <row r="133" spans="1:46" s="34" customFormat="1" x14ac:dyDescent="0.25">
      <c r="A133" s="128" t="s">
        <v>4492</v>
      </c>
      <c r="B133" s="128" t="s">
        <v>4516</v>
      </c>
      <c r="C133" s="136"/>
      <c r="D133" s="136"/>
      <c r="E133" s="136"/>
      <c r="F133" s="136"/>
      <c r="G133" s="133">
        <v>4</v>
      </c>
      <c r="H133" s="133"/>
      <c r="I133" s="133"/>
      <c r="J133" s="133"/>
      <c r="K133" s="234"/>
      <c r="L133" s="234"/>
      <c r="M133" s="234"/>
      <c r="N133" s="234"/>
      <c r="O133" s="234"/>
      <c r="P133" s="234"/>
      <c r="Q133" s="234"/>
      <c r="R133" s="234"/>
      <c r="S133" s="234"/>
      <c r="T133" s="234"/>
      <c r="U133" s="234"/>
      <c r="V133" s="234"/>
      <c r="W133" s="234"/>
      <c r="X133" s="234"/>
      <c r="Y133" s="234"/>
      <c r="Z133">
        <f>IF(AND('4 Ope'!C133&gt;Tmin, NOT('4 Ope'!$I133="")),'4 Ope'!$I133,0)</f>
        <v>0</v>
      </c>
      <c r="AA133">
        <f>IF(AND('4 Ope'!C133&gt;Tmin, NOT('4 Ope'!$I133="")),'4 Ope'!$I133,0)</f>
        <v>0</v>
      </c>
      <c r="AB133">
        <f>IF(AND('4 Ope'!D133&gt;Tmin, NOT('4 Ope'!$I133="")),'4 Ope'!$I133,0)</f>
        <v>0</v>
      </c>
      <c r="AC133">
        <f>IF(AND('4 Ope'!E133&gt;Tmin, NOT('4 Ope'!$I133="")),'4 Ope'!$I133,0)</f>
        <v>0</v>
      </c>
      <c r="AD133">
        <f>IF(AND('4 Ope'!F133&gt;Tmin, NOT('4 Ope'!$I133="")),'4 Ope'!$I133,0)</f>
        <v>0</v>
      </c>
      <c r="AE133">
        <f>IF(AND('4 Ope'!C133&lt;Tmax, NOT('4 Ope'!$H133="")),'4 Ope'!$H133,4)</f>
        <v>4</v>
      </c>
      <c r="AF133">
        <f>IF(AND('4 Ope'!D133&lt;Tmax, NOT('4 Ope'!$H133="")),'4 Ope'!$H133,4)</f>
        <v>4</v>
      </c>
      <c r="AG133">
        <f>IF(AND('4 Ope'!E133&lt;Tmax, NOT('4 Ope'!$H133="")),'4 Ope'!$H133,4)</f>
        <v>4</v>
      </c>
      <c r="AH133">
        <f>IF(AND('4 Ope'!F133&lt;Tmax, NOT('4 Ope'!$H133="")),'4 Ope'!$H133,4)</f>
        <v>4</v>
      </c>
      <c r="AI133"/>
      <c r="AJ133" s="234"/>
      <c r="AK133" s="234"/>
      <c r="AL133" s="234"/>
      <c r="AM133" s="234"/>
      <c r="AN133" s="234"/>
      <c r="AO133" s="234"/>
      <c r="AP133" s="234"/>
      <c r="AQ133" s="234"/>
    </row>
    <row r="134" spans="1:46" s="34" customFormat="1" x14ac:dyDescent="0.25">
      <c r="A134" s="128" t="s">
        <v>7326</v>
      </c>
      <c r="B134" s="128" t="s">
        <v>7327</v>
      </c>
      <c r="C134" s="136"/>
      <c r="D134" s="136"/>
      <c r="E134" s="136"/>
      <c r="F134" s="136"/>
      <c r="G134" s="133">
        <v>2</v>
      </c>
      <c r="H134" s="133"/>
      <c r="I134" s="133"/>
      <c r="J134" s="133" t="s">
        <v>7095</v>
      </c>
      <c r="K134" s="234"/>
      <c r="L134" s="234"/>
      <c r="M134" s="234"/>
      <c r="N134" s="234"/>
      <c r="O134" s="234"/>
      <c r="P134" s="234"/>
      <c r="Q134" s="234"/>
      <c r="R134" s="234"/>
      <c r="S134" s="234"/>
      <c r="T134" s="234"/>
      <c r="U134" s="234"/>
      <c r="V134" s="234"/>
      <c r="W134" s="234"/>
      <c r="X134" s="234"/>
      <c r="Y134" s="234"/>
      <c r="Z134">
        <f>IF(AND('4 Ope'!C134&gt;Tmin, NOT('4 Ope'!$I134="")),'4 Ope'!$I134,0)</f>
        <v>0</v>
      </c>
      <c r="AA134">
        <f>IF(AND('4 Ope'!C134&gt;Tmin, NOT('4 Ope'!$I134="")),'4 Ope'!$I134,0)</f>
        <v>0</v>
      </c>
      <c r="AB134">
        <f>IF(AND('4 Ope'!D134&gt;Tmin, NOT('4 Ope'!$I134="")),'4 Ope'!$I134,0)</f>
        <v>0</v>
      </c>
      <c r="AC134">
        <f>IF(AND('4 Ope'!E134&gt;Tmin, NOT('4 Ope'!$I134="")),'4 Ope'!$I134,0)</f>
        <v>0</v>
      </c>
      <c r="AD134">
        <f>IF(AND('4 Ope'!F134&gt;Tmin, NOT('4 Ope'!$I134="")),'4 Ope'!$I134,0)</f>
        <v>0</v>
      </c>
      <c r="AE134">
        <f>IF(AND('4 Ope'!C134&lt;Tmax, NOT('4 Ope'!$H134="")),'4 Ope'!$H134,4)</f>
        <v>4</v>
      </c>
      <c r="AF134">
        <f>IF(AND('4 Ope'!D134&lt;Tmax, NOT('4 Ope'!$H134="")),'4 Ope'!$H134,4)</f>
        <v>4</v>
      </c>
      <c r="AG134">
        <f>IF(AND('4 Ope'!E134&lt;Tmax, NOT('4 Ope'!$H134="")),'4 Ope'!$H134,4)</f>
        <v>4</v>
      </c>
      <c r="AH134">
        <f>IF(AND('4 Ope'!F134&lt;Tmax, NOT('4 Ope'!$H134="")),'4 Ope'!$H134,4)</f>
        <v>4</v>
      </c>
      <c r="AI134"/>
      <c r="AJ134" s="234"/>
      <c r="AK134" s="234"/>
      <c r="AL134" s="234"/>
      <c r="AM134" s="234"/>
      <c r="AN134" s="234"/>
      <c r="AO134" s="234"/>
      <c r="AP134" s="234"/>
      <c r="AQ134" s="234"/>
    </row>
    <row r="135" spans="1:46" s="34" customFormat="1" x14ac:dyDescent="0.25">
      <c r="A135" s="128" t="s">
        <v>2139</v>
      </c>
      <c r="B135" s="128" t="s">
        <v>216</v>
      </c>
      <c r="C135" s="136"/>
      <c r="D135" s="136"/>
      <c r="E135" s="136"/>
      <c r="F135" s="136"/>
      <c r="G135" s="133"/>
      <c r="H135" s="133"/>
      <c r="I135" s="133"/>
      <c r="J135" s="133"/>
      <c r="K135" s="234"/>
      <c r="L135" s="234"/>
      <c r="M135" s="234"/>
      <c r="N135" s="234"/>
      <c r="O135" s="234"/>
      <c r="P135" s="234"/>
      <c r="Q135" s="234"/>
      <c r="R135" s="234"/>
      <c r="S135" s="234"/>
      <c r="T135" s="234"/>
      <c r="U135" s="234"/>
      <c r="V135" s="234"/>
      <c r="W135" s="234"/>
      <c r="X135" s="234"/>
      <c r="Y135" s="234"/>
      <c r="Z135"/>
      <c r="AA135"/>
      <c r="AB135"/>
      <c r="AC135"/>
      <c r="AD135"/>
      <c r="AE135"/>
      <c r="AF135"/>
      <c r="AG135"/>
      <c r="AH135"/>
      <c r="AI135"/>
      <c r="AJ135" s="234"/>
      <c r="AK135" s="234"/>
      <c r="AL135" s="234"/>
      <c r="AM135" s="234"/>
      <c r="AN135" s="234"/>
      <c r="AO135" s="234"/>
      <c r="AP135" s="234"/>
      <c r="AQ135" s="234"/>
    </row>
    <row r="136" spans="1:46" s="34" customFormat="1" x14ac:dyDescent="0.25">
      <c r="A136" s="128" t="s">
        <v>627</v>
      </c>
      <c r="B136" s="128" t="s">
        <v>4534</v>
      </c>
      <c r="C136" s="136"/>
      <c r="D136" s="136"/>
      <c r="E136" s="136"/>
      <c r="F136" s="136"/>
      <c r="G136" s="133"/>
      <c r="H136" s="133"/>
      <c r="I136" s="133"/>
      <c r="J136" s="133"/>
      <c r="K136" s="234"/>
      <c r="L136" s="234"/>
      <c r="M136" s="234"/>
      <c r="N136" s="234"/>
      <c r="O136" s="234"/>
      <c r="P136" s="234"/>
      <c r="Q136" s="234"/>
      <c r="R136" s="234"/>
      <c r="S136" s="234"/>
      <c r="T136" s="234"/>
      <c r="U136" s="234"/>
      <c r="V136" s="234"/>
      <c r="W136" s="234"/>
      <c r="X136" s="234"/>
      <c r="Y136" s="234"/>
      <c r="Z136"/>
      <c r="AA136"/>
      <c r="AB136"/>
      <c r="AC136"/>
      <c r="AD136"/>
      <c r="AE136"/>
      <c r="AF136"/>
      <c r="AG136"/>
      <c r="AH136"/>
      <c r="AI136"/>
      <c r="AJ136" s="234"/>
      <c r="AK136" s="234"/>
      <c r="AL136" s="234"/>
      <c r="AM136" s="234"/>
      <c r="AN136" s="234"/>
      <c r="AO136" s="234"/>
      <c r="AP136" s="234"/>
      <c r="AQ136" s="234"/>
    </row>
    <row r="137" spans="1:46" s="34" customFormat="1" ht="40.799999999999997" x14ac:dyDescent="0.25">
      <c r="A137" s="128" t="s">
        <v>1069</v>
      </c>
      <c r="B137" s="128" t="s">
        <v>4531</v>
      </c>
      <c r="C137" s="136"/>
      <c r="D137" s="136"/>
      <c r="E137" s="136"/>
      <c r="F137" s="136"/>
      <c r="G137" s="133">
        <v>4</v>
      </c>
      <c r="H137" s="133">
        <v>2</v>
      </c>
      <c r="I137" s="133"/>
      <c r="J137" s="133"/>
      <c r="K137" s="234"/>
      <c r="L137" s="234"/>
      <c r="M137" s="234"/>
      <c r="N137" s="234"/>
      <c r="O137" s="234"/>
      <c r="P137" s="234"/>
      <c r="Q137" s="234"/>
      <c r="R137" s="234"/>
      <c r="S137" s="234"/>
      <c r="T137" s="234"/>
      <c r="U137" s="234"/>
      <c r="V137" s="234"/>
      <c r="W137" s="234"/>
      <c r="X137" s="234"/>
      <c r="Y137" s="234"/>
      <c r="Z137">
        <f>IF(AND('4 Ope'!C137&gt;Tmin, NOT('4 Ope'!$I137="")),'4 Ope'!$I137,0)</f>
        <v>0</v>
      </c>
      <c r="AA137">
        <f>IF(AND('4 Ope'!C137&gt;Tmin, NOT('4 Ope'!$I137="")),'4 Ope'!$I137,0)</f>
        <v>0</v>
      </c>
      <c r="AB137">
        <f>IF(AND('4 Ope'!D137&gt;Tmin, NOT('4 Ope'!$I137="")),'4 Ope'!$I137,0)</f>
        <v>0</v>
      </c>
      <c r="AC137">
        <f>IF(AND('4 Ope'!E137&gt;Tmin, NOT('4 Ope'!$I137="")),'4 Ope'!$I137,0)</f>
        <v>0</v>
      </c>
      <c r="AD137">
        <f>IF(AND('4 Ope'!F137&gt;Tmin, NOT('4 Ope'!$I137="")),'4 Ope'!$I137,0)</f>
        <v>0</v>
      </c>
      <c r="AE137">
        <f>IF(AND('4 Ope'!C137&lt;Tmax, NOT('4 Ope'!$H137="")),'4 Ope'!$H137,4)</f>
        <v>2</v>
      </c>
      <c r="AF137">
        <f>IF(AND('4 Ope'!D137&lt;Tmax, NOT('4 Ope'!$H137="")),'4 Ope'!$H137,4)</f>
        <v>2</v>
      </c>
      <c r="AG137">
        <f>IF(AND('4 Ope'!E137&lt;Tmax, NOT('4 Ope'!$H137="")),'4 Ope'!$H137,4)</f>
        <v>2</v>
      </c>
      <c r="AH137">
        <f>IF(AND('4 Ope'!F137&lt;Tmax, NOT('4 Ope'!$H137="")),'4 Ope'!$H137,4)</f>
        <v>2</v>
      </c>
      <c r="AI137"/>
      <c r="AJ137" s="234"/>
      <c r="AK137" s="234"/>
      <c r="AL137" s="234"/>
      <c r="AM137" s="234"/>
      <c r="AN137" s="234"/>
      <c r="AO137" s="234"/>
      <c r="AP137" s="234"/>
      <c r="AQ137" s="234"/>
    </row>
    <row r="138" spans="1:46" s="34" customFormat="1" x14ac:dyDescent="0.25">
      <c r="A138" s="128" t="s">
        <v>1070</v>
      </c>
      <c r="B138" s="128" t="s">
        <v>228</v>
      </c>
      <c r="C138" s="136"/>
      <c r="D138" s="136"/>
      <c r="E138" s="136"/>
      <c r="F138" s="136"/>
      <c r="G138" s="133">
        <v>4</v>
      </c>
      <c r="H138" s="133">
        <v>2</v>
      </c>
      <c r="I138" s="133"/>
      <c r="J138" s="133"/>
      <c r="K138" s="234"/>
      <c r="L138" s="234"/>
      <c r="M138" s="234"/>
      <c r="N138" s="234"/>
      <c r="O138" s="234"/>
      <c r="P138" s="234"/>
      <c r="Q138" s="234"/>
      <c r="R138" s="234"/>
      <c r="S138" s="234"/>
      <c r="T138" s="234"/>
      <c r="U138" s="234"/>
      <c r="V138" s="234"/>
      <c r="W138" s="234"/>
      <c r="X138" s="234"/>
      <c r="Y138" s="234"/>
      <c r="Z138">
        <f>IF(AND('4 Ope'!C138&gt;Tmin, NOT('4 Ope'!$I138="")),'4 Ope'!$I138,0)</f>
        <v>0</v>
      </c>
      <c r="AA138">
        <f>IF(AND('4 Ope'!C138&gt;Tmin, NOT('4 Ope'!$I138="")),'4 Ope'!$I138,0)</f>
        <v>0</v>
      </c>
      <c r="AB138">
        <f>IF(AND('4 Ope'!D138&gt;Tmin, NOT('4 Ope'!$I138="")),'4 Ope'!$I138,0)</f>
        <v>0</v>
      </c>
      <c r="AC138">
        <f>IF(AND('4 Ope'!E138&gt;Tmin, NOT('4 Ope'!$I138="")),'4 Ope'!$I138,0)</f>
        <v>0</v>
      </c>
      <c r="AD138">
        <f>IF(AND('4 Ope'!F138&gt;Tmin, NOT('4 Ope'!$I138="")),'4 Ope'!$I138,0)</f>
        <v>0</v>
      </c>
      <c r="AE138">
        <f>IF(AND('4 Ope'!C138&lt;Tmax, NOT('4 Ope'!$H138="")),'4 Ope'!$H138,4)</f>
        <v>2</v>
      </c>
      <c r="AF138">
        <f>IF(AND('4 Ope'!D138&lt;Tmax, NOT('4 Ope'!$H138="")),'4 Ope'!$H138,4)</f>
        <v>2</v>
      </c>
      <c r="AG138">
        <f>IF(AND('4 Ope'!E138&lt;Tmax, NOT('4 Ope'!$H138="")),'4 Ope'!$H138,4)</f>
        <v>2</v>
      </c>
      <c r="AH138">
        <f>IF(AND('4 Ope'!F138&lt;Tmax, NOT('4 Ope'!$H138="")),'4 Ope'!$H138,4)</f>
        <v>2</v>
      </c>
      <c r="AI138"/>
      <c r="AJ138" s="234"/>
      <c r="AK138" s="234"/>
      <c r="AL138" s="234"/>
      <c r="AM138" s="234"/>
      <c r="AN138" s="234"/>
      <c r="AO138" s="234"/>
      <c r="AP138" s="234"/>
      <c r="AQ138" s="234"/>
    </row>
    <row r="139" spans="1:46" s="34" customFormat="1" ht="40.799999999999997" x14ac:dyDescent="0.25">
      <c r="A139" s="128" t="s">
        <v>1071</v>
      </c>
      <c r="B139" s="128" t="s">
        <v>4532</v>
      </c>
      <c r="C139" s="136"/>
      <c r="D139" s="136"/>
      <c r="E139" s="136"/>
      <c r="F139" s="136"/>
      <c r="G139" s="133">
        <v>2</v>
      </c>
      <c r="H139" s="133">
        <v>3</v>
      </c>
      <c r="I139" s="133"/>
      <c r="J139" s="133"/>
      <c r="K139" s="234"/>
      <c r="L139" s="234"/>
      <c r="M139" s="234"/>
      <c r="N139" s="234"/>
      <c r="O139" s="234"/>
      <c r="P139" s="234"/>
      <c r="Q139" s="234"/>
      <c r="R139" s="234"/>
      <c r="S139" s="234"/>
      <c r="T139" s="234"/>
      <c r="U139" s="234"/>
      <c r="V139" s="234"/>
      <c r="W139" s="234"/>
      <c r="X139" s="234"/>
      <c r="Y139" s="234"/>
      <c r="Z139">
        <f>IF(AND('4 Ope'!C139&gt;Tmin, NOT('4 Ope'!$I139="")),'4 Ope'!$I139,0)</f>
        <v>0</v>
      </c>
      <c r="AA139">
        <f>IF(AND('4 Ope'!C139&gt;Tmin, NOT('4 Ope'!$I139="")),'4 Ope'!$I139,0)</f>
        <v>0</v>
      </c>
      <c r="AB139">
        <f>IF(AND('4 Ope'!D139&gt;Tmin, NOT('4 Ope'!$I139="")),'4 Ope'!$I139,0)</f>
        <v>0</v>
      </c>
      <c r="AC139">
        <f>IF(AND('4 Ope'!E139&gt;Tmin, NOT('4 Ope'!$I139="")),'4 Ope'!$I139,0)</f>
        <v>0</v>
      </c>
      <c r="AD139">
        <f>IF(AND('4 Ope'!F139&gt;Tmin, NOT('4 Ope'!$I139="")),'4 Ope'!$I139,0)</f>
        <v>0</v>
      </c>
      <c r="AE139">
        <f>IF(AND('4 Ope'!C139&lt;Tmax, NOT('4 Ope'!$H139="")),'4 Ope'!$H139,4)</f>
        <v>3</v>
      </c>
      <c r="AF139">
        <f>IF(AND('4 Ope'!D139&lt;Tmax, NOT('4 Ope'!$H139="")),'4 Ope'!$H139,4)</f>
        <v>3</v>
      </c>
      <c r="AG139">
        <f>IF(AND('4 Ope'!E139&lt;Tmax, NOT('4 Ope'!$H139="")),'4 Ope'!$H139,4)</f>
        <v>3</v>
      </c>
      <c r="AH139">
        <f>IF(AND('4 Ope'!F139&lt;Tmax, NOT('4 Ope'!$H139="")),'4 Ope'!$H139,4)</f>
        <v>3</v>
      </c>
      <c r="AI139"/>
      <c r="AJ139" s="234"/>
      <c r="AK139" s="234"/>
      <c r="AL139" s="234"/>
      <c r="AM139" s="234"/>
      <c r="AN139" s="234"/>
      <c r="AO139" s="234"/>
      <c r="AP139" s="234"/>
      <c r="AQ139" s="234"/>
      <c r="AR139" s="234"/>
      <c r="AS139" s="234"/>
      <c r="AT139" s="234"/>
    </row>
    <row r="140" spans="1:46" s="34" customFormat="1" ht="20.399999999999999" x14ac:dyDescent="0.25">
      <c r="A140" s="128" t="s">
        <v>1072</v>
      </c>
      <c r="B140" s="128" t="s">
        <v>1073</v>
      </c>
      <c r="C140" s="136"/>
      <c r="D140" s="136"/>
      <c r="E140" s="136"/>
      <c r="F140" s="136"/>
      <c r="G140" s="133">
        <v>4</v>
      </c>
      <c r="H140" s="133"/>
      <c r="I140" s="133"/>
      <c r="J140" s="133"/>
      <c r="K140" s="234"/>
      <c r="L140" s="234"/>
      <c r="M140" s="234"/>
      <c r="N140" s="234"/>
      <c r="O140" s="234"/>
      <c r="P140" s="234"/>
      <c r="Q140" s="234"/>
      <c r="R140" s="234"/>
      <c r="S140" s="234"/>
      <c r="T140" s="234"/>
      <c r="U140" s="234"/>
      <c r="V140" s="234"/>
      <c r="W140" s="234"/>
      <c r="X140" s="234"/>
      <c r="Y140" s="234"/>
      <c r="Z140">
        <f>IF(AND('4 Ope'!C140&gt;Tmin, NOT('4 Ope'!$I140="")),'4 Ope'!$I140,0)</f>
        <v>0</v>
      </c>
      <c r="AA140">
        <f>IF(AND('4 Ope'!C140&gt;Tmin, NOT('4 Ope'!$I140="")),'4 Ope'!$I140,0)</f>
        <v>0</v>
      </c>
      <c r="AB140">
        <f>IF(AND('4 Ope'!D140&gt;Tmin, NOT('4 Ope'!$I140="")),'4 Ope'!$I140,0)</f>
        <v>0</v>
      </c>
      <c r="AC140">
        <f>IF(AND('4 Ope'!E140&gt;Tmin, NOT('4 Ope'!$I140="")),'4 Ope'!$I140,0)</f>
        <v>0</v>
      </c>
      <c r="AD140">
        <f>IF(AND('4 Ope'!F140&gt;Tmin, NOT('4 Ope'!$I140="")),'4 Ope'!$I140,0)</f>
        <v>0</v>
      </c>
      <c r="AE140">
        <f>IF(AND('4 Ope'!C140&lt;Tmax, NOT('4 Ope'!$H140="")),'4 Ope'!$H140,4)</f>
        <v>4</v>
      </c>
      <c r="AF140">
        <f>IF(AND('4 Ope'!D140&lt;Tmax, NOT('4 Ope'!$H140="")),'4 Ope'!$H140,4)</f>
        <v>4</v>
      </c>
      <c r="AG140">
        <f>IF(AND('4 Ope'!E140&lt;Tmax, NOT('4 Ope'!$H140="")),'4 Ope'!$H140,4)</f>
        <v>4</v>
      </c>
      <c r="AH140">
        <f>IF(AND('4 Ope'!F140&lt;Tmax, NOT('4 Ope'!$H140="")),'4 Ope'!$H140,4)</f>
        <v>4</v>
      </c>
      <c r="AI140"/>
      <c r="AJ140" s="234"/>
      <c r="AK140" s="234"/>
      <c r="AL140" s="234"/>
      <c r="AM140" s="234"/>
      <c r="AN140" s="234"/>
      <c r="AO140" s="234"/>
      <c r="AP140" s="234"/>
      <c r="AQ140" s="234"/>
      <c r="AR140" s="234"/>
      <c r="AS140" s="234"/>
      <c r="AT140" s="234"/>
    </row>
    <row r="141" spans="1:46" s="34" customFormat="1" x14ac:dyDescent="0.25">
      <c r="A141" s="128" t="s">
        <v>1074</v>
      </c>
      <c r="B141" s="128" t="s">
        <v>227</v>
      </c>
      <c r="C141" s="136"/>
      <c r="D141" s="136"/>
      <c r="E141" s="136"/>
      <c r="F141" s="136"/>
      <c r="G141" s="133">
        <v>2</v>
      </c>
      <c r="H141" s="133">
        <v>2</v>
      </c>
      <c r="I141" s="133"/>
      <c r="J141" s="133"/>
      <c r="K141"/>
      <c r="L141"/>
      <c r="M141"/>
      <c r="N141" s="234"/>
      <c r="O141" s="234"/>
      <c r="P141" s="234"/>
      <c r="Q141" s="234"/>
      <c r="R141" s="234"/>
      <c r="S141" s="234"/>
      <c r="T141" s="234"/>
      <c r="U141" s="234"/>
      <c r="V141" s="234"/>
      <c r="W141" s="234"/>
      <c r="X141" s="234"/>
      <c r="Y141" s="234"/>
      <c r="Z141">
        <f>IF(AND('4 Ope'!C141&gt;Tmin, NOT('4 Ope'!$I141="")),'4 Ope'!$I141,0)</f>
        <v>0</v>
      </c>
      <c r="AA141">
        <f>IF(AND('4 Ope'!C141&gt;Tmin, NOT('4 Ope'!$I141="")),'4 Ope'!$I141,0)</f>
        <v>0</v>
      </c>
      <c r="AB141">
        <f>IF(AND('4 Ope'!D141&gt;Tmin, NOT('4 Ope'!$I141="")),'4 Ope'!$I141,0)</f>
        <v>0</v>
      </c>
      <c r="AC141">
        <f>IF(AND('4 Ope'!E141&gt;Tmin, NOT('4 Ope'!$I141="")),'4 Ope'!$I141,0)</f>
        <v>0</v>
      </c>
      <c r="AD141">
        <f>IF(AND('4 Ope'!F141&gt;Tmin, NOT('4 Ope'!$I141="")),'4 Ope'!$I141,0)</f>
        <v>0</v>
      </c>
      <c r="AE141">
        <f>IF(AND('4 Ope'!C141&lt;Tmax, NOT('4 Ope'!$H141="")),'4 Ope'!$H141,4)</f>
        <v>2</v>
      </c>
      <c r="AF141">
        <f>IF(AND('4 Ope'!D141&lt;Tmax, NOT('4 Ope'!$H141="")),'4 Ope'!$H141,4)</f>
        <v>2</v>
      </c>
      <c r="AG141">
        <f>IF(AND('4 Ope'!E141&lt;Tmax, NOT('4 Ope'!$H141="")),'4 Ope'!$H141,4)</f>
        <v>2</v>
      </c>
      <c r="AH141">
        <f>IF(AND('4 Ope'!F141&lt;Tmax, NOT('4 Ope'!$H141="")),'4 Ope'!$H141,4)</f>
        <v>2</v>
      </c>
      <c r="AI141"/>
      <c r="AJ141" s="234"/>
      <c r="AK141" s="234"/>
      <c r="AL141" s="234"/>
      <c r="AM141" s="234"/>
      <c r="AN141" s="234"/>
      <c r="AO141" s="234"/>
      <c r="AP141" s="234"/>
      <c r="AQ141" s="234"/>
      <c r="AR141" s="234"/>
      <c r="AS141" s="234"/>
      <c r="AT141" s="234"/>
    </row>
    <row r="142" spans="1:46" s="34" customFormat="1" x14ac:dyDescent="0.25">
      <c r="A142" s="128" t="s">
        <v>1075</v>
      </c>
      <c r="B142" s="128" t="s">
        <v>217</v>
      </c>
      <c r="C142" s="136"/>
      <c r="D142" s="136"/>
      <c r="E142" s="136"/>
      <c r="F142" s="136"/>
      <c r="G142" s="133">
        <v>2</v>
      </c>
      <c r="H142" s="133">
        <v>3</v>
      </c>
      <c r="I142" s="133"/>
      <c r="J142" s="133"/>
      <c r="K142" s="234"/>
      <c r="L142" s="234"/>
      <c r="M142" s="234"/>
      <c r="N142" s="234"/>
      <c r="O142" s="234"/>
      <c r="P142" s="234"/>
      <c r="Q142" s="234"/>
      <c r="R142" s="234"/>
      <c r="S142" s="234"/>
      <c r="T142" s="234"/>
      <c r="U142" s="234"/>
      <c r="V142" s="234"/>
      <c r="W142" s="234"/>
      <c r="X142" s="234"/>
      <c r="Y142" s="234"/>
      <c r="Z142">
        <f>IF(AND('4 Ope'!C142&gt;Tmin, NOT('4 Ope'!$I142="")),'4 Ope'!$I142,0)</f>
        <v>0</v>
      </c>
      <c r="AA142">
        <f>IF(AND('4 Ope'!C142&gt;Tmin, NOT('4 Ope'!$I142="")),'4 Ope'!$I142,0)</f>
        <v>0</v>
      </c>
      <c r="AB142">
        <f>IF(AND('4 Ope'!D142&gt;Tmin, NOT('4 Ope'!$I142="")),'4 Ope'!$I142,0)</f>
        <v>0</v>
      </c>
      <c r="AC142">
        <f>IF(AND('4 Ope'!E142&gt;Tmin, NOT('4 Ope'!$I142="")),'4 Ope'!$I142,0)</f>
        <v>0</v>
      </c>
      <c r="AD142">
        <f>IF(AND('4 Ope'!F142&gt;Tmin, NOT('4 Ope'!$I142="")),'4 Ope'!$I142,0)</f>
        <v>0</v>
      </c>
      <c r="AE142">
        <f>IF(AND('4 Ope'!C142&lt;Tmax, NOT('4 Ope'!$H142="")),'4 Ope'!$H142,4)</f>
        <v>3</v>
      </c>
      <c r="AF142">
        <f>IF(AND('4 Ope'!D142&lt;Tmax, NOT('4 Ope'!$H142="")),'4 Ope'!$H142,4)</f>
        <v>3</v>
      </c>
      <c r="AG142">
        <f>IF(AND('4 Ope'!E142&lt;Tmax, NOT('4 Ope'!$H142="")),'4 Ope'!$H142,4)</f>
        <v>3</v>
      </c>
      <c r="AH142">
        <f>IF(AND('4 Ope'!F142&lt;Tmax, NOT('4 Ope'!$H142="")),'4 Ope'!$H142,4)</f>
        <v>3</v>
      </c>
      <c r="AI142"/>
      <c r="AJ142" s="234"/>
      <c r="AK142" s="234"/>
      <c r="AL142" s="234"/>
      <c r="AM142" s="234"/>
      <c r="AN142" s="234"/>
      <c r="AO142" s="234"/>
      <c r="AP142" s="234"/>
      <c r="AQ142" s="234"/>
      <c r="AR142" s="234"/>
      <c r="AS142" s="234"/>
      <c r="AT142" s="234"/>
    </row>
    <row r="143" spans="1:46" s="34" customFormat="1" ht="20.399999999999999" x14ac:dyDescent="0.25">
      <c r="A143" s="128" t="s">
        <v>1076</v>
      </c>
      <c r="B143" s="128" t="s">
        <v>2337</v>
      </c>
      <c r="C143" s="136"/>
      <c r="D143" s="136"/>
      <c r="E143" s="136"/>
      <c r="F143" s="136"/>
      <c r="G143" s="133">
        <v>4</v>
      </c>
      <c r="H143" s="133">
        <v>3</v>
      </c>
      <c r="I143" s="133"/>
      <c r="J143" s="133"/>
      <c r="K143" s="234"/>
      <c r="L143" s="234"/>
      <c r="M143" s="234"/>
      <c r="N143" s="234"/>
      <c r="O143" s="234"/>
      <c r="P143" s="234"/>
      <c r="Q143" s="234"/>
      <c r="R143" s="234"/>
      <c r="S143" s="234"/>
      <c r="T143" s="234"/>
      <c r="U143" s="234"/>
      <c r="V143" s="234"/>
      <c r="W143" s="234"/>
      <c r="X143" s="234"/>
      <c r="Y143" s="234"/>
      <c r="Z143">
        <f>IF(AND('4 Ope'!C143&gt;Tmin, NOT('4 Ope'!$I143="")),'4 Ope'!$I143,0)</f>
        <v>0</v>
      </c>
      <c r="AA143">
        <f>IF(AND('4 Ope'!C143&gt;Tmin, NOT('4 Ope'!$I143="")),'4 Ope'!$I143,0)</f>
        <v>0</v>
      </c>
      <c r="AB143">
        <f>IF(AND('4 Ope'!D143&gt;Tmin, NOT('4 Ope'!$I143="")),'4 Ope'!$I143,0)</f>
        <v>0</v>
      </c>
      <c r="AC143">
        <f>IF(AND('4 Ope'!E143&gt;Tmin, NOT('4 Ope'!$I143="")),'4 Ope'!$I143,0)</f>
        <v>0</v>
      </c>
      <c r="AD143">
        <f>IF(AND('4 Ope'!F143&gt;Tmin, NOT('4 Ope'!$I143="")),'4 Ope'!$I143,0)</f>
        <v>0</v>
      </c>
      <c r="AE143">
        <f>IF(AND('4 Ope'!C143&lt;Tmax, NOT('4 Ope'!$H143="")),'4 Ope'!$H143,4)</f>
        <v>3</v>
      </c>
      <c r="AF143">
        <f>IF(AND('4 Ope'!D143&lt;Tmax, NOT('4 Ope'!$H143="")),'4 Ope'!$H143,4)</f>
        <v>3</v>
      </c>
      <c r="AG143">
        <f>IF(AND('4 Ope'!E143&lt;Tmax, NOT('4 Ope'!$H143="")),'4 Ope'!$H143,4)</f>
        <v>3</v>
      </c>
      <c r="AH143">
        <f>IF(AND('4 Ope'!F143&lt;Tmax, NOT('4 Ope'!$H143="")),'4 Ope'!$H143,4)</f>
        <v>3</v>
      </c>
      <c r="AI143"/>
      <c r="AJ143" s="234"/>
      <c r="AK143" s="234"/>
      <c r="AL143" s="234"/>
      <c r="AM143" s="234"/>
      <c r="AN143" s="234"/>
      <c r="AO143" s="234"/>
      <c r="AP143" s="234"/>
      <c r="AQ143" s="234"/>
      <c r="AR143" s="234"/>
      <c r="AS143" s="234"/>
      <c r="AT143" s="234"/>
    </row>
    <row r="144" spans="1:46" s="34" customFormat="1" ht="20.399999999999999" x14ac:dyDescent="0.25">
      <c r="A144" s="128" t="s">
        <v>1077</v>
      </c>
      <c r="B144" s="128" t="s">
        <v>4</v>
      </c>
      <c r="C144" s="136"/>
      <c r="D144" s="136"/>
      <c r="E144" s="136"/>
      <c r="F144" s="136"/>
      <c r="G144" s="133">
        <v>4</v>
      </c>
      <c r="H144" s="133">
        <v>2</v>
      </c>
      <c r="I144" s="133"/>
      <c r="J144" s="133"/>
      <c r="K144" s="234"/>
      <c r="L144" s="234"/>
      <c r="M144" s="234"/>
      <c r="N144" s="234"/>
      <c r="O144" s="234"/>
      <c r="P144" s="234"/>
      <c r="Q144" s="234"/>
      <c r="R144" s="234"/>
      <c r="S144" s="234"/>
      <c r="T144" s="234"/>
      <c r="U144" s="234"/>
      <c r="V144" s="234"/>
      <c r="W144" s="234"/>
      <c r="X144" s="234"/>
      <c r="Y144" s="234"/>
      <c r="Z144">
        <f>IF(AND('4 Ope'!C144&gt;Tmin, NOT('4 Ope'!$I144="")),'4 Ope'!$I144,0)</f>
        <v>0</v>
      </c>
      <c r="AA144">
        <f>IF(AND('4 Ope'!C144&gt;Tmin, NOT('4 Ope'!$I144="")),'4 Ope'!$I144,0)</f>
        <v>0</v>
      </c>
      <c r="AB144">
        <f>IF(AND('4 Ope'!D144&gt;Tmin, NOT('4 Ope'!$I144="")),'4 Ope'!$I144,0)</f>
        <v>0</v>
      </c>
      <c r="AC144">
        <f>IF(AND('4 Ope'!E144&gt;Tmin, NOT('4 Ope'!$I144="")),'4 Ope'!$I144,0)</f>
        <v>0</v>
      </c>
      <c r="AD144">
        <f>IF(AND('4 Ope'!F144&gt;Tmin, NOT('4 Ope'!$I144="")),'4 Ope'!$I144,0)</f>
        <v>0</v>
      </c>
      <c r="AE144">
        <f>IF(AND('4 Ope'!C144&lt;Tmax, NOT('4 Ope'!$H144="")),'4 Ope'!$H144,4)</f>
        <v>2</v>
      </c>
      <c r="AF144">
        <f>IF(AND('4 Ope'!D144&lt;Tmax, NOT('4 Ope'!$H144="")),'4 Ope'!$H144,4)</f>
        <v>2</v>
      </c>
      <c r="AG144">
        <f>IF(AND('4 Ope'!E144&lt;Tmax, NOT('4 Ope'!$H144="")),'4 Ope'!$H144,4)</f>
        <v>2</v>
      </c>
      <c r="AH144">
        <f>IF(AND('4 Ope'!F144&lt;Tmax, NOT('4 Ope'!$H144="")),'4 Ope'!$H144,4)</f>
        <v>2</v>
      </c>
      <c r="AI144"/>
      <c r="AJ144" s="234"/>
      <c r="AK144" s="234"/>
      <c r="AL144" s="234"/>
      <c r="AM144" s="234"/>
      <c r="AN144" s="234"/>
      <c r="AO144" s="234"/>
      <c r="AP144" s="234"/>
      <c r="AQ144" s="234"/>
      <c r="AR144" s="234"/>
      <c r="AS144" s="234"/>
      <c r="AT144" s="234"/>
    </row>
    <row r="145" spans="1:80" s="34" customFormat="1" ht="20.399999999999999" x14ac:dyDescent="0.25">
      <c r="A145" s="128" t="s">
        <v>1078</v>
      </c>
      <c r="B145" s="128" t="s">
        <v>2148</v>
      </c>
      <c r="C145" s="136"/>
      <c r="D145" s="136"/>
      <c r="E145" s="136"/>
      <c r="F145" s="136"/>
      <c r="G145" s="133">
        <v>4</v>
      </c>
      <c r="H145" s="133">
        <v>3</v>
      </c>
      <c r="I145" s="133"/>
      <c r="J145" s="133"/>
      <c r="K145" s="234"/>
      <c r="L145" s="234"/>
      <c r="M145" s="234"/>
      <c r="N145" s="234"/>
      <c r="O145" s="234"/>
      <c r="P145" s="234"/>
      <c r="Q145" s="234"/>
      <c r="R145" s="234"/>
      <c r="S145" s="234"/>
      <c r="T145" s="234"/>
      <c r="U145" s="234"/>
      <c r="V145" s="234"/>
      <c r="W145" s="234"/>
      <c r="X145" s="234"/>
      <c r="Y145" s="234"/>
      <c r="Z145">
        <f>IF(AND('4 Ope'!C145&gt;Tmin, NOT('4 Ope'!$I145="")),'4 Ope'!$I145,0)</f>
        <v>0</v>
      </c>
      <c r="AA145">
        <f>IF(AND('4 Ope'!C145&gt;Tmin, NOT('4 Ope'!$I145="")),'4 Ope'!$I145,0)</f>
        <v>0</v>
      </c>
      <c r="AB145">
        <f>IF(AND('4 Ope'!D145&gt;Tmin, NOT('4 Ope'!$I145="")),'4 Ope'!$I145,0)</f>
        <v>0</v>
      </c>
      <c r="AC145">
        <f>IF(AND('4 Ope'!E145&gt;Tmin, NOT('4 Ope'!$I145="")),'4 Ope'!$I145,0)</f>
        <v>0</v>
      </c>
      <c r="AD145">
        <f>IF(AND('4 Ope'!F145&gt;Tmin, NOT('4 Ope'!$I145="")),'4 Ope'!$I145,0)</f>
        <v>0</v>
      </c>
      <c r="AE145">
        <f>IF(AND('4 Ope'!C145&lt;Tmax, NOT('4 Ope'!$H145="")),'4 Ope'!$H145,4)</f>
        <v>3</v>
      </c>
      <c r="AF145">
        <f>IF(AND('4 Ope'!D145&lt;Tmax, NOT('4 Ope'!$H145="")),'4 Ope'!$H145,4)</f>
        <v>3</v>
      </c>
      <c r="AG145">
        <f>IF(AND('4 Ope'!E145&lt;Tmax, NOT('4 Ope'!$H145="")),'4 Ope'!$H145,4)</f>
        <v>3</v>
      </c>
      <c r="AH145">
        <f>IF(AND('4 Ope'!F145&lt;Tmax, NOT('4 Ope'!$H145="")),'4 Ope'!$H145,4)</f>
        <v>3</v>
      </c>
      <c r="AI145"/>
      <c r="AJ145" s="234"/>
      <c r="AK145" s="234"/>
      <c r="AL145" s="234"/>
      <c r="AM145" s="234"/>
      <c r="AN145" s="234"/>
      <c r="AO145" s="234"/>
      <c r="AP145" s="234"/>
      <c r="AQ145" s="234"/>
      <c r="AR145" s="234"/>
      <c r="AS145" s="234"/>
      <c r="AT145" s="234"/>
    </row>
    <row r="146" spans="1:80" s="34" customFormat="1" x14ac:dyDescent="0.25">
      <c r="A146" s="128" t="s">
        <v>2149</v>
      </c>
      <c r="B146" s="128" t="s">
        <v>218</v>
      </c>
      <c r="C146" s="136"/>
      <c r="D146" s="136"/>
      <c r="E146" s="136"/>
      <c r="F146" s="136"/>
      <c r="G146" s="133">
        <v>2</v>
      </c>
      <c r="H146" s="133"/>
      <c r="I146" s="133"/>
      <c r="J146" s="133"/>
      <c r="K146" s="234"/>
      <c r="L146" s="234"/>
      <c r="M146" s="234"/>
      <c r="N146" s="234"/>
      <c r="O146" s="234"/>
      <c r="P146" s="234"/>
      <c r="Q146" s="234"/>
      <c r="R146" s="234"/>
      <c r="S146" s="234"/>
      <c r="T146" s="234"/>
      <c r="U146" s="234"/>
      <c r="V146" s="234"/>
      <c r="W146" s="234"/>
      <c r="X146" s="234"/>
      <c r="Y146" s="234"/>
      <c r="Z146">
        <f>IF(AND('4 Ope'!C146&gt;Tmin, NOT('4 Ope'!$I146="")),'4 Ope'!$I146,0)</f>
        <v>0</v>
      </c>
      <c r="AA146">
        <f>IF(AND('4 Ope'!C146&gt;Tmin, NOT('4 Ope'!$I146="")),'4 Ope'!$I146,0)</f>
        <v>0</v>
      </c>
      <c r="AB146">
        <f>IF(AND('4 Ope'!D146&gt;Tmin, NOT('4 Ope'!$I146="")),'4 Ope'!$I146,0)</f>
        <v>0</v>
      </c>
      <c r="AC146">
        <f>IF(AND('4 Ope'!E146&gt;Tmin, NOT('4 Ope'!$I146="")),'4 Ope'!$I146,0)</f>
        <v>0</v>
      </c>
      <c r="AD146">
        <f>IF(AND('4 Ope'!F146&gt;Tmin, NOT('4 Ope'!$I146="")),'4 Ope'!$I146,0)</f>
        <v>0</v>
      </c>
      <c r="AE146">
        <f>IF(AND('4 Ope'!C146&lt;Tmax, NOT('4 Ope'!$H146="")),'4 Ope'!$H146,4)</f>
        <v>4</v>
      </c>
      <c r="AF146">
        <f>IF(AND('4 Ope'!D146&lt;Tmax, NOT('4 Ope'!$H146="")),'4 Ope'!$H146,4)</f>
        <v>4</v>
      </c>
      <c r="AG146">
        <f>IF(AND('4 Ope'!E146&lt;Tmax, NOT('4 Ope'!$H146="")),'4 Ope'!$H146,4)</f>
        <v>4</v>
      </c>
      <c r="AH146">
        <f>IF(AND('4 Ope'!F146&lt;Tmax, NOT('4 Ope'!$H146="")),'4 Ope'!$H146,4)</f>
        <v>4</v>
      </c>
      <c r="AI146"/>
      <c r="AJ146" s="234"/>
      <c r="AK146" s="234"/>
      <c r="AL146" s="234"/>
      <c r="AM146" s="234"/>
      <c r="AN146" s="234"/>
      <c r="AO146" s="234"/>
      <c r="AP146" s="234"/>
      <c r="AQ146" s="234"/>
      <c r="AR146" s="234"/>
      <c r="AS146" s="234"/>
      <c r="AT146" s="234"/>
    </row>
    <row r="147" spans="1:80" s="34" customFormat="1" ht="20.399999999999999" x14ac:dyDescent="0.25">
      <c r="A147" s="128" t="s">
        <v>2150</v>
      </c>
      <c r="B147" s="128" t="s">
        <v>226</v>
      </c>
      <c r="C147" s="136"/>
      <c r="D147" s="136"/>
      <c r="E147" s="136"/>
      <c r="F147" s="136"/>
      <c r="G147" s="133">
        <v>2</v>
      </c>
      <c r="H147" s="133"/>
      <c r="I147" s="133"/>
      <c r="J147" s="133"/>
      <c r="K147" s="234"/>
      <c r="L147" s="234"/>
      <c r="M147" s="234"/>
      <c r="N147" s="234"/>
      <c r="O147" s="234"/>
      <c r="P147" s="234"/>
      <c r="Q147" s="234"/>
      <c r="R147" s="234"/>
      <c r="S147" s="234"/>
      <c r="T147" s="234"/>
      <c r="U147" s="234"/>
      <c r="V147" s="234"/>
      <c r="W147" s="234"/>
      <c r="X147" s="234"/>
      <c r="Y147" s="234"/>
      <c r="Z147">
        <f>IF(AND('4 Ope'!C147&gt;Tmin, NOT('4 Ope'!$I147="")),'4 Ope'!$I147,0)</f>
        <v>0</v>
      </c>
      <c r="AA147">
        <f>IF(AND('4 Ope'!C147&gt;Tmin, NOT('4 Ope'!$I147="")),'4 Ope'!$I147,0)</f>
        <v>0</v>
      </c>
      <c r="AB147">
        <f>IF(AND('4 Ope'!D147&gt;Tmin, NOT('4 Ope'!$I147="")),'4 Ope'!$I147,0)</f>
        <v>0</v>
      </c>
      <c r="AC147">
        <f>IF(AND('4 Ope'!E147&gt;Tmin, NOT('4 Ope'!$I147="")),'4 Ope'!$I147,0)</f>
        <v>0</v>
      </c>
      <c r="AD147">
        <f>IF(AND('4 Ope'!F147&gt;Tmin, NOT('4 Ope'!$I147="")),'4 Ope'!$I147,0)</f>
        <v>0</v>
      </c>
      <c r="AE147">
        <f>IF(AND('4 Ope'!C147&lt;Tmax, NOT('4 Ope'!$H147="")),'4 Ope'!$H147,4)</f>
        <v>4</v>
      </c>
      <c r="AF147">
        <f>IF(AND('4 Ope'!D147&lt;Tmax, NOT('4 Ope'!$H147="")),'4 Ope'!$H147,4)</f>
        <v>4</v>
      </c>
      <c r="AG147">
        <f>IF(AND('4 Ope'!E147&lt;Tmax, NOT('4 Ope'!$H147="")),'4 Ope'!$H147,4)</f>
        <v>4</v>
      </c>
      <c r="AH147">
        <f>IF(AND('4 Ope'!F147&lt;Tmax, NOT('4 Ope'!$H147="")),'4 Ope'!$H147,4)</f>
        <v>4</v>
      </c>
      <c r="AI147"/>
      <c r="AJ147" s="234"/>
      <c r="AK147" s="234"/>
      <c r="AL147" s="234"/>
      <c r="AM147" s="234"/>
      <c r="AN147" s="234"/>
      <c r="AO147" s="234"/>
      <c r="AP147" s="234"/>
      <c r="AQ147" s="234"/>
      <c r="AR147" s="234"/>
      <c r="AS147" s="234"/>
      <c r="AT147" s="234"/>
    </row>
    <row r="148" spans="1:80" s="34" customFormat="1" x14ac:dyDescent="0.25">
      <c r="A148" s="128" t="s">
        <v>4533</v>
      </c>
      <c r="B148" s="128" t="s">
        <v>51</v>
      </c>
      <c r="C148" s="136"/>
      <c r="D148" s="136"/>
      <c r="E148" s="136"/>
      <c r="F148" s="136"/>
      <c r="G148" s="133">
        <v>1</v>
      </c>
      <c r="H148" s="133"/>
      <c r="I148" s="133"/>
      <c r="J148" s="133"/>
      <c r="K148"/>
      <c r="L148"/>
      <c r="M148" s="234"/>
      <c r="N148" s="234"/>
      <c r="O148" s="234"/>
      <c r="P148" s="234"/>
      <c r="Q148" s="234"/>
      <c r="R148" s="234"/>
      <c r="S148" s="234"/>
      <c r="T148" s="234"/>
      <c r="U148" s="234"/>
      <c r="V148" s="234"/>
      <c r="W148" s="234"/>
      <c r="X148" s="234"/>
      <c r="Y148" s="234"/>
      <c r="Z148">
        <f>IF(AND('4 Ope'!C148&gt;Tmin, NOT('4 Ope'!$I148="")),'4 Ope'!$I148,0)</f>
        <v>0</v>
      </c>
      <c r="AA148">
        <f>IF(AND('4 Ope'!C148&gt;Tmin, NOT('4 Ope'!$I148="")),'4 Ope'!$I148,0)</f>
        <v>0</v>
      </c>
      <c r="AB148">
        <f>IF(AND('4 Ope'!D148&gt;Tmin, NOT('4 Ope'!$I148="")),'4 Ope'!$I148,0)</f>
        <v>0</v>
      </c>
      <c r="AC148">
        <f>IF(AND('4 Ope'!E148&gt;Tmin, NOT('4 Ope'!$I148="")),'4 Ope'!$I148,0)</f>
        <v>0</v>
      </c>
      <c r="AD148">
        <f>IF(AND('4 Ope'!F148&gt;Tmin, NOT('4 Ope'!$I148="")),'4 Ope'!$I148,0)</f>
        <v>0</v>
      </c>
      <c r="AE148">
        <f>IF(AND('4 Ope'!C148&lt;Tmax, NOT('4 Ope'!$H148="")),'4 Ope'!$H148,4)</f>
        <v>4</v>
      </c>
      <c r="AF148">
        <f>IF(AND('4 Ope'!D148&lt;Tmax, NOT('4 Ope'!$H148="")),'4 Ope'!$H148,4)</f>
        <v>4</v>
      </c>
      <c r="AG148">
        <f>IF(AND('4 Ope'!E148&lt;Tmax, NOT('4 Ope'!$H148="")),'4 Ope'!$H148,4)</f>
        <v>4</v>
      </c>
      <c r="AH148">
        <f>IF(AND('4 Ope'!F148&lt;Tmax, NOT('4 Ope'!$H148="")),'4 Ope'!$H148,4)</f>
        <v>4</v>
      </c>
      <c r="AI148"/>
      <c r="AJ148" s="234"/>
      <c r="AK148" s="234"/>
      <c r="AL148" s="234"/>
      <c r="AM148" s="234"/>
      <c r="AN148" s="234"/>
      <c r="AO148" s="234"/>
      <c r="AP148" s="234"/>
      <c r="AQ148" s="234"/>
      <c r="AR148" s="234"/>
      <c r="AS148" s="234"/>
      <c r="AT148" s="234"/>
    </row>
    <row r="149" spans="1:80" s="34" customFormat="1" ht="12.75" customHeight="1" x14ac:dyDescent="0.25">
      <c r="A149" s="1159" t="s">
        <v>749</v>
      </c>
      <c r="B149" s="245" t="s">
        <v>7108</v>
      </c>
      <c r="C149" s="243"/>
      <c r="D149" s="1053"/>
      <c r="E149" s="1053"/>
      <c r="F149" s="1053"/>
      <c r="G149" s="390"/>
      <c r="H149" s="238"/>
      <c r="I149" s="233"/>
      <c r="J149" s="1072"/>
      <c r="K149" s="234"/>
      <c r="L149" s="234"/>
      <c r="M149" s="234"/>
      <c r="N149" s="234"/>
      <c r="O149" s="234"/>
      <c r="P149" s="234"/>
      <c r="Q149" s="234"/>
      <c r="R149" s="234"/>
      <c r="S149" s="234"/>
      <c r="T149" s="234"/>
      <c r="U149"/>
      <c r="V149"/>
      <c r="W149"/>
      <c r="X149"/>
      <c r="Y149"/>
      <c r="Z149"/>
      <c r="AA149"/>
      <c r="AB149"/>
      <c r="AC149"/>
      <c r="AD149"/>
      <c r="AE149"/>
      <c r="AF149"/>
      <c r="AG149"/>
      <c r="AH149"/>
      <c r="AI149"/>
      <c r="AJ149" s="234"/>
      <c r="AK149" s="234"/>
      <c r="AL149" s="234"/>
      <c r="AM149" s="234"/>
      <c r="AN149" s="234"/>
      <c r="AO149" s="234"/>
    </row>
    <row r="150" spans="1:80" s="34" customFormat="1" ht="24.75" customHeight="1" x14ac:dyDescent="0.25">
      <c r="A150" s="128" t="s">
        <v>7424</v>
      </c>
      <c r="B150" s="128" t="s">
        <v>7433</v>
      </c>
      <c r="C150" s="136"/>
      <c r="D150" s="136"/>
      <c r="E150" s="136"/>
      <c r="F150" s="136"/>
      <c r="G150" s="133">
        <v>2</v>
      </c>
      <c r="H150" s="133"/>
      <c r="I150" s="133"/>
      <c r="J150" s="133" t="s">
        <v>7107</v>
      </c>
      <c r="K150" s="234"/>
      <c r="L150" s="234"/>
      <c r="M150" s="234"/>
      <c r="N150" s="234"/>
      <c r="O150" s="234"/>
      <c r="P150" s="234"/>
      <c r="Q150" s="234"/>
      <c r="R150" s="234"/>
      <c r="S150" s="234"/>
      <c r="T150" s="234"/>
      <c r="U150">
        <f>IF(AND('[1]4 Ope'!C149&gt;Tmin, NOT('[1]4 Ope'!$I149="")),'[1]4 Ope'!$I149,0)</f>
        <v>0</v>
      </c>
      <c r="V150">
        <f>IF(AND('[1]4 Ope'!D149&gt;Tmin, NOT('[1]4 Ope'!$I149="")),'[1]4 Ope'!$I149,0)</f>
        <v>0</v>
      </c>
      <c r="W150">
        <f>IF(AND('[1]4 Ope'!E149&gt;Tmin, NOT('[1]4 Ope'!$I149="")),'[1]4 Ope'!$I149,0)</f>
        <v>0</v>
      </c>
      <c r="X150">
        <f>IF(AND('[1]4 Ope'!F149&gt;Tmin, NOT('[1]4 Ope'!$I149="")),'[1]4 Ope'!$I149,0)</f>
        <v>0</v>
      </c>
      <c r="Y150">
        <f>IF(AND('[1]4 Ope'!C149&lt;Tmax, NOT('[1]4 Ope'!$H149="")),'[1]4 Ope'!$H149,4)</f>
        <v>4</v>
      </c>
      <c r="Z150">
        <f>IF(AND('[1]4 Ope'!D149&lt;Tmax, NOT('[1]4 Ope'!$H149="")),'[1]4 Ope'!$H149,4)</f>
        <v>4</v>
      </c>
      <c r="AA150"/>
      <c r="AB150"/>
      <c r="AC150"/>
      <c r="AD150"/>
      <c r="AE150"/>
      <c r="AF150"/>
      <c r="AG150"/>
      <c r="AH150"/>
      <c r="AI150"/>
      <c r="AJ150" s="234"/>
      <c r="AK150" s="234"/>
      <c r="AL150" s="234"/>
      <c r="AM150" s="234"/>
      <c r="AN150" s="234"/>
      <c r="AO150" s="234"/>
    </row>
    <row r="151" spans="1:80" s="34" customFormat="1" ht="24.75" customHeight="1" x14ac:dyDescent="0.25">
      <c r="A151" s="128" t="s">
        <v>7425</v>
      </c>
      <c r="B151" s="128" t="s">
        <v>7426</v>
      </c>
      <c r="C151" s="136"/>
      <c r="D151" s="136"/>
      <c r="E151" s="136"/>
      <c r="F151" s="136"/>
      <c r="G151" s="133">
        <v>2</v>
      </c>
      <c r="H151" s="133"/>
      <c r="I151" s="133"/>
      <c r="J151" s="133" t="s">
        <v>7107</v>
      </c>
      <c r="K151" s="234"/>
      <c r="L151" s="234"/>
      <c r="M151" s="234"/>
      <c r="N151" s="234"/>
      <c r="O151" s="234"/>
      <c r="P151" s="234"/>
      <c r="Q151" s="234"/>
      <c r="R151" s="234"/>
      <c r="S151" s="234"/>
      <c r="T151" s="234"/>
      <c r="U151"/>
      <c r="V151"/>
      <c r="W151"/>
      <c r="X151"/>
      <c r="Y151"/>
      <c r="Z151"/>
      <c r="AA151"/>
      <c r="AB151"/>
      <c r="AC151"/>
      <c r="AD151"/>
      <c r="AE151"/>
      <c r="AF151"/>
      <c r="AG151"/>
      <c r="AH151"/>
      <c r="AI151"/>
      <c r="AJ151" s="234"/>
      <c r="AK151" s="234"/>
      <c r="AL151" s="234"/>
      <c r="AM151" s="234"/>
      <c r="AN151" s="234"/>
      <c r="AO151" s="234"/>
    </row>
    <row r="152" spans="1:80" s="34" customFormat="1" ht="24.75" customHeight="1" x14ac:dyDescent="0.25">
      <c r="A152" s="128" t="s">
        <v>7427</v>
      </c>
      <c r="B152" s="128" t="s">
        <v>7428</v>
      </c>
      <c r="C152" s="136"/>
      <c r="D152" s="136"/>
      <c r="E152" s="136"/>
      <c r="F152" s="136"/>
      <c r="G152" s="133">
        <v>2</v>
      </c>
      <c r="H152" s="133"/>
      <c r="I152" s="133"/>
      <c r="J152" s="133" t="s">
        <v>7107</v>
      </c>
      <c r="K152" s="234"/>
      <c r="L152" s="234"/>
      <c r="M152" s="234"/>
      <c r="N152" s="234"/>
      <c r="O152" s="234"/>
      <c r="P152" s="234"/>
      <c r="Q152" s="234"/>
      <c r="R152" s="234"/>
      <c r="S152" s="234"/>
      <c r="T152" s="234"/>
      <c r="U152"/>
      <c r="V152"/>
      <c r="W152"/>
      <c r="X152"/>
      <c r="Y152"/>
      <c r="Z152"/>
      <c r="AA152"/>
      <c r="AB152"/>
      <c r="AC152"/>
      <c r="AD152"/>
      <c r="AE152"/>
      <c r="AF152"/>
      <c r="AG152"/>
      <c r="AH152"/>
      <c r="AI152"/>
      <c r="AJ152" s="234"/>
      <c r="AK152" s="234"/>
      <c r="AL152" s="234"/>
      <c r="AM152" s="234"/>
      <c r="AN152" s="234"/>
      <c r="AO152" s="234"/>
    </row>
    <row r="153" spans="1:80" s="34" customFormat="1" x14ac:dyDescent="0.25">
      <c r="A153" s="128" t="s">
        <v>6794</v>
      </c>
      <c r="B153" s="128" t="s">
        <v>376</v>
      </c>
      <c r="C153" s="136"/>
      <c r="D153" s="136"/>
      <c r="E153" s="136"/>
      <c r="F153" s="136"/>
      <c r="G153" s="133"/>
      <c r="H153" s="133"/>
      <c r="I153" s="133"/>
      <c r="J153" s="133"/>
      <c r="K153"/>
      <c r="L153"/>
      <c r="M153" s="234"/>
      <c r="N153" s="234"/>
      <c r="O153" s="234"/>
      <c r="P153" s="234"/>
      <c r="Q153" s="234"/>
      <c r="R153" s="234"/>
      <c r="S153" s="234"/>
      <c r="T153" s="234"/>
      <c r="U153" s="234"/>
      <c r="V153" s="234"/>
      <c r="W153" s="234"/>
      <c r="X153" s="234"/>
      <c r="Y153" s="234"/>
      <c r="Z153"/>
      <c r="AA153"/>
      <c r="AB153"/>
      <c r="AC153"/>
      <c r="AD153"/>
      <c r="AE153"/>
      <c r="AF153"/>
      <c r="AG153"/>
      <c r="AH153"/>
      <c r="AI153"/>
      <c r="AJ153" s="234"/>
      <c r="AK153" s="234"/>
      <c r="AL153" s="234"/>
      <c r="AM153" s="234"/>
      <c r="AN153" s="234"/>
      <c r="AO153" s="234"/>
      <c r="AP153" s="234"/>
      <c r="AQ153" s="234"/>
      <c r="AR153" s="234"/>
      <c r="AS153" s="234"/>
      <c r="AT153" s="234"/>
    </row>
    <row r="154" spans="1:80" s="34" customFormat="1" ht="20.399999999999999" x14ac:dyDescent="0.25">
      <c r="A154" s="128" t="s">
        <v>619</v>
      </c>
      <c r="B154" s="128" t="s">
        <v>1079</v>
      </c>
      <c r="C154" s="136"/>
      <c r="D154" s="136"/>
      <c r="E154" s="136"/>
      <c r="F154" s="136"/>
      <c r="G154" s="133"/>
      <c r="H154" s="133"/>
      <c r="I154" s="133"/>
      <c r="J154" s="133"/>
      <c r="K154" s="234"/>
      <c r="L154" s="234"/>
      <c r="M154" s="234"/>
      <c r="N154" s="234"/>
      <c r="O154" s="234"/>
      <c r="P154" s="234"/>
      <c r="Q154" s="234"/>
      <c r="R154" s="234"/>
      <c r="S154" s="234"/>
      <c r="T154" s="234"/>
      <c r="U154" s="234"/>
      <c r="V154" s="234"/>
      <c r="W154" s="234"/>
      <c r="X154" s="234"/>
      <c r="Y154" s="234"/>
      <c r="Z154"/>
      <c r="AA154"/>
      <c r="AB154"/>
      <c r="AC154"/>
      <c r="AD154"/>
      <c r="AE154"/>
      <c r="AF154"/>
      <c r="AG154"/>
      <c r="AH154"/>
      <c r="AI154"/>
      <c r="AJ154" s="234"/>
      <c r="AK154" s="234"/>
      <c r="AL154" s="234"/>
      <c r="AM154" s="234"/>
      <c r="AN154" s="234"/>
      <c r="AO154" s="234"/>
      <c r="AP154" s="234"/>
      <c r="AQ154" s="234"/>
      <c r="AR154" s="234"/>
      <c r="AS154" s="234"/>
      <c r="AT154" s="234"/>
    </row>
    <row r="155" spans="1:80" s="34" customFormat="1" x14ac:dyDescent="0.25">
      <c r="A155" s="128" t="s">
        <v>1080</v>
      </c>
      <c r="B155" s="128" t="s">
        <v>377</v>
      </c>
      <c r="C155" s="136"/>
      <c r="D155" s="136"/>
      <c r="E155" s="136"/>
      <c r="F155" s="136"/>
      <c r="G155" s="133">
        <v>2</v>
      </c>
      <c r="H155" s="133"/>
      <c r="I155" s="133"/>
      <c r="J155" s="133"/>
      <c r="K155" s="234"/>
      <c r="L155" s="234"/>
      <c r="M155" s="234"/>
      <c r="N155" s="234"/>
      <c r="O155" s="234"/>
      <c r="P155" s="234"/>
      <c r="Q155" s="234"/>
      <c r="R155" s="234"/>
      <c r="S155" s="234"/>
      <c r="T155" s="234"/>
      <c r="U155" s="234"/>
      <c r="V155" s="234"/>
      <c r="W155" s="234"/>
      <c r="X155" s="234"/>
      <c r="Y155" s="234"/>
      <c r="Z155">
        <f>IF(AND('4 Ope'!C155&gt;Tmin, NOT('4 Ope'!$I155="")),'4 Ope'!$I155,0)</f>
        <v>0</v>
      </c>
      <c r="AA155">
        <f>IF(AND('4 Ope'!C155&gt;Tmin, NOT('4 Ope'!$I155="")),'4 Ope'!$I155,0)</f>
        <v>0</v>
      </c>
      <c r="AB155">
        <f>IF(AND('4 Ope'!D155&gt;Tmin, NOT('4 Ope'!$I155="")),'4 Ope'!$I155,0)</f>
        <v>0</v>
      </c>
      <c r="AC155">
        <f>IF(AND('4 Ope'!E155&gt;Tmin, NOT('4 Ope'!$I155="")),'4 Ope'!$I155,0)</f>
        <v>0</v>
      </c>
      <c r="AD155">
        <f>IF(AND('4 Ope'!F155&gt;Tmin, NOT('4 Ope'!$I155="")),'4 Ope'!$I155,0)</f>
        <v>0</v>
      </c>
      <c r="AE155">
        <f>IF(AND('4 Ope'!C155&lt;Tmax, NOT('4 Ope'!$H155="")),'4 Ope'!$H155,4)</f>
        <v>4</v>
      </c>
      <c r="AF155">
        <f>IF(AND('4 Ope'!D155&lt;Tmax, NOT('4 Ope'!$H155="")),'4 Ope'!$H155,4)</f>
        <v>4</v>
      </c>
      <c r="AG155">
        <f>IF(AND('4 Ope'!E155&lt;Tmax, NOT('4 Ope'!$H155="")),'4 Ope'!$H155,4)</f>
        <v>4</v>
      </c>
      <c r="AH155">
        <f>IF(AND('4 Ope'!F155&lt;Tmax, NOT('4 Ope'!$H155="")),'4 Ope'!$H155,4)</f>
        <v>4</v>
      </c>
      <c r="AI155"/>
      <c r="AJ155" s="234"/>
      <c r="AK155" s="234"/>
      <c r="AL155" s="234"/>
      <c r="AM155" s="234"/>
      <c r="AN155" s="234"/>
      <c r="AO155" s="234"/>
      <c r="AP155" s="234"/>
      <c r="AQ155" s="234"/>
      <c r="AR155" s="234"/>
      <c r="AS155" s="234"/>
      <c r="AT155" s="234"/>
    </row>
    <row r="156" spans="1:80" s="34" customFormat="1" ht="20.399999999999999" x14ac:dyDescent="0.25">
      <c r="A156" s="128" t="s">
        <v>1081</v>
      </c>
      <c r="B156" s="128" t="s">
        <v>378</v>
      </c>
      <c r="C156" s="136"/>
      <c r="D156" s="136"/>
      <c r="E156" s="136"/>
      <c r="F156" s="136"/>
      <c r="G156" s="133">
        <v>4</v>
      </c>
      <c r="H156" s="133"/>
      <c r="I156" s="133"/>
      <c r="J156" s="133"/>
      <c r="K156" s="234"/>
      <c r="L156" s="234"/>
      <c r="M156" s="234"/>
      <c r="N156" s="234"/>
      <c r="O156" s="234"/>
      <c r="P156" s="234"/>
      <c r="Q156" s="234"/>
      <c r="R156" s="234"/>
      <c r="S156" s="234"/>
      <c r="T156" s="234"/>
      <c r="U156" s="234"/>
      <c r="V156" s="234"/>
      <c r="W156" s="234"/>
      <c r="X156" s="234"/>
      <c r="Y156" s="234"/>
      <c r="Z156">
        <f>IF(AND('4 Ope'!C156&gt;Tmin, NOT('4 Ope'!$I156="")),'4 Ope'!$I156,0)</f>
        <v>0</v>
      </c>
      <c r="AA156">
        <f>IF(AND('4 Ope'!C156&gt;Tmin, NOT('4 Ope'!$I156="")),'4 Ope'!$I156,0)</f>
        <v>0</v>
      </c>
      <c r="AB156">
        <f>IF(AND('4 Ope'!D156&gt;Tmin, NOT('4 Ope'!$I156="")),'4 Ope'!$I156,0)</f>
        <v>0</v>
      </c>
      <c r="AC156">
        <f>IF(AND('4 Ope'!E156&gt;Tmin, NOT('4 Ope'!$I156="")),'4 Ope'!$I156,0)</f>
        <v>0</v>
      </c>
      <c r="AD156">
        <f>IF(AND('4 Ope'!F156&gt;Tmin, NOT('4 Ope'!$I156="")),'4 Ope'!$I156,0)</f>
        <v>0</v>
      </c>
      <c r="AE156">
        <f>IF(AND('4 Ope'!C156&lt;Tmax, NOT('4 Ope'!$H156="")),'4 Ope'!$H156,4)</f>
        <v>4</v>
      </c>
      <c r="AF156">
        <f>IF(AND('4 Ope'!D156&lt;Tmax, NOT('4 Ope'!$H156="")),'4 Ope'!$H156,4)</f>
        <v>4</v>
      </c>
      <c r="AG156">
        <f>IF(AND('4 Ope'!E156&lt;Tmax, NOT('4 Ope'!$H156="")),'4 Ope'!$H156,4)</f>
        <v>4</v>
      </c>
      <c r="AH156">
        <f>IF(AND('4 Ope'!F156&lt;Tmax, NOT('4 Ope'!$H156="")),'4 Ope'!$H156,4)</f>
        <v>4</v>
      </c>
      <c r="AI156"/>
      <c r="AJ156" s="234"/>
      <c r="AK156" s="234"/>
      <c r="AL156" s="234"/>
      <c r="AM156" s="234"/>
      <c r="AN156" s="234"/>
      <c r="AO156" s="234"/>
      <c r="AP156" s="234"/>
      <c r="AQ156" s="234"/>
      <c r="AR156" s="234"/>
      <c r="AS156" s="234"/>
      <c r="AT156" s="234"/>
    </row>
    <row r="157" spans="1:80" ht="20.399999999999999" x14ac:dyDescent="0.25">
      <c r="A157" s="128" t="s">
        <v>1082</v>
      </c>
      <c r="B157" s="128" t="s">
        <v>1083</v>
      </c>
      <c r="C157" s="136"/>
      <c r="D157" s="136"/>
      <c r="E157" s="136"/>
      <c r="F157" s="136"/>
      <c r="G157" s="133">
        <v>4</v>
      </c>
      <c r="H157" s="133"/>
      <c r="I157" s="133"/>
      <c r="J157" s="133"/>
      <c r="Z157">
        <f>IF(AND('4 Ope'!C157&gt;Tmin, NOT('4 Ope'!$I157="")),'4 Ope'!$I157,0)</f>
        <v>0</v>
      </c>
      <c r="AA157">
        <f>IF(AND('4 Ope'!C157&gt;Tmin, NOT('4 Ope'!$I157="")),'4 Ope'!$I157,0)</f>
        <v>0</v>
      </c>
      <c r="AB157">
        <f>IF(AND('4 Ope'!D157&gt;Tmin, NOT('4 Ope'!$I157="")),'4 Ope'!$I157,0)</f>
        <v>0</v>
      </c>
      <c r="AC157">
        <f>IF(AND('4 Ope'!E157&gt;Tmin, NOT('4 Ope'!$I157="")),'4 Ope'!$I157,0)</f>
        <v>0</v>
      </c>
      <c r="AD157">
        <f>IF(AND('4 Ope'!F157&gt;Tmin, NOT('4 Ope'!$I157="")),'4 Ope'!$I157,0)</f>
        <v>0</v>
      </c>
      <c r="AE157">
        <f>IF(AND('4 Ope'!C157&lt;Tmax, NOT('4 Ope'!$H157="")),'4 Ope'!$H157,4)</f>
        <v>4</v>
      </c>
      <c r="AF157">
        <f>IF(AND('4 Ope'!D157&lt;Tmax, NOT('4 Ope'!$H157="")),'4 Ope'!$H157,4)</f>
        <v>4</v>
      </c>
      <c r="AG157">
        <f>IF(AND('4 Ope'!E157&lt;Tmax, NOT('4 Ope'!$H157="")),'4 Ope'!$H157,4)</f>
        <v>4</v>
      </c>
      <c r="AH157">
        <f>IF(AND('4 Ope'!F157&lt;Tmax, NOT('4 Ope'!$H157="")),'4 Ope'!$H157,4)</f>
        <v>4</v>
      </c>
      <c r="AI157"/>
    </row>
    <row r="158" spans="1:80" s="228" customFormat="1" ht="20.399999999999999" x14ac:dyDescent="0.25">
      <c r="A158" s="128" t="s">
        <v>1084</v>
      </c>
      <c r="B158" s="128" t="s">
        <v>7328</v>
      </c>
      <c r="C158" s="136"/>
      <c r="D158" s="136"/>
      <c r="E158" s="136"/>
      <c r="F158" s="136"/>
      <c r="G158" s="133">
        <v>2</v>
      </c>
      <c r="H158" s="133"/>
      <c r="I158" s="133"/>
      <c r="J158" s="133" t="s">
        <v>7086</v>
      </c>
      <c r="K158" s="229"/>
      <c r="L158" s="229"/>
      <c r="M158" s="229"/>
      <c r="N158" s="229"/>
      <c r="O158" s="229"/>
      <c r="P158" s="229"/>
      <c r="Q158" s="229"/>
      <c r="R158" s="229"/>
      <c r="S158" s="229"/>
      <c r="T158" s="229"/>
      <c r="U158" s="229"/>
      <c r="V158" s="229"/>
      <c r="W158" s="229"/>
      <c r="X158" s="229"/>
      <c r="Y158" s="229"/>
      <c r="Z158">
        <f>IF(AND('4 Ope'!C158&gt;Tmin, NOT('4 Ope'!$I158="")),'4 Ope'!$I158,0)</f>
        <v>0</v>
      </c>
      <c r="AA158">
        <f>IF(AND('4 Ope'!C158&gt;Tmin, NOT('4 Ope'!$I158="")),'4 Ope'!$I158,0)</f>
        <v>0</v>
      </c>
      <c r="AB158">
        <f>IF(AND('4 Ope'!D158&gt;Tmin, NOT('4 Ope'!$I158="")),'4 Ope'!$I158,0)</f>
        <v>0</v>
      </c>
      <c r="AC158">
        <f>IF(AND('4 Ope'!E158&gt;Tmin, NOT('4 Ope'!$I158="")),'4 Ope'!$I158,0)</f>
        <v>0</v>
      </c>
      <c r="AD158">
        <f>IF(AND('4 Ope'!F158&gt;Tmin, NOT('4 Ope'!$I158="")),'4 Ope'!$I158,0)</f>
        <v>0</v>
      </c>
      <c r="AE158">
        <f>IF(AND('4 Ope'!C158&lt;Tmax, NOT('4 Ope'!$H158="")),'4 Ope'!$H158,4)</f>
        <v>4</v>
      </c>
      <c r="AF158">
        <f>IF(AND('4 Ope'!D158&lt;Tmax, NOT('4 Ope'!$H158="")),'4 Ope'!$H158,4)</f>
        <v>4</v>
      </c>
      <c r="AG158">
        <f>IF(AND('4 Ope'!E158&lt;Tmax, NOT('4 Ope'!$H158="")),'4 Ope'!$H158,4)</f>
        <v>4</v>
      </c>
      <c r="AH158">
        <f>IF(AND('4 Ope'!F158&lt;Tmax, NOT('4 Ope'!$H158="")),'4 Ope'!$H158,4)</f>
        <v>4</v>
      </c>
      <c r="AI158"/>
      <c r="AJ158" s="229"/>
      <c r="AK158" s="229"/>
      <c r="AL158" s="229"/>
      <c r="AM158" s="229"/>
      <c r="AN158" s="229"/>
      <c r="AO158" s="229"/>
      <c r="AP158" s="229"/>
      <c r="AQ158" s="229"/>
      <c r="AR158" s="229"/>
      <c r="AS158" s="229"/>
      <c r="AT158" s="229"/>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row>
    <row r="159" spans="1:80" s="228" customFormat="1" ht="20.399999999999999" x14ac:dyDescent="0.25">
      <c r="A159" s="128" t="s">
        <v>1085</v>
      </c>
      <c r="B159" s="128" t="s">
        <v>7203</v>
      </c>
      <c r="C159" s="136"/>
      <c r="D159" s="136"/>
      <c r="E159" s="136"/>
      <c r="F159" s="136"/>
      <c r="G159" s="133">
        <v>4</v>
      </c>
      <c r="H159" s="133"/>
      <c r="I159" s="133"/>
      <c r="J159" s="133" t="s">
        <v>7086</v>
      </c>
      <c r="K159" s="229"/>
      <c r="L159" s="229"/>
      <c r="M159" s="229"/>
      <c r="N159" s="229"/>
      <c r="O159" s="229"/>
      <c r="P159" s="229"/>
      <c r="Q159" s="229"/>
      <c r="R159" s="229"/>
      <c r="S159" s="229"/>
      <c r="T159" s="229"/>
      <c r="U159" s="229"/>
      <c r="V159" s="229"/>
      <c r="W159" s="229"/>
      <c r="X159" s="229"/>
      <c r="Y159" s="229"/>
      <c r="Z159">
        <f>IF(AND('4 Ope'!C159&gt;Tmin, NOT('4 Ope'!$I159="")),'4 Ope'!$I159,0)</f>
        <v>0</v>
      </c>
      <c r="AA159">
        <f>IF(AND('4 Ope'!C159&gt;Tmin, NOT('4 Ope'!$I159="")),'4 Ope'!$I159,0)</f>
        <v>0</v>
      </c>
      <c r="AB159">
        <f>IF(AND('4 Ope'!D159&gt;Tmin, NOT('4 Ope'!$I159="")),'4 Ope'!$I159,0)</f>
        <v>0</v>
      </c>
      <c r="AC159">
        <f>IF(AND('4 Ope'!E159&gt;Tmin, NOT('4 Ope'!$I159="")),'4 Ope'!$I159,0)</f>
        <v>0</v>
      </c>
      <c r="AD159">
        <f>IF(AND('4 Ope'!F159&gt;Tmin, NOT('4 Ope'!$I159="")),'4 Ope'!$I159,0)</f>
        <v>0</v>
      </c>
      <c r="AE159">
        <f>IF(AND('4 Ope'!C159&lt;Tmax, NOT('4 Ope'!$H159="")),'4 Ope'!$H159,4)</f>
        <v>4</v>
      </c>
      <c r="AF159">
        <f>IF(AND('4 Ope'!D159&lt;Tmax, NOT('4 Ope'!$H159="")),'4 Ope'!$H159,4)</f>
        <v>4</v>
      </c>
      <c r="AG159">
        <f>IF(AND('4 Ope'!E159&lt;Tmax, NOT('4 Ope'!$H159="")),'4 Ope'!$H159,4)</f>
        <v>4</v>
      </c>
      <c r="AH159">
        <f>IF(AND('4 Ope'!F159&lt;Tmax, NOT('4 Ope'!$H159="")),'4 Ope'!$H159,4)</f>
        <v>4</v>
      </c>
      <c r="AI159"/>
      <c r="AJ159" s="229"/>
      <c r="AK159" s="229"/>
      <c r="AL159" s="229"/>
      <c r="AM159" s="229"/>
      <c r="AN159" s="229"/>
      <c r="AO159" s="229"/>
      <c r="AP159" s="229"/>
      <c r="AQ159" s="229"/>
      <c r="AR159" s="229"/>
      <c r="AS159" s="229"/>
      <c r="AT159" s="229"/>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row>
    <row r="160" spans="1:80" s="228" customFormat="1" ht="20.399999999999999" x14ac:dyDescent="0.25">
      <c r="A160" s="128" t="s">
        <v>1086</v>
      </c>
      <c r="B160" s="128" t="s">
        <v>255</v>
      </c>
      <c r="C160" s="136"/>
      <c r="D160" s="136"/>
      <c r="E160" s="136"/>
      <c r="F160" s="136"/>
      <c r="G160" s="133">
        <v>2</v>
      </c>
      <c r="H160" s="133"/>
      <c r="I160" s="133"/>
      <c r="J160" s="133"/>
      <c r="K160" s="229"/>
      <c r="L160" s="229"/>
      <c r="M160" s="229"/>
      <c r="N160" s="229"/>
      <c r="O160" s="229"/>
      <c r="P160" s="229"/>
      <c r="Q160" s="229"/>
      <c r="R160" s="229"/>
      <c r="S160" s="229"/>
      <c r="T160" s="229"/>
      <c r="U160" s="229"/>
      <c r="V160" s="229"/>
      <c r="W160" s="229"/>
      <c r="X160" s="229"/>
      <c r="Y160" s="229"/>
      <c r="Z160">
        <f>IF(AND('4 Ope'!C160&gt;Tmin, NOT('4 Ope'!$I160="")),'4 Ope'!$I160,0)</f>
        <v>0</v>
      </c>
      <c r="AA160">
        <f>IF(AND('4 Ope'!C160&gt;Tmin, NOT('4 Ope'!$I160="")),'4 Ope'!$I160,0)</f>
        <v>0</v>
      </c>
      <c r="AB160">
        <f>IF(AND('4 Ope'!D160&gt;Tmin, NOT('4 Ope'!$I160="")),'4 Ope'!$I160,0)</f>
        <v>0</v>
      </c>
      <c r="AC160">
        <f>IF(AND('4 Ope'!E160&gt;Tmin, NOT('4 Ope'!$I160="")),'4 Ope'!$I160,0)</f>
        <v>0</v>
      </c>
      <c r="AD160">
        <f>IF(AND('4 Ope'!F160&gt;Tmin, NOT('4 Ope'!$I160="")),'4 Ope'!$I160,0)</f>
        <v>0</v>
      </c>
      <c r="AE160">
        <f>IF(AND('4 Ope'!C160&lt;Tmax, NOT('4 Ope'!$H160="")),'4 Ope'!$H160,4)</f>
        <v>4</v>
      </c>
      <c r="AF160">
        <f>IF(AND('4 Ope'!D160&lt;Tmax, NOT('4 Ope'!$H160="")),'4 Ope'!$H160,4)</f>
        <v>4</v>
      </c>
      <c r="AG160">
        <f>IF(AND('4 Ope'!E160&lt;Tmax, NOT('4 Ope'!$H160="")),'4 Ope'!$H160,4)</f>
        <v>4</v>
      </c>
      <c r="AH160">
        <f>IF(AND('4 Ope'!F160&lt;Tmax, NOT('4 Ope'!$H160="")),'4 Ope'!$H160,4)</f>
        <v>4</v>
      </c>
      <c r="AI160"/>
      <c r="AJ160" s="229"/>
      <c r="AK160" s="229"/>
      <c r="AL160" s="229"/>
      <c r="AM160" s="229"/>
      <c r="AN160" s="229"/>
      <c r="AO160" s="229"/>
      <c r="AP160" s="229"/>
      <c r="AQ160" s="229"/>
      <c r="AR160" s="229"/>
      <c r="AS160" s="229"/>
      <c r="AT160" s="229"/>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row>
    <row r="161" spans="1:80" s="228" customFormat="1" ht="20.399999999999999" x14ac:dyDescent="0.25">
      <c r="A161" s="128" t="s">
        <v>1088</v>
      </c>
      <c r="B161" s="128" t="s">
        <v>380</v>
      </c>
      <c r="C161" s="136"/>
      <c r="D161" s="136"/>
      <c r="E161" s="136"/>
      <c r="F161" s="136"/>
      <c r="G161" s="133">
        <v>4</v>
      </c>
      <c r="H161" s="133"/>
      <c r="I161" s="133"/>
      <c r="J161" s="133"/>
      <c r="K161" s="229"/>
      <c r="L161" s="229"/>
      <c r="M161" s="229"/>
      <c r="N161" s="229"/>
      <c r="O161" s="229"/>
      <c r="P161" s="229"/>
      <c r="Q161" s="229"/>
      <c r="R161" s="229"/>
      <c r="S161" s="229"/>
      <c r="T161" s="229"/>
      <c r="U161" s="229"/>
      <c r="V161" s="229"/>
      <c r="W161" s="229"/>
      <c r="X161" s="229"/>
      <c r="Y161" s="229"/>
      <c r="Z161">
        <f>IF(AND('4 Ope'!C161&gt;Tmin, NOT('4 Ope'!$I161="")),'4 Ope'!$I161,0)</f>
        <v>0</v>
      </c>
      <c r="AA161">
        <f>IF(AND('4 Ope'!C161&gt;Tmin, NOT('4 Ope'!$I161="")),'4 Ope'!$I161,0)</f>
        <v>0</v>
      </c>
      <c r="AB161">
        <f>IF(AND('4 Ope'!D161&gt;Tmin, NOT('4 Ope'!$I161="")),'4 Ope'!$I161,0)</f>
        <v>0</v>
      </c>
      <c r="AC161">
        <f>IF(AND('4 Ope'!E161&gt;Tmin, NOT('4 Ope'!$I161="")),'4 Ope'!$I161,0)</f>
        <v>0</v>
      </c>
      <c r="AD161">
        <f>IF(AND('4 Ope'!F161&gt;Tmin, NOT('4 Ope'!$I161="")),'4 Ope'!$I161,0)</f>
        <v>0</v>
      </c>
      <c r="AE161">
        <f>IF(AND('4 Ope'!C161&lt;Tmax, NOT('4 Ope'!$H161="")),'4 Ope'!$H161,4)</f>
        <v>4</v>
      </c>
      <c r="AF161">
        <f>IF(AND('4 Ope'!D161&lt;Tmax, NOT('4 Ope'!$H161="")),'4 Ope'!$H161,4)</f>
        <v>4</v>
      </c>
      <c r="AG161">
        <f>IF(AND('4 Ope'!E161&lt;Tmax, NOT('4 Ope'!$H161="")),'4 Ope'!$H161,4)</f>
        <v>4</v>
      </c>
      <c r="AH161">
        <f>IF(AND('4 Ope'!F161&lt;Tmax, NOT('4 Ope'!$H161="")),'4 Ope'!$H161,4)</f>
        <v>4</v>
      </c>
      <c r="AI161"/>
      <c r="AJ161" s="229"/>
      <c r="AK161" s="229"/>
      <c r="AL161" s="229"/>
      <c r="AM161" s="229"/>
      <c r="AN161" s="229"/>
      <c r="AO161" s="229"/>
      <c r="AP161" s="229"/>
      <c r="AQ161" s="229"/>
      <c r="AR161" s="229"/>
      <c r="AS161" s="229"/>
      <c r="AT161" s="229"/>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row>
    <row r="162" spans="1:80" s="228" customFormat="1" ht="20.399999999999999" x14ac:dyDescent="0.25">
      <c r="A162" s="128" t="s">
        <v>1089</v>
      </c>
      <c r="B162" s="128" t="s">
        <v>1087</v>
      </c>
      <c r="C162" s="136"/>
      <c r="D162" s="136"/>
      <c r="E162" s="136"/>
      <c r="F162" s="136"/>
      <c r="G162" s="133">
        <v>4</v>
      </c>
      <c r="H162" s="133"/>
      <c r="I162" s="133"/>
      <c r="J162" s="133"/>
      <c r="K162" s="229"/>
      <c r="L162" s="229"/>
      <c r="M162" s="229"/>
      <c r="N162" s="229"/>
      <c r="O162" s="229"/>
      <c r="P162" s="229"/>
      <c r="Q162" s="229"/>
      <c r="R162" s="229"/>
      <c r="S162" s="229"/>
      <c r="T162" s="229"/>
      <c r="U162" s="229"/>
      <c r="V162" s="229"/>
      <c r="W162" s="229"/>
      <c r="X162" s="229"/>
      <c r="Y162" s="229"/>
      <c r="Z162">
        <f>IF(AND('4 Ope'!C162&gt;Tmin, NOT('4 Ope'!$I162="")),'4 Ope'!$I162,0)</f>
        <v>0</v>
      </c>
      <c r="AA162">
        <f>IF(AND('4 Ope'!C162&gt;Tmin, NOT('4 Ope'!$I162="")),'4 Ope'!$I162,0)</f>
        <v>0</v>
      </c>
      <c r="AB162">
        <f>IF(AND('4 Ope'!D162&gt;Tmin, NOT('4 Ope'!$I162="")),'4 Ope'!$I162,0)</f>
        <v>0</v>
      </c>
      <c r="AC162">
        <f>IF(AND('4 Ope'!E162&gt;Tmin, NOT('4 Ope'!$I162="")),'4 Ope'!$I162,0)</f>
        <v>0</v>
      </c>
      <c r="AD162">
        <f>IF(AND('4 Ope'!F162&gt;Tmin, NOT('4 Ope'!$I162="")),'4 Ope'!$I162,0)</f>
        <v>0</v>
      </c>
      <c r="AE162">
        <f>IF(AND('4 Ope'!C162&lt;Tmax, NOT('4 Ope'!$H162="")),'4 Ope'!$H162,4)</f>
        <v>4</v>
      </c>
      <c r="AF162">
        <f>IF(AND('4 Ope'!D162&lt;Tmax, NOT('4 Ope'!$H162="")),'4 Ope'!$H162,4)</f>
        <v>4</v>
      </c>
      <c r="AG162">
        <f>IF(AND('4 Ope'!E162&lt;Tmax, NOT('4 Ope'!$H162="")),'4 Ope'!$H162,4)</f>
        <v>4</v>
      </c>
      <c r="AH162">
        <f>IF(AND('4 Ope'!F162&lt;Tmax, NOT('4 Ope'!$H162="")),'4 Ope'!$H162,4)</f>
        <v>4</v>
      </c>
      <c r="AI162"/>
      <c r="AJ162" s="229"/>
      <c r="AK162" s="229"/>
      <c r="AL162" s="229"/>
      <c r="AM162" s="229"/>
      <c r="AN162" s="229"/>
      <c r="AO162" s="229"/>
      <c r="AP162" s="229"/>
      <c r="AQ162" s="229"/>
      <c r="AR162" s="229"/>
      <c r="AS162" s="229"/>
      <c r="AT162" s="229"/>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row>
    <row r="163" spans="1:80" s="228" customFormat="1" ht="20.399999999999999" x14ac:dyDescent="0.25">
      <c r="A163" s="128" t="s">
        <v>1090</v>
      </c>
      <c r="B163" s="128" t="s">
        <v>59</v>
      </c>
      <c r="C163" s="136"/>
      <c r="D163" s="136"/>
      <c r="E163" s="136"/>
      <c r="F163" s="136"/>
      <c r="G163" s="133">
        <v>4</v>
      </c>
      <c r="H163" s="133">
        <v>2</v>
      </c>
      <c r="I163" s="133"/>
      <c r="J163" s="133"/>
      <c r="K163" s="229"/>
      <c r="L163" s="229"/>
      <c r="M163" s="229"/>
      <c r="N163" s="229"/>
      <c r="O163" s="229"/>
      <c r="P163" s="229"/>
      <c r="Q163" s="229"/>
      <c r="R163" s="229"/>
      <c r="S163" s="229"/>
      <c r="T163" s="229"/>
      <c r="U163" s="229"/>
      <c r="V163" s="229"/>
      <c r="W163" s="229"/>
      <c r="X163" s="229"/>
      <c r="Y163" s="229"/>
      <c r="Z163">
        <f>IF(AND('4 Ope'!C163&gt;Tmin, NOT('4 Ope'!$I163="")),'4 Ope'!$I163,0)</f>
        <v>0</v>
      </c>
      <c r="AA163">
        <f>IF(AND('4 Ope'!C163&gt;Tmin, NOT('4 Ope'!$I163="")),'4 Ope'!$I163,0)</f>
        <v>0</v>
      </c>
      <c r="AB163">
        <f>IF(AND('4 Ope'!D163&gt;Tmin, NOT('4 Ope'!$I163="")),'4 Ope'!$I163,0)</f>
        <v>0</v>
      </c>
      <c r="AC163">
        <f>IF(AND('4 Ope'!E163&gt;Tmin, NOT('4 Ope'!$I163="")),'4 Ope'!$I163,0)</f>
        <v>0</v>
      </c>
      <c r="AD163">
        <f>IF(AND('4 Ope'!F163&gt;Tmin, NOT('4 Ope'!$I163="")),'4 Ope'!$I163,0)</f>
        <v>0</v>
      </c>
      <c r="AE163">
        <f>IF(AND('4 Ope'!C163&lt;Tmax, NOT('4 Ope'!$H163="")),'4 Ope'!$H163,4)</f>
        <v>2</v>
      </c>
      <c r="AF163">
        <f>IF(AND('4 Ope'!D163&lt;Tmax, NOT('4 Ope'!$H163="")),'4 Ope'!$H163,4)</f>
        <v>2</v>
      </c>
      <c r="AG163">
        <f>IF(AND('4 Ope'!E163&lt;Tmax, NOT('4 Ope'!$H163="")),'4 Ope'!$H163,4)</f>
        <v>2</v>
      </c>
      <c r="AH163">
        <f>IF(AND('4 Ope'!F163&lt;Tmax, NOT('4 Ope'!$H163="")),'4 Ope'!$H163,4)</f>
        <v>2</v>
      </c>
      <c r="AI163"/>
      <c r="AJ163" s="229"/>
      <c r="AK163" s="229"/>
      <c r="AL163" s="229"/>
      <c r="AM163" s="229"/>
      <c r="AN163" s="229"/>
      <c r="AO163" s="229"/>
      <c r="AP163" s="229"/>
      <c r="AQ163" s="229"/>
      <c r="AR163" s="229"/>
      <c r="AS163" s="229"/>
      <c r="AT163" s="229"/>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row>
    <row r="164" spans="1:80" s="228" customFormat="1" x14ac:dyDescent="0.25">
      <c r="A164" s="128" t="s">
        <v>4523</v>
      </c>
      <c r="B164" s="128" t="s">
        <v>359</v>
      </c>
      <c r="C164" s="136"/>
      <c r="D164" s="136"/>
      <c r="E164" s="136"/>
      <c r="F164" s="136"/>
      <c r="G164" s="133">
        <v>4</v>
      </c>
      <c r="H164" s="133">
        <v>3</v>
      </c>
      <c r="I164" s="133"/>
      <c r="J164" s="133"/>
      <c r="K164" s="229"/>
      <c r="L164" s="229"/>
      <c r="M164" s="229"/>
      <c r="N164" s="229"/>
      <c r="O164" s="229"/>
      <c r="P164" s="229"/>
      <c r="Q164" s="229"/>
      <c r="R164" s="229"/>
      <c r="S164" s="229"/>
      <c r="T164" s="229"/>
      <c r="U164" s="229"/>
      <c r="V164" s="229"/>
      <c r="W164" s="229"/>
      <c r="X164" s="229"/>
      <c r="Y164" s="229"/>
      <c r="Z164">
        <f>IF(AND('4 Ope'!C164&gt;Tmin, NOT('4 Ope'!$I164="")),'4 Ope'!$I164,0)</f>
        <v>0</v>
      </c>
      <c r="AA164">
        <f>IF(AND('4 Ope'!C164&gt;Tmin, NOT('4 Ope'!$I164="")),'4 Ope'!$I164,0)</f>
        <v>0</v>
      </c>
      <c r="AB164">
        <f>IF(AND('4 Ope'!D164&gt;Tmin, NOT('4 Ope'!$I164="")),'4 Ope'!$I164,0)</f>
        <v>0</v>
      </c>
      <c r="AC164">
        <f>IF(AND('4 Ope'!E164&gt;Tmin, NOT('4 Ope'!$I164="")),'4 Ope'!$I164,0)</f>
        <v>0</v>
      </c>
      <c r="AD164">
        <f>IF(AND('4 Ope'!F164&gt;Tmin, NOT('4 Ope'!$I164="")),'4 Ope'!$I164,0)</f>
        <v>0</v>
      </c>
      <c r="AE164">
        <f>IF(AND('4 Ope'!C164&lt;Tmax, NOT('4 Ope'!$H164="")),'4 Ope'!$H164,4)</f>
        <v>3</v>
      </c>
      <c r="AF164">
        <f>IF(AND('4 Ope'!D164&lt;Tmax, NOT('4 Ope'!$H164="")),'4 Ope'!$H164,4)</f>
        <v>3</v>
      </c>
      <c r="AG164">
        <f>IF(AND('4 Ope'!E164&lt;Tmax, NOT('4 Ope'!$H164="")),'4 Ope'!$H164,4)</f>
        <v>3</v>
      </c>
      <c r="AH164">
        <f>IF(AND('4 Ope'!F164&lt;Tmax, NOT('4 Ope'!$H164="")),'4 Ope'!$H164,4)</f>
        <v>3</v>
      </c>
      <c r="AI164"/>
      <c r="AJ164" s="229"/>
      <c r="AK164" s="229"/>
      <c r="AL164" s="229"/>
      <c r="AM164" s="229"/>
      <c r="AN164" s="229"/>
      <c r="AO164" s="229"/>
      <c r="AP164" s="229"/>
      <c r="AQ164" s="229"/>
      <c r="AR164" s="229"/>
      <c r="AS164" s="229"/>
      <c r="AT164" s="229"/>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row>
    <row r="165" spans="1:80" s="228" customFormat="1" ht="30.6" x14ac:dyDescent="0.25">
      <c r="A165" s="128" t="s">
        <v>4524</v>
      </c>
      <c r="B165" s="128" t="s">
        <v>1155</v>
      </c>
      <c r="C165" s="136"/>
      <c r="D165" s="136"/>
      <c r="E165" s="136"/>
      <c r="F165" s="136"/>
      <c r="G165" s="133">
        <v>2</v>
      </c>
      <c r="H165" s="133"/>
      <c r="I165" s="133"/>
      <c r="J165" s="133"/>
      <c r="K165" s="229"/>
      <c r="L165" s="229"/>
      <c r="M165" s="229"/>
      <c r="N165" s="229"/>
      <c r="O165" s="229"/>
      <c r="P165" s="229"/>
      <c r="Q165" s="229"/>
      <c r="R165" s="229"/>
      <c r="S165" s="229"/>
      <c r="T165" s="229"/>
      <c r="U165" s="229"/>
      <c r="V165" s="229"/>
      <c r="W165" s="229"/>
      <c r="X165" s="229"/>
      <c r="Y165" s="229"/>
      <c r="Z165">
        <f>IF(AND('4 Ope'!C165&gt;Tmin, NOT('4 Ope'!$I165="")),'4 Ope'!$I165,0)</f>
        <v>0</v>
      </c>
      <c r="AA165">
        <f>IF(AND('4 Ope'!C165&gt;Tmin, NOT('4 Ope'!$I165="")),'4 Ope'!$I165,0)</f>
        <v>0</v>
      </c>
      <c r="AB165">
        <f>IF(AND('4 Ope'!D165&gt;Tmin, NOT('4 Ope'!$I165="")),'4 Ope'!$I165,0)</f>
        <v>0</v>
      </c>
      <c r="AC165">
        <f>IF(AND('4 Ope'!E165&gt;Tmin, NOT('4 Ope'!$I165="")),'4 Ope'!$I165,0)</f>
        <v>0</v>
      </c>
      <c r="AD165">
        <f>IF(AND('4 Ope'!F165&gt;Tmin, NOT('4 Ope'!$I165="")),'4 Ope'!$I165,0)</f>
        <v>0</v>
      </c>
      <c r="AE165">
        <f>IF(AND('4 Ope'!C165&lt;Tmax, NOT('4 Ope'!$H165="")),'4 Ope'!$H165,4)</f>
        <v>4</v>
      </c>
      <c r="AF165">
        <f>IF(AND('4 Ope'!D165&lt;Tmax, NOT('4 Ope'!$H165="")),'4 Ope'!$H165,4)</f>
        <v>4</v>
      </c>
      <c r="AG165">
        <f>IF(AND('4 Ope'!E165&lt;Tmax, NOT('4 Ope'!$H165="")),'4 Ope'!$H165,4)</f>
        <v>4</v>
      </c>
      <c r="AH165">
        <f>IF(AND('4 Ope'!F165&lt;Tmax, NOT('4 Ope'!$H165="")),'4 Ope'!$H165,4)</f>
        <v>4</v>
      </c>
      <c r="AI165"/>
      <c r="AJ165" s="229"/>
      <c r="AK165" s="229"/>
      <c r="AL165" s="229"/>
      <c r="AM165" s="229"/>
      <c r="AN165" s="229"/>
      <c r="AO165" s="229"/>
      <c r="AP165" s="229"/>
      <c r="AQ165" s="229"/>
      <c r="AR165" s="229"/>
      <c r="AS165" s="229"/>
      <c r="AT165" s="229"/>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row>
    <row r="166" spans="1:80" s="228" customFormat="1" ht="30.6" x14ac:dyDescent="0.25">
      <c r="A166" s="128" t="s">
        <v>4525</v>
      </c>
      <c r="B166" s="128" t="s">
        <v>1156</v>
      </c>
      <c r="C166" s="136"/>
      <c r="D166" s="136"/>
      <c r="E166" s="136"/>
      <c r="F166" s="136"/>
      <c r="G166" s="133">
        <v>2</v>
      </c>
      <c r="H166" s="133"/>
      <c r="I166" s="133"/>
      <c r="J166" s="133"/>
      <c r="K166" s="229"/>
      <c r="L166" s="229"/>
      <c r="M166" s="229"/>
      <c r="N166" s="229"/>
      <c r="O166" s="229"/>
      <c r="P166" s="229"/>
      <c r="Q166" s="229"/>
      <c r="R166" s="229"/>
      <c r="S166" s="229"/>
      <c r="T166" s="229"/>
      <c r="U166" s="229"/>
      <c r="V166" s="229"/>
      <c r="W166" s="229"/>
      <c r="X166" s="229"/>
      <c r="Y166" s="229"/>
      <c r="Z166">
        <f>IF(AND('4 Ope'!C166&gt;Tmin, NOT('4 Ope'!$I166="")),'4 Ope'!$I166,0)</f>
        <v>0</v>
      </c>
      <c r="AA166">
        <f>IF(AND('4 Ope'!C166&gt;Tmin, NOT('4 Ope'!$I166="")),'4 Ope'!$I166,0)</f>
        <v>0</v>
      </c>
      <c r="AB166">
        <f>IF(AND('4 Ope'!D166&gt;Tmin, NOT('4 Ope'!$I166="")),'4 Ope'!$I166,0)</f>
        <v>0</v>
      </c>
      <c r="AC166">
        <f>IF(AND('4 Ope'!E166&gt;Tmin, NOT('4 Ope'!$I166="")),'4 Ope'!$I166,0)</f>
        <v>0</v>
      </c>
      <c r="AD166">
        <f>IF(AND('4 Ope'!F166&gt;Tmin, NOT('4 Ope'!$I166="")),'4 Ope'!$I166,0)</f>
        <v>0</v>
      </c>
      <c r="AE166">
        <f>IF(AND('4 Ope'!C166&lt;Tmax, NOT('4 Ope'!$H166="")),'4 Ope'!$H166,4)</f>
        <v>4</v>
      </c>
      <c r="AF166">
        <f>IF(AND('4 Ope'!D166&lt;Tmax, NOT('4 Ope'!$H166="")),'4 Ope'!$H166,4)</f>
        <v>4</v>
      </c>
      <c r="AG166">
        <f>IF(AND('4 Ope'!E166&lt;Tmax, NOT('4 Ope'!$H166="")),'4 Ope'!$H166,4)</f>
        <v>4</v>
      </c>
      <c r="AH166">
        <f>IF(AND('4 Ope'!F166&lt;Tmax, NOT('4 Ope'!$H166="")),'4 Ope'!$H166,4)</f>
        <v>4</v>
      </c>
      <c r="AI166"/>
      <c r="AJ166" s="229"/>
      <c r="AK166" s="229"/>
      <c r="AL166" s="229"/>
      <c r="AM166" s="229"/>
      <c r="AN166" s="229"/>
      <c r="AO166" s="229"/>
      <c r="AP166" s="229"/>
      <c r="AQ166" s="229"/>
      <c r="AR166" s="229"/>
      <c r="AS166" s="229"/>
      <c r="AT166" s="229"/>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row>
    <row r="167" spans="1:80" s="228" customFormat="1" ht="20.399999999999999" x14ac:dyDescent="0.25">
      <c r="A167" s="128" t="s">
        <v>4526</v>
      </c>
      <c r="B167" s="128" t="s">
        <v>412</v>
      </c>
      <c r="C167" s="136"/>
      <c r="D167" s="136"/>
      <c r="E167" s="136"/>
      <c r="F167" s="136"/>
      <c r="G167" s="133">
        <v>2</v>
      </c>
      <c r="H167" s="133">
        <v>2</v>
      </c>
      <c r="I167" s="133"/>
      <c r="J167" s="133"/>
      <c r="K167" s="229"/>
      <c r="L167" s="229"/>
      <c r="M167" s="229"/>
      <c r="N167" s="229"/>
      <c r="O167" s="229"/>
      <c r="P167" s="229"/>
      <c r="Q167" s="229"/>
      <c r="R167" s="229"/>
      <c r="S167" s="229"/>
      <c r="T167" s="229"/>
      <c r="U167" s="229"/>
      <c r="V167" s="229"/>
      <c r="W167" s="229"/>
      <c r="X167" s="229"/>
      <c r="Y167" s="229"/>
      <c r="Z167">
        <f>IF(AND('4 Ope'!C167&gt;Tmin, NOT('4 Ope'!$I167="")),'4 Ope'!$I167,0)</f>
        <v>0</v>
      </c>
      <c r="AA167">
        <f>IF(AND('4 Ope'!C167&gt;Tmin, NOT('4 Ope'!$I167="")),'4 Ope'!$I167,0)</f>
        <v>0</v>
      </c>
      <c r="AB167">
        <f>IF(AND('4 Ope'!D167&gt;Tmin, NOT('4 Ope'!$I167="")),'4 Ope'!$I167,0)</f>
        <v>0</v>
      </c>
      <c r="AC167">
        <f>IF(AND('4 Ope'!E167&gt;Tmin, NOT('4 Ope'!$I167="")),'4 Ope'!$I167,0)</f>
        <v>0</v>
      </c>
      <c r="AD167">
        <f>IF(AND('4 Ope'!F167&gt;Tmin, NOT('4 Ope'!$I167="")),'4 Ope'!$I167,0)</f>
        <v>0</v>
      </c>
      <c r="AE167">
        <f>IF(AND('4 Ope'!C167&lt;Tmax, NOT('4 Ope'!$H167="")),'4 Ope'!$H167,4)</f>
        <v>2</v>
      </c>
      <c r="AF167">
        <f>IF(AND('4 Ope'!D167&lt;Tmax, NOT('4 Ope'!$H167="")),'4 Ope'!$H167,4)</f>
        <v>2</v>
      </c>
      <c r="AG167">
        <f>IF(AND('4 Ope'!E167&lt;Tmax, NOT('4 Ope'!$H167="")),'4 Ope'!$H167,4)</f>
        <v>2</v>
      </c>
      <c r="AH167">
        <f>IF(AND('4 Ope'!F167&lt;Tmax, NOT('4 Ope'!$H167="")),'4 Ope'!$H167,4)</f>
        <v>2</v>
      </c>
      <c r="AI167"/>
      <c r="AJ167" s="229"/>
      <c r="AK167" s="229"/>
      <c r="AL167" s="229"/>
      <c r="AM167" s="229"/>
      <c r="AN167" s="229"/>
      <c r="AO167" s="229"/>
      <c r="AP167" s="229"/>
      <c r="AQ167" s="229"/>
      <c r="AR167" s="229"/>
      <c r="AS167" s="229"/>
      <c r="AT167" s="229"/>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row>
    <row r="168" spans="1:80" s="228" customFormat="1" x14ac:dyDescent="0.25">
      <c r="A168" s="128" t="s">
        <v>4527</v>
      </c>
      <c r="B168" s="128" t="s">
        <v>413</v>
      </c>
      <c r="C168" s="136"/>
      <c r="D168" s="136"/>
      <c r="E168" s="136"/>
      <c r="F168" s="136"/>
      <c r="G168" s="133">
        <v>2</v>
      </c>
      <c r="H168" s="133">
        <v>3</v>
      </c>
      <c r="I168" s="133"/>
      <c r="J168" s="133"/>
      <c r="K168" s="229"/>
      <c r="L168" s="229"/>
      <c r="M168" s="229"/>
      <c r="N168" s="229"/>
      <c r="O168" s="229"/>
      <c r="P168" s="229"/>
      <c r="Q168" s="229"/>
      <c r="R168" s="229"/>
      <c r="S168" s="229"/>
      <c r="T168" s="229"/>
      <c r="U168" s="229"/>
      <c r="V168" s="229"/>
      <c r="W168" s="229"/>
      <c r="X168" s="229"/>
      <c r="Y168" s="229"/>
      <c r="Z168">
        <f>IF(AND('4 Ope'!C168&gt;Tmin, NOT('4 Ope'!$I168="")),'4 Ope'!$I168,0)</f>
        <v>0</v>
      </c>
      <c r="AA168">
        <f>IF(AND('4 Ope'!C168&gt;Tmin, NOT('4 Ope'!$I168="")),'4 Ope'!$I168,0)</f>
        <v>0</v>
      </c>
      <c r="AB168">
        <f>IF(AND('4 Ope'!D168&gt;Tmin, NOT('4 Ope'!$I168="")),'4 Ope'!$I168,0)</f>
        <v>0</v>
      </c>
      <c r="AC168">
        <f>IF(AND('4 Ope'!E168&gt;Tmin, NOT('4 Ope'!$I168="")),'4 Ope'!$I168,0)</f>
        <v>0</v>
      </c>
      <c r="AD168">
        <f>IF(AND('4 Ope'!F168&gt;Tmin, NOT('4 Ope'!$I168="")),'4 Ope'!$I168,0)</f>
        <v>0</v>
      </c>
      <c r="AE168">
        <f>IF(AND('4 Ope'!C168&lt;Tmax, NOT('4 Ope'!$H168="")),'4 Ope'!$H168,4)</f>
        <v>3</v>
      </c>
      <c r="AF168">
        <f>IF(AND('4 Ope'!D168&lt;Tmax, NOT('4 Ope'!$H168="")),'4 Ope'!$H168,4)</f>
        <v>3</v>
      </c>
      <c r="AG168">
        <f>IF(AND('4 Ope'!E168&lt;Tmax, NOT('4 Ope'!$H168="")),'4 Ope'!$H168,4)</f>
        <v>3</v>
      </c>
      <c r="AH168">
        <f>IF(AND('4 Ope'!F168&lt;Tmax, NOT('4 Ope'!$H168="")),'4 Ope'!$H168,4)</f>
        <v>3</v>
      </c>
      <c r="AI168"/>
      <c r="AJ168" s="229"/>
      <c r="AK168" s="229"/>
      <c r="AL168" s="229"/>
      <c r="AM168" s="229"/>
      <c r="AN168" s="229"/>
      <c r="AO168" s="229"/>
      <c r="AP168" s="229"/>
      <c r="AQ168" s="229"/>
      <c r="AR168" s="229"/>
      <c r="AS168" s="229"/>
      <c r="AT168" s="229"/>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row>
    <row r="169" spans="1:80" s="228" customFormat="1" ht="20.399999999999999" x14ac:dyDescent="0.25">
      <c r="A169" s="128" t="s">
        <v>7329</v>
      </c>
      <c r="B169" s="128" t="s">
        <v>1157</v>
      </c>
      <c r="C169" s="136"/>
      <c r="D169" s="136"/>
      <c r="E169" s="136"/>
      <c r="F169" s="136"/>
      <c r="G169" s="133">
        <v>2</v>
      </c>
      <c r="H169" s="133">
        <v>3</v>
      </c>
      <c r="I169" s="133"/>
      <c r="J169" s="133"/>
      <c r="K169" s="229"/>
      <c r="L169" s="229"/>
      <c r="M169" s="229"/>
      <c r="N169" s="229"/>
      <c r="O169" s="229"/>
      <c r="P169" s="229"/>
      <c r="Q169" s="229"/>
      <c r="R169" s="229"/>
      <c r="S169" s="229"/>
      <c r="T169" s="229"/>
      <c r="U169" s="229"/>
      <c r="V169" s="229"/>
      <c r="W169" s="229"/>
      <c r="X169" s="229"/>
      <c r="Y169" s="229"/>
      <c r="Z169">
        <f>IF(AND('4 Ope'!C169&gt;Tmin, NOT('4 Ope'!$I169="")),'4 Ope'!$I169,0)</f>
        <v>0</v>
      </c>
      <c r="AA169">
        <f>IF(AND('4 Ope'!C169&gt;Tmin, NOT('4 Ope'!$I169="")),'4 Ope'!$I169,0)</f>
        <v>0</v>
      </c>
      <c r="AB169">
        <f>IF(AND('4 Ope'!D169&gt;Tmin, NOT('4 Ope'!$I169="")),'4 Ope'!$I169,0)</f>
        <v>0</v>
      </c>
      <c r="AC169">
        <f>IF(AND('4 Ope'!E169&gt;Tmin, NOT('4 Ope'!$I169="")),'4 Ope'!$I169,0)</f>
        <v>0</v>
      </c>
      <c r="AD169">
        <f>IF(AND('4 Ope'!F169&gt;Tmin, NOT('4 Ope'!$I169="")),'4 Ope'!$I169,0)</f>
        <v>0</v>
      </c>
      <c r="AE169">
        <f>IF(AND('4 Ope'!C169&lt;Tmax, NOT('4 Ope'!$H169="")),'4 Ope'!$H169,4)</f>
        <v>3</v>
      </c>
      <c r="AF169">
        <f>IF(AND('4 Ope'!D169&lt;Tmax, NOT('4 Ope'!$H169="")),'4 Ope'!$H169,4)</f>
        <v>3</v>
      </c>
      <c r="AG169">
        <f>IF(AND('4 Ope'!E169&lt;Tmax, NOT('4 Ope'!$H169="")),'4 Ope'!$H169,4)</f>
        <v>3</v>
      </c>
      <c r="AH169">
        <f>IF(AND('4 Ope'!F169&lt;Tmax, NOT('4 Ope'!$H169="")),'4 Ope'!$H169,4)</f>
        <v>3</v>
      </c>
      <c r="AI169"/>
      <c r="AJ169" s="229"/>
      <c r="AK169" s="229"/>
      <c r="AL169" s="229"/>
      <c r="AM169" s="229"/>
      <c r="AN169" s="229"/>
      <c r="AO169" s="229"/>
      <c r="AP169" s="229"/>
      <c r="AQ169" s="229"/>
      <c r="AR169" s="229"/>
      <c r="AS169" s="229"/>
      <c r="AT169" s="229"/>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row>
    <row r="170" spans="1:80" s="228" customFormat="1" ht="20.399999999999999" x14ac:dyDescent="0.25">
      <c r="A170" s="128" t="s">
        <v>7330</v>
      </c>
      <c r="B170" s="128" t="s">
        <v>3</v>
      </c>
      <c r="C170" s="136"/>
      <c r="D170" s="136"/>
      <c r="E170" s="136"/>
      <c r="F170" s="136"/>
      <c r="G170" s="133">
        <v>2</v>
      </c>
      <c r="H170" s="133">
        <v>3</v>
      </c>
      <c r="I170" s="133"/>
      <c r="J170" s="133"/>
      <c r="K170" s="229"/>
      <c r="L170" s="229"/>
      <c r="M170" s="229"/>
      <c r="N170" s="229"/>
      <c r="O170" s="229"/>
      <c r="P170" s="229"/>
      <c r="Q170" s="229"/>
      <c r="R170" s="229"/>
      <c r="S170" s="229"/>
      <c r="T170" s="229"/>
      <c r="U170" s="229"/>
      <c r="V170" s="229"/>
      <c r="W170" s="229"/>
      <c r="X170" s="229"/>
      <c r="Y170" s="229"/>
      <c r="Z170">
        <f>IF(AND('4 Ope'!C170&gt;Tmin, NOT('4 Ope'!$I170="")),'4 Ope'!$I170,0)</f>
        <v>0</v>
      </c>
      <c r="AA170">
        <f>IF(AND('4 Ope'!C170&gt;Tmin, NOT('4 Ope'!$I170="")),'4 Ope'!$I170,0)</f>
        <v>0</v>
      </c>
      <c r="AB170">
        <f>IF(AND('4 Ope'!D170&gt;Tmin, NOT('4 Ope'!$I170="")),'4 Ope'!$I170,0)</f>
        <v>0</v>
      </c>
      <c r="AC170">
        <f>IF(AND('4 Ope'!E170&gt;Tmin, NOT('4 Ope'!$I170="")),'4 Ope'!$I170,0)</f>
        <v>0</v>
      </c>
      <c r="AD170">
        <f>IF(AND('4 Ope'!F170&gt;Tmin, NOT('4 Ope'!$I170="")),'4 Ope'!$I170,0)</f>
        <v>0</v>
      </c>
      <c r="AE170">
        <f>IF(AND('4 Ope'!C170&lt;Tmax, NOT('4 Ope'!$H170="")),'4 Ope'!$H170,4)</f>
        <v>3</v>
      </c>
      <c r="AF170">
        <f>IF(AND('4 Ope'!D170&lt;Tmax, NOT('4 Ope'!$H170="")),'4 Ope'!$H170,4)</f>
        <v>3</v>
      </c>
      <c r="AG170">
        <f>IF(AND('4 Ope'!E170&lt;Tmax, NOT('4 Ope'!$H170="")),'4 Ope'!$H170,4)</f>
        <v>3</v>
      </c>
      <c r="AH170">
        <f>IF(AND('4 Ope'!F170&lt;Tmax, NOT('4 Ope'!$H170="")),'4 Ope'!$H170,4)</f>
        <v>3</v>
      </c>
      <c r="AI170"/>
      <c r="AJ170" s="229"/>
      <c r="AK170" s="229"/>
      <c r="AL170" s="229"/>
      <c r="AM170" s="229"/>
      <c r="AN170" s="229"/>
      <c r="AO170" s="229"/>
      <c r="AP170" s="229"/>
      <c r="AQ170" s="229"/>
      <c r="AR170" s="229"/>
      <c r="AS170" s="229"/>
      <c r="AT170" s="229"/>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row>
    <row r="171" spans="1:80" s="228" customFormat="1" x14ac:dyDescent="0.25">
      <c r="A171" s="128" t="s">
        <v>633</v>
      </c>
      <c r="B171" s="128" t="s">
        <v>137</v>
      </c>
      <c r="C171" s="136"/>
      <c r="D171" s="136"/>
      <c r="E171" s="136"/>
      <c r="F171" s="136"/>
      <c r="G171" s="133"/>
      <c r="H171" s="133"/>
      <c r="I171" s="133"/>
      <c r="J171" s="133"/>
      <c r="K171" s="229"/>
      <c r="L171" s="229"/>
      <c r="M171" s="229"/>
      <c r="N171" s="229"/>
      <c r="O171" s="229"/>
      <c r="P171" s="229"/>
      <c r="Q171" s="229"/>
      <c r="R171" s="229"/>
      <c r="S171" s="229"/>
      <c r="T171" s="229"/>
      <c r="U171" s="229"/>
      <c r="V171" s="229"/>
      <c r="W171" s="229"/>
      <c r="X171" s="229"/>
      <c r="Y171" s="229"/>
      <c r="Z171"/>
      <c r="AA171"/>
      <c r="AB171"/>
      <c r="AC171"/>
      <c r="AD171"/>
      <c r="AE171"/>
      <c r="AF171"/>
      <c r="AG171"/>
      <c r="AH171"/>
      <c r="AI171"/>
      <c r="AJ171" s="229"/>
      <c r="AK171" s="229"/>
      <c r="AL171" s="229"/>
      <c r="AM171" s="229"/>
      <c r="AN171" s="229"/>
      <c r="AO171" s="229"/>
      <c r="AP171" s="229"/>
      <c r="AQ171" s="229"/>
      <c r="AR171" s="229"/>
      <c r="AS171" s="229"/>
      <c r="AT171" s="229"/>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row>
    <row r="172" spans="1:80" s="228" customFormat="1" ht="30.6" x14ac:dyDescent="0.25">
      <c r="A172" s="128" t="s">
        <v>1091</v>
      </c>
      <c r="B172" s="128" t="s">
        <v>213</v>
      </c>
      <c r="C172" s="136"/>
      <c r="D172" s="136"/>
      <c r="E172" s="136"/>
      <c r="F172" s="136"/>
      <c r="G172" s="133">
        <v>4</v>
      </c>
      <c r="H172" s="133"/>
      <c r="I172" s="133"/>
      <c r="J172" s="133"/>
      <c r="K172" s="229"/>
      <c r="L172" s="229"/>
      <c r="M172" s="229"/>
      <c r="N172" s="229"/>
      <c r="O172" s="229"/>
      <c r="P172" s="229"/>
      <c r="Q172" s="229"/>
      <c r="R172" s="229"/>
      <c r="S172" s="229"/>
      <c r="T172" s="229"/>
      <c r="U172" s="229"/>
      <c r="V172" s="229"/>
      <c r="W172" s="229"/>
      <c r="X172" s="229"/>
      <c r="Y172" s="229"/>
      <c r="Z172">
        <f>IF(AND('4 Ope'!C172&gt;Tmin, NOT('4 Ope'!$I172="")),'4 Ope'!$I172,0)</f>
        <v>0</v>
      </c>
      <c r="AA172">
        <f>IF(AND('4 Ope'!C172&gt;Tmin, NOT('4 Ope'!$I172="")),'4 Ope'!$I172,0)</f>
        <v>0</v>
      </c>
      <c r="AB172">
        <f>IF(AND('4 Ope'!D172&gt;Tmin, NOT('4 Ope'!$I172="")),'4 Ope'!$I172,0)</f>
        <v>0</v>
      </c>
      <c r="AC172">
        <f>IF(AND('4 Ope'!E172&gt;Tmin, NOT('4 Ope'!$I172="")),'4 Ope'!$I172,0)</f>
        <v>0</v>
      </c>
      <c r="AD172">
        <f>IF(AND('4 Ope'!F172&gt;Tmin, NOT('4 Ope'!$I172="")),'4 Ope'!$I172,0)</f>
        <v>0</v>
      </c>
      <c r="AE172">
        <f>IF(AND('4 Ope'!C172&lt;Tmax, NOT('4 Ope'!$H172="")),'4 Ope'!$H172,4)</f>
        <v>4</v>
      </c>
      <c r="AF172">
        <f>IF(AND('4 Ope'!D172&lt;Tmax, NOT('4 Ope'!$H172="")),'4 Ope'!$H172,4)</f>
        <v>4</v>
      </c>
      <c r="AG172">
        <f>IF(AND('4 Ope'!E172&lt;Tmax, NOT('4 Ope'!$H172="")),'4 Ope'!$H172,4)</f>
        <v>4</v>
      </c>
      <c r="AH172">
        <f>IF(AND('4 Ope'!F172&lt;Tmax, NOT('4 Ope'!$H172="")),'4 Ope'!$H172,4)</f>
        <v>4</v>
      </c>
      <c r="AI172"/>
      <c r="AJ172" s="229"/>
      <c r="AK172" s="229"/>
      <c r="AL172" s="229"/>
      <c r="AM172" s="229"/>
      <c r="AN172" s="229"/>
      <c r="AO172" s="229"/>
      <c r="AP172" s="229"/>
      <c r="AQ172" s="229"/>
      <c r="AR172" s="229"/>
      <c r="AS172" s="229"/>
      <c r="AT172" s="229"/>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row>
    <row r="173" spans="1:80" s="228" customFormat="1" x14ac:dyDescent="0.25">
      <c r="A173" s="128" t="s">
        <v>1092</v>
      </c>
      <c r="B173" s="128" t="s">
        <v>60</v>
      </c>
      <c r="C173" s="136"/>
      <c r="D173" s="136"/>
      <c r="E173" s="136"/>
      <c r="F173" s="136"/>
      <c r="G173" s="133">
        <v>4</v>
      </c>
      <c r="H173" s="133"/>
      <c r="I173" s="133"/>
      <c r="J173" s="133"/>
      <c r="K173" s="229"/>
      <c r="L173" s="229"/>
      <c r="M173" s="229"/>
      <c r="N173" s="229"/>
      <c r="O173" s="229"/>
      <c r="P173" s="229"/>
      <c r="Q173" s="229"/>
      <c r="R173" s="229"/>
      <c r="S173" s="229"/>
      <c r="T173" s="229"/>
      <c r="U173" s="229"/>
      <c r="V173" s="229"/>
      <c r="W173" s="229"/>
      <c r="X173" s="229"/>
      <c r="Y173" s="229"/>
      <c r="Z173">
        <f>IF(AND('4 Ope'!C173&gt;Tmin, NOT('4 Ope'!$I173="")),'4 Ope'!$I173,0)</f>
        <v>0</v>
      </c>
      <c r="AA173">
        <f>IF(AND('4 Ope'!C173&gt;Tmin, NOT('4 Ope'!$I173="")),'4 Ope'!$I173,0)</f>
        <v>0</v>
      </c>
      <c r="AB173">
        <f>IF(AND('4 Ope'!D173&gt;Tmin, NOT('4 Ope'!$I173="")),'4 Ope'!$I173,0)</f>
        <v>0</v>
      </c>
      <c r="AC173">
        <f>IF(AND('4 Ope'!E173&gt;Tmin, NOT('4 Ope'!$I173="")),'4 Ope'!$I173,0)</f>
        <v>0</v>
      </c>
      <c r="AD173">
        <f>IF(AND('4 Ope'!F173&gt;Tmin, NOT('4 Ope'!$I173="")),'4 Ope'!$I173,0)</f>
        <v>0</v>
      </c>
      <c r="AE173">
        <f>IF(AND('4 Ope'!C173&lt;Tmax, NOT('4 Ope'!$H173="")),'4 Ope'!$H173,4)</f>
        <v>4</v>
      </c>
      <c r="AF173">
        <f>IF(AND('4 Ope'!D173&lt;Tmax, NOT('4 Ope'!$H173="")),'4 Ope'!$H173,4)</f>
        <v>4</v>
      </c>
      <c r="AG173">
        <f>IF(AND('4 Ope'!E173&lt;Tmax, NOT('4 Ope'!$H173="")),'4 Ope'!$H173,4)</f>
        <v>4</v>
      </c>
      <c r="AH173">
        <f>IF(AND('4 Ope'!F173&lt;Tmax, NOT('4 Ope'!$H173="")),'4 Ope'!$H173,4)</f>
        <v>4</v>
      </c>
      <c r="AI173"/>
      <c r="AJ173" s="229"/>
      <c r="AK173" s="229"/>
      <c r="AL173" s="229"/>
      <c r="AM173" s="229"/>
      <c r="AN173" s="229"/>
      <c r="AO173" s="229"/>
      <c r="AP173" s="229"/>
      <c r="AQ173" s="229"/>
      <c r="AR173" s="229"/>
      <c r="AS173" s="229"/>
      <c r="AT173" s="229"/>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row>
    <row r="174" spans="1:80" s="228" customFormat="1" ht="20.399999999999999" x14ac:dyDescent="0.25">
      <c r="A174" s="128" t="s">
        <v>1093</v>
      </c>
      <c r="B174" s="128" t="s">
        <v>2338</v>
      </c>
      <c r="C174" s="136"/>
      <c r="D174" s="136"/>
      <c r="E174" s="136"/>
      <c r="F174" s="136"/>
      <c r="G174" s="133">
        <v>4</v>
      </c>
      <c r="H174" s="133"/>
      <c r="I174" s="133"/>
      <c r="J174" s="133"/>
      <c r="K174" s="229"/>
      <c r="L174" s="229"/>
      <c r="M174" s="229"/>
      <c r="N174" s="229"/>
      <c r="O174" s="229"/>
      <c r="P174" s="229"/>
      <c r="Q174" s="229"/>
      <c r="R174" s="229"/>
      <c r="S174" s="229"/>
      <c r="T174" s="229"/>
      <c r="U174" s="229"/>
      <c r="V174" s="229"/>
      <c r="W174" s="229"/>
      <c r="X174" s="229"/>
      <c r="Y174" s="229"/>
      <c r="Z174">
        <f>IF(AND('4 Ope'!C174&gt;Tmin, NOT('4 Ope'!$I174="")),'4 Ope'!$I174,0)</f>
        <v>0</v>
      </c>
      <c r="AA174">
        <f>IF(AND('4 Ope'!C174&gt;Tmin, NOT('4 Ope'!$I174="")),'4 Ope'!$I174,0)</f>
        <v>0</v>
      </c>
      <c r="AB174">
        <f>IF(AND('4 Ope'!D174&gt;Tmin, NOT('4 Ope'!$I174="")),'4 Ope'!$I174,0)</f>
        <v>0</v>
      </c>
      <c r="AC174">
        <f>IF(AND('4 Ope'!E174&gt;Tmin, NOT('4 Ope'!$I174="")),'4 Ope'!$I174,0)</f>
        <v>0</v>
      </c>
      <c r="AD174">
        <f>IF(AND('4 Ope'!F174&gt;Tmin, NOT('4 Ope'!$I174="")),'4 Ope'!$I174,0)</f>
        <v>0</v>
      </c>
      <c r="AE174">
        <f>IF(AND('4 Ope'!C174&lt;Tmax, NOT('4 Ope'!$H174="")),'4 Ope'!$H174,4)</f>
        <v>4</v>
      </c>
      <c r="AF174">
        <f>IF(AND('4 Ope'!D174&lt;Tmax, NOT('4 Ope'!$H174="")),'4 Ope'!$H174,4)</f>
        <v>4</v>
      </c>
      <c r="AG174">
        <f>IF(AND('4 Ope'!E174&lt;Tmax, NOT('4 Ope'!$H174="")),'4 Ope'!$H174,4)</f>
        <v>4</v>
      </c>
      <c r="AH174">
        <f>IF(AND('4 Ope'!F174&lt;Tmax, NOT('4 Ope'!$H174="")),'4 Ope'!$H174,4)</f>
        <v>4</v>
      </c>
      <c r="AI174"/>
      <c r="AJ174" s="229"/>
      <c r="AK174" s="229"/>
      <c r="AL174" s="229"/>
      <c r="AM174" s="229"/>
      <c r="AN174" s="229"/>
      <c r="AO174" s="229"/>
      <c r="AP174" s="229"/>
      <c r="AQ174" s="229"/>
      <c r="AR174" s="229"/>
      <c r="AS174" s="229"/>
      <c r="AT174" s="229"/>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row>
    <row r="175" spans="1:80" s="228" customFormat="1" ht="20.399999999999999" x14ac:dyDescent="0.25">
      <c r="A175" s="128" t="s">
        <v>1094</v>
      </c>
      <c r="B175" s="128" t="s">
        <v>330</v>
      </c>
      <c r="C175" s="136"/>
      <c r="D175" s="136"/>
      <c r="E175" s="136"/>
      <c r="F175" s="136"/>
      <c r="G175" s="133">
        <v>2</v>
      </c>
      <c r="H175" s="133"/>
      <c r="I175" s="133"/>
      <c r="J175" s="133"/>
      <c r="K175" s="229"/>
      <c r="L175" s="229"/>
      <c r="M175" s="229"/>
      <c r="N175" s="229"/>
      <c r="O175" s="229"/>
      <c r="P175" s="229"/>
      <c r="Q175" s="229"/>
      <c r="R175" s="229"/>
      <c r="S175" s="229"/>
      <c r="T175" s="229"/>
      <c r="U175" s="229"/>
      <c r="V175" s="229"/>
      <c r="W175" s="229"/>
      <c r="X175" s="229"/>
      <c r="Y175" s="229"/>
      <c r="Z175">
        <f>IF(AND('4 Ope'!C175&gt;Tmin, NOT('4 Ope'!$I175="")),'4 Ope'!$I175,0)</f>
        <v>0</v>
      </c>
      <c r="AA175">
        <f>IF(AND('4 Ope'!C175&gt;Tmin, NOT('4 Ope'!$I175="")),'4 Ope'!$I175,0)</f>
        <v>0</v>
      </c>
      <c r="AB175">
        <f>IF(AND('4 Ope'!D175&gt;Tmin, NOT('4 Ope'!$I175="")),'4 Ope'!$I175,0)</f>
        <v>0</v>
      </c>
      <c r="AC175">
        <f>IF(AND('4 Ope'!E175&gt;Tmin, NOT('4 Ope'!$I175="")),'4 Ope'!$I175,0)</f>
        <v>0</v>
      </c>
      <c r="AD175">
        <f>IF(AND('4 Ope'!F175&gt;Tmin, NOT('4 Ope'!$I175="")),'4 Ope'!$I175,0)</f>
        <v>0</v>
      </c>
      <c r="AE175">
        <f>IF(AND('4 Ope'!C175&lt;Tmax, NOT('4 Ope'!$H175="")),'4 Ope'!$H175,4)</f>
        <v>4</v>
      </c>
      <c r="AF175">
        <f>IF(AND('4 Ope'!D175&lt;Tmax, NOT('4 Ope'!$H175="")),'4 Ope'!$H175,4)</f>
        <v>4</v>
      </c>
      <c r="AG175">
        <f>IF(AND('4 Ope'!E175&lt;Tmax, NOT('4 Ope'!$H175="")),'4 Ope'!$H175,4)</f>
        <v>4</v>
      </c>
      <c r="AH175">
        <f>IF(AND('4 Ope'!F175&lt;Tmax, NOT('4 Ope'!$H175="")),'4 Ope'!$H175,4)</f>
        <v>4</v>
      </c>
      <c r="AI175"/>
      <c r="AJ175" s="229"/>
      <c r="AK175" s="229"/>
      <c r="AL175" s="229"/>
      <c r="AM175" s="229"/>
      <c r="AN175" s="229"/>
      <c r="AO175" s="229"/>
      <c r="AP175" s="229"/>
      <c r="AQ175" s="229"/>
      <c r="AR175" s="229"/>
      <c r="AS175" s="229"/>
      <c r="AT175" s="229"/>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row>
    <row r="176" spans="1:80" s="228" customFormat="1" ht="20.399999999999999" x14ac:dyDescent="0.25">
      <c r="A176" s="128" t="s">
        <v>1095</v>
      </c>
      <c r="B176" s="128" t="s">
        <v>331</v>
      </c>
      <c r="C176" s="136"/>
      <c r="D176" s="136"/>
      <c r="E176" s="136"/>
      <c r="F176" s="136"/>
      <c r="G176" s="133">
        <v>2</v>
      </c>
      <c r="H176" s="133">
        <v>3</v>
      </c>
      <c r="I176" s="133"/>
      <c r="J176" s="133"/>
      <c r="K176" s="229"/>
      <c r="L176" s="229"/>
      <c r="M176" s="229"/>
      <c r="N176" s="229"/>
      <c r="O176" s="229"/>
      <c r="P176" s="229"/>
      <c r="Q176" s="229"/>
      <c r="R176" s="229"/>
      <c r="S176" s="229"/>
      <c r="T176" s="229"/>
      <c r="U176" s="229"/>
      <c r="V176" s="229"/>
      <c r="W176" s="229"/>
      <c r="X176" s="229"/>
      <c r="Y176" s="229"/>
      <c r="Z176">
        <f>IF(AND('4 Ope'!C176&gt;Tmin, NOT('4 Ope'!$I176="")),'4 Ope'!$I176,0)</f>
        <v>0</v>
      </c>
      <c r="AA176">
        <f>IF(AND('4 Ope'!C176&gt;Tmin, NOT('4 Ope'!$I176="")),'4 Ope'!$I176,0)</f>
        <v>0</v>
      </c>
      <c r="AB176">
        <f>IF(AND('4 Ope'!D176&gt;Tmin, NOT('4 Ope'!$I176="")),'4 Ope'!$I176,0)</f>
        <v>0</v>
      </c>
      <c r="AC176">
        <f>IF(AND('4 Ope'!E176&gt;Tmin, NOT('4 Ope'!$I176="")),'4 Ope'!$I176,0)</f>
        <v>0</v>
      </c>
      <c r="AD176">
        <f>IF(AND('4 Ope'!F176&gt;Tmin, NOT('4 Ope'!$I176="")),'4 Ope'!$I176,0)</f>
        <v>0</v>
      </c>
      <c r="AE176">
        <f>IF(AND('4 Ope'!C176&lt;Tmax, NOT('4 Ope'!$H176="")),'4 Ope'!$H176,4)</f>
        <v>3</v>
      </c>
      <c r="AF176">
        <f>IF(AND('4 Ope'!D176&lt;Tmax, NOT('4 Ope'!$H176="")),'4 Ope'!$H176,4)</f>
        <v>3</v>
      </c>
      <c r="AG176">
        <f>IF(AND('4 Ope'!E176&lt;Tmax, NOT('4 Ope'!$H176="")),'4 Ope'!$H176,4)</f>
        <v>3</v>
      </c>
      <c r="AH176">
        <f>IF(AND('4 Ope'!F176&lt;Tmax, NOT('4 Ope'!$H176="")),'4 Ope'!$H176,4)</f>
        <v>3</v>
      </c>
      <c r="AI176"/>
      <c r="AJ176" s="229"/>
      <c r="AK176" s="229"/>
      <c r="AL176" s="229"/>
      <c r="AM176" s="229"/>
      <c r="AN176" s="229"/>
      <c r="AO176" s="229"/>
      <c r="AP176" s="229"/>
      <c r="AQ176" s="229"/>
      <c r="AR176" s="229"/>
      <c r="AS176" s="229"/>
      <c r="AT176" s="229"/>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row>
    <row r="177" spans="1:80" s="228" customFormat="1" ht="20.399999999999999" x14ac:dyDescent="0.25">
      <c r="A177" s="128" t="s">
        <v>1096</v>
      </c>
      <c r="B177" s="128" t="s">
        <v>33</v>
      </c>
      <c r="C177" s="136"/>
      <c r="D177" s="136"/>
      <c r="E177" s="136"/>
      <c r="F177" s="136"/>
      <c r="G177" s="133">
        <v>2</v>
      </c>
      <c r="H177" s="133">
        <v>3</v>
      </c>
      <c r="I177" s="133"/>
      <c r="J177" s="133"/>
      <c r="K177" s="229"/>
      <c r="L177" s="229"/>
      <c r="M177" s="229"/>
      <c r="N177" s="229"/>
      <c r="O177" s="229"/>
      <c r="P177" s="229"/>
      <c r="Q177" s="229"/>
      <c r="R177" s="229"/>
      <c r="S177" s="229"/>
      <c r="T177" s="229"/>
      <c r="U177" s="229"/>
      <c r="V177" s="229"/>
      <c r="W177" s="229"/>
      <c r="X177" s="229"/>
      <c r="Y177" s="229"/>
      <c r="Z177">
        <f>IF(AND('4 Ope'!C177&gt;Tmin, NOT('4 Ope'!$I177="")),'4 Ope'!$I177,0)</f>
        <v>0</v>
      </c>
      <c r="AA177">
        <f>IF(AND('4 Ope'!C177&gt;Tmin, NOT('4 Ope'!$I177="")),'4 Ope'!$I177,0)</f>
        <v>0</v>
      </c>
      <c r="AB177">
        <f>IF(AND('4 Ope'!D177&gt;Tmin, NOT('4 Ope'!$I177="")),'4 Ope'!$I177,0)</f>
        <v>0</v>
      </c>
      <c r="AC177">
        <f>IF(AND('4 Ope'!E177&gt;Tmin, NOT('4 Ope'!$I177="")),'4 Ope'!$I177,0)</f>
        <v>0</v>
      </c>
      <c r="AD177">
        <f>IF(AND('4 Ope'!F177&gt;Tmin, NOT('4 Ope'!$I177="")),'4 Ope'!$I177,0)</f>
        <v>0</v>
      </c>
      <c r="AE177">
        <f>IF(AND('4 Ope'!C177&lt;Tmax, NOT('4 Ope'!$H177="")),'4 Ope'!$H177,4)</f>
        <v>3</v>
      </c>
      <c r="AF177">
        <f>IF(AND('4 Ope'!D177&lt;Tmax, NOT('4 Ope'!$H177="")),'4 Ope'!$H177,4)</f>
        <v>3</v>
      </c>
      <c r="AG177">
        <f>IF(AND('4 Ope'!E177&lt;Tmax, NOT('4 Ope'!$H177="")),'4 Ope'!$H177,4)</f>
        <v>3</v>
      </c>
      <c r="AH177">
        <f>IF(AND('4 Ope'!F177&lt;Tmax, NOT('4 Ope'!$H177="")),'4 Ope'!$H177,4)</f>
        <v>3</v>
      </c>
      <c r="AI177"/>
      <c r="AJ177" s="229"/>
      <c r="AK177" s="229"/>
      <c r="AL177" s="229"/>
      <c r="AM177" s="229"/>
      <c r="AN177" s="229"/>
      <c r="AO177" s="229"/>
      <c r="AP177" s="229"/>
      <c r="AQ177" s="229"/>
      <c r="AR177" s="229"/>
      <c r="AS177" s="229"/>
      <c r="AT177" s="229"/>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row>
    <row r="178" spans="1:80" s="228" customFormat="1" ht="20.399999999999999" x14ac:dyDescent="0.25">
      <c r="A178" s="128" t="s">
        <v>1097</v>
      </c>
      <c r="B178" s="128" t="s">
        <v>332</v>
      </c>
      <c r="C178" s="136"/>
      <c r="D178" s="136"/>
      <c r="E178" s="136"/>
      <c r="F178" s="136"/>
      <c r="G178" s="133">
        <v>2</v>
      </c>
      <c r="H178" s="133"/>
      <c r="I178" s="133"/>
      <c r="J178" s="133"/>
      <c r="K178" s="229"/>
      <c r="L178" s="229"/>
      <c r="M178" s="229"/>
      <c r="N178" s="229"/>
      <c r="O178" s="229"/>
      <c r="P178" s="229"/>
      <c r="Q178" s="229"/>
      <c r="R178" s="229"/>
      <c r="S178" s="229"/>
      <c r="T178" s="229"/>
      <c r="U178" s="229"/>
      <c r="V178" s="229"/>
      <c r="W178" s="229"/>
      <c r="X178" s="229"/>
      <c r="Y178" s="229"/>
      <c r="Z178">
        <f>IF(AND('4 Ope'!C178&gt;Tmin, NOT('4 Ope'!$I178="")),'4 Ope'!$I178,0)</f>
        <v>0</v>
      </c>
      <c r="AA178">
        <f>IF(AND('4 Ope'!C178&gt;Tmin, NOT('4 Ope'!$I178="")),'4 Ope'!$I178,0)</f>
        <v>0</v>
      </c>
      <c r="AB178">
        <f>IF(AND('4 Ope'!D178&gt;Tmin, NOT('4 Ope'!$I178="")),'4 Ope'!$I178,0)</f>
        <v>0</v>
      </c>
      <c r="AC178">
        <f>IF(AND('4 Ope'!E178&gt;Tmin, NOT('4 Ope'!$I178="")),'4 Ope'!$I178,0)</f>
        <v>0</v>
      </c>
      <c r="AD178">
        <f>IF(AND('4 Ope'!F178&gt;Tmin, NOT('4 Ope'!$I178="")),'4 Ope'!$I178,0)</f>
        <v>0</v>
      </c>
      <c r="AE178">
        <f>IF(AND('4 Ope'!C178&lt;Tmax, NOT('4 Ope'!$H178="")),'4 Ope'!$H178,4)</f>
        <v>4</v>
      </c>
      <c r="AF178">
        <f>IF(AND('4 Ope'!D178&lt;Tmax, NOT('4 Ope'!$H178="")),'4 Ope'!$H178,4)</f>
        <v>4</v>
      </c>
      <c r="AG178">
        <f>IF(AND('4 Ope'!E178&lt;Tmax, NOT('4 Ope'!$H178="")),'4 Ope'!$H178,4)</f>
        <v>4</v>
      </c>
      <c r="AH178">
        <f>IF(AND('4 Ope'!F178&lt;Tmax, NOT('4 Ope'!$H178="")),'4 Ope'!$H178,4)</f>
        <v>4</v>
      </c>
      <c r="AI178"/>
      <c r="AJ178" s="229"/>
      <c r="AK178" s="229"/>
      <c r="AL178" s="229"/>
      <c r="AM178" s="229"/>
      <c r="AN178" s="229"/>
      <c r="AO178" s="229"/>
      <c r="AP178" s="229"/>
      <c r="AQ178" s="229"/>
      <c r="AR178" s="229"/>
      <c r="AS178" s="229"/>
      <c r="AT178" s="229"/>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row>
    <row r="179" spans="1:80" s="229" customFormat="1" x14ac:dyDescent="0.25">
      <c r="A179" s="128" t="s">
        <v>1098</v>
      </c>
      <c r="B179" s="128" t="s">
        <v>61</v>
      </c>
      <c r="C179" s="136"/>
      <c r="D179" s="136"/>
      <c r="E179" s="136"/>
      <c r="F179" s="136"/>
      <c r="G179" s="133">
        <v>2</v>
      </c>
      <c r="H179" s="133"/>
      <c r="I179" s="133"/>
      <c r="J179" s="133"/>
      <c r="Z179">
        <f>IF(AND('4 Ope'!C179&gt;Tmin, NOT('4 Ope'!$I179="")),'4 Ope'!$I179,0)</f>
        <v>0</v>
      </c>
      <c r="AA179">
        <f>IF(AND('4 Ope'!C179&gt;Tmin, NOT('4 Ope'!$I179="")),'4 Ope'!$I179,0)</f>
        <v>0</v>
      </c>
      <c r="AB179">
        <f>IF(AND('4 Ope'!D179&gt;Tmin, NOT('4 Ope'!$I179="")),'4 Ope'!$I179,0)</f>
        <v>0</v>
      </c>
      <c r="AC179">
        <f>IF(AND('4 Ope'!E179&gt;Tmin, NOT('4 Ope'!$I179="")),'4 Ope'!$I179,0)</f>
        <v>0</v>
      </c>
      <c r="AD179">
        <f>IF(AND('4 Ope'!F179&gt;Tmin, NOT('4 Ope'!$I179="")),'4 Ope'!$I179,0)</f>
        <v>0</v>
      </c>
      <c r="AE179">
        <f>IF(AND('4 Ope'!C179&lt;Tmax, NOT('4 Ope'!$H179="")),'4 Ope'!$H179,4)</f>
        <v>4</v>
      </c>
      <c r="AF179">
        <f>IF(AND('4 Ope'!D179&lt;Tmax, NOT('4 Ope'!$H179="")),'4 Ope'!$H179,4)</f>
        <v>4</v>
      </c>
      <c r="AG179">
        <f>IF(AND('4 Ope'!E179&lt;Tmax, NOT('4 Ope'!$H179="")),'4 Ope'!$H179,4)</f>
        <v>4</v>
      </c>
      <c r="AH179">
        <f>IF(AND('4 Ope'!F179&lt;Tmax, NOT('4 Ope'!$H179="")),'4 Ope'!$H179,4)</f>
        <v>4</v>
      </c>
      <c r="AI179"/>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row>
    <row r="180" spans="1:80" s="229" customFormat="1" ht="20.399999999999999" x14ac:dyDescent="0.25">
      <c r="A180" s="128" t="s">
        <v>1099</v>
      </c>
      <c r="B180" s="128" t="s">
        <v>62</v>
      </c>
      <c r="C180" s="136"/>
      <c r="D180" s="136"/>
      <c r="E180" s="136"/>
      <c r="F180" s="136"/>
      <c r="G180" s="133">
        <v>2</v>
      </c>
      <c r="H180" s="133">
        <v>3</v>
      </c>
      <c r="I180" s="133"/>
      <c r="J180" s="133"/>
      <c r="Z180">
        <f>IF(AND('4 Ope'!C180&gt;Tmin, NOT('4 Ope'!$I180="")),'4 Ope'!$I180,0)</f>
        <v>0</v>
      </c>
      <c r="AA180">
        <f>IF(AND('4 Ope'!C180&gt;Tmin, NOT('4 Ope'!$I180="")),'4 Ope'!$I180,0)</f>
        <v>0</v>
      </c>
      <c r="AB180">
        <f>IF(AND('4 Ope'!D180&gt;Tmin, NOT('4 Ope'!$I180="")),'4 Ope'!$I180,0)</f>
        <v>0</v>
      </c>
      <c r="AC180">
        <f>IF(AND('4 Ope'!E180&gt;Tmin, NOT('4 Ope'!$I180="")),'4 Ope'!$I180,0)</f>
        <v>0</v>
      </c>
      <c r="AD180">
        <f>IF(AND('4 Ope'!F180&gt;Tmin, NOT('4 Ope'!$I180="")),'4 Ope'!$I180,0)</f>
        <v>0</v>
      </c>
      <c r="AE180">
        <f>IF(AND('4 Ope'!C180&lt;Tmax, NOT('4 Ope'!$H180="")),'4 Ope'!$H180,4)</f>
        <v>3</v>
      </c>
      <c r="AF180">
        <f>IF(AND('4 Ope'!D180&lt;Tmax, NOT('4 Ope'!$H180="")),'4 Ope'!$H180,4)</f>
        <v>3</v>
      </c>
      <c r="AG180">
        <f>IF(AND('4 Ope'!E180&lt;Tmax, NOT('4 Ope'!$H180="")),'4 Ope'!$H180,4)</f>
        <v>3</v>
      </c>
      <c r="AH180">
        <f>IF(AND('4 Ope'!F180&lt;Tmax, NOT('4 Ope'!$H180="")),'4 Ope'!$H180,4)</f>
        <v>3</v>
      </c>
      <c r="AI18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row>
    <row r="181" spans="1:80" s="229" customFormat="1" x14ac:dyDescent="0.25">
      <c r="A181" s="128" t="s">
        <v>1100</v>
      </c>
      <c r="B181" s="128" t="s">
        <v>179</v>
      </c>
      <c r="C181" s="136"/>
      <c r="D181" s="136"/>
      <c r="E181" s="136"/>
      <c r="F181" s="136"/>
      <c r="G181" s="133">
        <v>2</v>
      </c>
      <c r="H181" s="133"/>
      <c r="I181" s="133"/>
      <c r="J181" s="133"/>
      <c r="Z181">
        <f>IF(AND('4 Ope'!C181&gt;Tmin, NOT('4 Ope'!$I181="")),'4 Ope'!$I181,0)</f>
        <v>0</v>
      </c>
      <c r="AA181">
        <f>IF(AND('4 Ope'!C181&gt;Tmin, NOT('4 Ope'!$I181="")),'4 Ope'!$I181,0)</f>
        <v>0</v>
      </c>
      <c r="AB181">
        <f>IF(AND('4 Ope'!D181&gt;Tmin, NOT('4 Ope'!$I181="")),'4 Ope'!$I181,0)</f>
        <v>0</v>
      </c>
      <c r="AC181">
        <f>IF(AND('4 Ope'!E181&gt;Tmin, NOT('4 Ope'!$I181="")),'4 Ope'!$I181,0)</f>
        <v>0</v>
      </c>
      <c r="AD181">
        <f>IF(AND('4 Ope'!F181&gt;Tmin, NOT('4 Ope'!$I181="")),'4 Ope'!$I181,0)</f>
        <v>0</v>
      </c>
      <c r="AE181">
        <f>IF(AND('4 Ope'!C181&lt;Tmax, NOT('4 Ope'!$H181="")),'4 Ope'!$H181,4)</f>
        <v>4</v>
      </c>
      <c r="AF181">
        <f>IF(AND('4 Ope'!D181&lt;Tmax, NOT('4 Ope'!$H181="")),'4 Ope'!$H181,4)</f>
        <v>4</v>
      </c>
      <c r="AG181">
        <f>IF(AND('4 Ope'!E181&lt;Tmax, NOT('4 Ope'!$H181="")),'4 Ope'!$H181,4)</f>
        <v>4</v>
      </c>
      <c r="AH181">
        <f>IF(AND('4 Ope'!F181&lt;Tmax, NOT('4 Ope'!$H181="")),'4 Ope'!$H181,4)</f>
        <v>4</v>
      </c>
      <c r="AI181"/>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row>
    <row r="182" spans="1:80" s="229" customFormat="1" x14ac:dyDescent="0.25">
      <c r="A182" s="128" t="s">
        <v>620</v>
      </c>
      <c r="B182" s="128" t="s">
        <v>756</v>
      </c>
      <c r="C182" s="136"/>
      <c r="D182" s="136"/>
      <c r="E182" s="136"/>
      <c r="F182" s="136"/>
      <c r="G182" s="133"/>
      <c r="H182" s="133"/>
      <c r="I182" s="133"/>
      <c r="J182" s="133"/>
      <c r="Z182"/>
      <c r="AA182"/>
      <c r="AB182"/>
      <c r="AC182"/>
      <c r="AD182"/>
      <c r="AE182"/>
      <c r="AF182"/>
      <c r="AG182"/>
      <c r="AH182"/>
      <c r="AI182"/>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row>
    <row r="183" spans="1:80" s="229" customFormat="1" ht="20.399999999999999" x14ac:dyDescent="0.25">
      <c r="A183" s="128" t="s">
        <v>1101</v>
      </c>
      <c r="B183" s="128" t="s">
        <v>298</v>
      </c>
      <c r="C183" s="136"/>
      <c r="D183" s="136"/>
      <c r="E183" s="136"/>
      <c r="F183" s="136"/>
      <c r="G183" s="133">
        <v>4</v>
      </c>
      <c r="H183" s="133"/>
      <c r="I183" s="133"/>
      <c r="J183" s="133"/>
      <c r="Z183">
        <f>IF(AND('4 Ope'!C183&gt;Tmin, NOT('4 Ope'!$I183="")),'4 Ope'!$I183,0)</f>
        <v>0</v>
      </c>
      <c r="AA183">
        <f>IF(AND('4 Ope'!C183&gt;Tmin, NOT('4 Ope'!$I183="")),'4 Ope'!$I183,0)</f>
        <v>0</v>
      </c>
      <c r="AB183">
        <f>IF(AND('4 Ope'!D183&gt;Tmin, NOT('4 Ope'!$I183="")),'4 Ope'!$I183,0)</f>
        <v>0</v>
      </c>
      <c r="AC183">
        <f>IF(AND('4 Ope'!E183&gt;Tmin, NOT('4 Ope'!$I183="")),'4 Ope'!$I183,0)</f>
        <v>0</v>
      </c>
      <c r="AD183">
        <f>IF(AND('4 Ope'!F183&gt;Tmin, NOT('4 Ope'!$I183="")),'4 Ope'!$I183,0)</f>
        <v>0</v>
      </c>
      <c r="AE183">
        <f>IF(AND('4 Ope'!C183&lt;Tmax, NOT('4 Ope'!$H183="")),'4 Ope'!$H183,4)</f>
        <v>4</v>
      </c>
      <c r="AF183">
        <f>IF(AND('4 Ope'!D183&lt;Tmax, NOT('4 Ope'!$H183="")),'4 Ope'!$H183,4)</f>
        <v>4</v>
      </c>
      <c r="AG183">
        <f>IF(AND('4 Ope'!E183&lt;Tmax, NOT('4 Ope'!$H183="")),'4 Ope'!$H183,4)</f>
        <v>4</v>
      </c>
      <c r="AH183">
        <f>IF(AND('4 Ope'!F183&lt;Tmax, NOT('4 Ope'!$H183="")),'4 Ope'!$H183,4)</f>
        <v>4</v>
      </c>
      <c r="AI183"/>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row>
    <row r="184" spans="1:80" s="229" customFormat="1" ht="40.799999999999997" x14ac:dyDescent="0.25">
      <c r="A184" s="128" t="s">
        <v>1102</v>
      </c>
      <c r="B184" s="128" t="s">
        <v>64</v>
      </c>
      <c r="C184" s="136"/>
      <c r="D184" s="136"/>
      <c r="E184" s="136"/>
      <c r="F184" s="136"/>
      <c r="G184" s="133">
        <v>4</v>
      </c>
      <c r="H184" s="133">
        <v>2</v>
      </c>
      <c r="I184" s="133"/>
      <c r="J184" s="133"/>
      <c r="Z184">
        <f>IF(AND('4 Ope'!C184&gt;Tmin, NOT('4 Ope'!$I184="")),'4 Ope'!$I184,0)</f>
        <v>0</v>
      </c>
      <c r="AA184">
        <f>IF(AND('4 Ope'!C184&gt;Tmin, NOT('4 Ope'!$I184="")),'4 Ope'!$I184,0)</f>
        <v>0</v>
      </c>
      <c r="AB184">
        <f>IF(AND('4 Ope'!D184&gt;Tmin, NOT('4 Ope'!$I184="")),'4 Ope'!$I184,0)</f>
        <v>0</v>
      </c>
      <c r="AC184">
        <f>IF(AND('4 Ope'!E184&gt;Tmin, NOT('4 Ope'!$I184="")),'4 Ope'!$I184,0)</f>
        <v>0</v>
      </c>
      <c r="AD184">
        <f>IF(AND('4 Ope'!F184&gt;Tmin, NOT('4 Ope'!$I184="")),'4 Ope'!$I184,0)</f>
        <v>0</v>
      </c>
      <c r="AE184">
        <f>IF(AND('4 Ope'!C184&lt;Tmax, NOT('4 Ope'!$H184="")),'4 Ope'!$H184,4)</f>
        <v>2</v>
      </c>
      <c r="AF184">
        <f>IF(AND('4 Ope'!D184&lt;Tmax, NOT('4 Ope'!$H184="")),'4 Ope'!$H184,4)</f>
        <v>2</v>
      </c>
      <c r="AG184">
        <f>IF(AND('4 Ope'!E184&lt;Tmax, NOT('4 Ope'!$H184="")),'4 Ope'!$H184,4)</f>
        <v>2</v>
      </c>
      <c r="AH184">
        <f>IF(AND('4 Ope'!F184&lt;Tmax, NOT('4 Ope'!$H184="")),'4 Ope'!$H184,4)</f>
        <v>2</v>
      </c>
      <c r="AI184"/>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row>
    <row r="185" spans="1:80" s="229" customFormat="1" ht="20.399999999999999" x14ac:dyDescent="0.25">
      <c r="A185" s="128" t="s">
        <v>1103</v>
      </c>
      <c r="B185" s="128" t="s">
        <v>74</v>
      </c>
      <c r="C185" s="136"/>
      <c r="D185" s="136"/>
      <c r="E185" s="136"/>
      <c r="F185" s="136"/>
      <c r="G185" s="133">
        <v>4</v>
      </c>
      <c r="H185" s="133"/>
      <c r="I185" s="133">
        <v>2</v>
      </c>
      <c r="J185" s="133"/>
      <c r="Z185">
        <f>IF(AND('4 Ope'!C185&gt;Tmin, NOT('4 Ope'!$I185="")),'4 Ope'!$I185,0)</f>
        <v>0</v>
      </c>
      <c r="AA185">
        <f>IF(AND('4 Ope'!C185&gt;Tmin, NOT('4 Ope'!$I185="")),'4 Ope'!$I185,0)</f>
        <v>0</v>
      </c>
      <c r="AB185">
        <f>IF(AND('4 Ope'!D185&gt;Tmin, NOT('4 Ope'!$I185="")),'4 Ope'!$I185,0)</f>
        <v>0</v>
      </c>
      <c r="AC185">
        <f>IF(AND('4 Ope'!E185&gt;Tmin, NOT('4 Ope'!$I185="")),'4 Ope'!$I185,0)</f>
        <v>0</v>
      </c>
      <c r="AD185">
        <f>IF(AND('4 Ope'!F185&gt;Tmin, NOT('4 Ope'!$I185="")),'4 Ope'!$I185,0)</f>
        <v>0</v>
      </c>
      <c r="AE185">
        <f>IF(AND('4 Ope'!C185&lt;Tmax, NOT('4 Ope'!$H185="")),'4 Ope'!$H185,4)</f>
        <v>4</v>
      </c>
      <c r="AF185">
        <f>IF(AND('4 Ope'!D185&lt;Tmax, NOT('4 Ope'!$H185="")),'4 Ope'!$H185,4)</f>
        <v>4</v>
      </c>
      <c r="AG185">
        <f>IF(AND('4 Ope'!E185&lt;Tmax, NOT('4 Ope'!$H185="")),'4 Ope'!$H185,4)</f>
        <v>4</v>
      </c>
      <c r="AH185">
        <f>IF(AND('4 Ope'!F185&lt;Tmax, NOT('4 Ope'!$H185="")),'4 Ope'!$H185,4)</f>
        <v>4</v>
      </c>
      <c r="AI185"/>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row>
    <row r="186" spans="1:80" s="229" customFormat="1" ht="30.6" x14ac:dyDescent="0.25">
      <c r="A186" s="128" t="s">
        <v>1104</v>
      </c>
      <c r="B186" s="128" t="s">
        <v>65</v>
      </c>
      <c r="C186" s="136"/>
      <c r="D186" s="136"/>
      <c r="E186" s="136"/>
      <c r="F186" s="136"/>
      <c r="G186" s="133">
        <v>4</v>
      </c>
      <c r="H186" s="133"/>
      <c r="I186" s="133"/>
      <c r="J186" s="133"/>
      <c r="Z186">
        <f>IF(AND('4 Ope'!C186&gt;Tmin, NOT('4 Ope'!$I186="")),'4 Ope'!$I186,0)</f>
        <v>0</v>
      </c>
      <c r="AA186">
        <f>IF(AND('4 Ope'!C186&gt;Tmin, NOT('4 Ope'!$I186="")),'4 Ope'!$I186,0)</f>
        <v>0</v>
      </c>
      <c r="AB186">
        <f>IF(AND('4 Ope'!D186&gt;Tmin, NOT('4 Ope'!$I186="")),'4 Ope'!$I186,0)</f>
        <v>0</v>
      </c>
      <c r="AC186">
        <f>IF(AND('4 Ope'!E186&gt;Tmin, NOT('4 Ope'!$I186="")),'4 Ope'!$I186,0)</f>
        <v>0</v>
      </c>
      <c r="AD186">
        <f>IF(AND('4 Ope'!F186&gt;Tmin, NOT('4 Ope'!$I186="")),'4 Ope'!$I186,0)</f>
        <v>0</v>
      </c>
      <c r="AE186">
        <f>IF(AND('4 Ope'!C186&lt;Tmax, NOT('4 Ope'!$H186="")),'4 Ope'!$H186,4)</f>
        <v>4</v>
      </c>
      <c r="AF186">
        <f>IF(AND('4 Ope'!D186&lt;Tmax, NOT('4 Ope'!$H186="")),'4 Ope'!$H186,4)</f>
        <v>4</v>
      </c>
      <c r="AG186">
        <f>IF(AND('4 Ope'!E186&lt;Tmax, NOT('4 Ope'!$H186="")),'4 Ope'!$H186,4)</f>
        <v>4</v>
      </c>
      <c r="AH186">
        <f>IF(AND('4 Ope'!F186&lt;Tmax, NOT('4 Ope'!$H186="")),'4 Ope'!$H186,4)</f>
        <v>4</v>
      </c>
      <c r="AI186"/>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row>
    <row r="187" spans="1:80" s="229" customFormat="1" ht="30.6" x14ac:dyDescent="0.25">
      <c r="A187" s="128" t="s">
        <v>1105</v>
      </c>
      <c r="B187" s="128" t="s">
        <v>66</v>
      </c>
      <c r="C187" s="136"/>
      <c r="D187" s="136"/>
      <c r="E187" s="136"/>
      <c r="F187" s="136"/>
      <c r="G187" s="133">
        <v>4</v>
      </c>
      <c r="H187" s="133"/>
      <c r="I187" s="133"/>
      <c r="J187" s="133"/>
      <c r="Z187">
        <f>IF(AND('4 Ope'!C187&gt;Tmin, NOT('4 Ope'!$I187="")),'4 Ope'!$I187,0)</f>
        <v>0</v>
      </c>
      <c r="AA187">
        <f>IF(AND('4 Ope'!C187&gt;Tmin, NOT('4 Ope'!$I187="")),'4 Ope'!$I187,0)</f>
        <v>0</v>
      </c>
      <c r="AB187">
        <f>IF(AND('4 Ope'!D187&gt;Tmin, NOT('4 Ope'!$I187="")),'4 Ope'!$I187,0)</f>
        <v>0</v>
      </c>
      <c r="AC187">
        <f>IF(AND('4 Ope'!E187&gt;Tmin, NOT('4 Ope'!$I187="")),'4 Ope'!$I187,0)</f>
        <v>0</v>
      </c>
      <c r="AD187">
        <f>IF(AND('4 Ope'!F187&gt;Tmin, NOT('4 Ope'!$I187="")),'4 Ope'!$I187,0)</f>
        <v>0</v>
      </c>
      <c r="AE187">
        <f>IF(AND('4 Ope'!C187&lt;Tmax, NOT('4 Ope'!$H187="")),'4 Ope'!$H187,4)</f>
        <v>4</v>
      </c>
      <c r="AF187">
        <f>IF(AND('4 Ope'!D187&lt;Tmax, NOT('4 Ope'!$H187="")),'4 Ope'!$H187,4)</f>
        <v>4</v>
      </c>
      <c r="AG187">
        <f>IF(AND('4 Ope'!E187&lt;Tmax, NOT('4 Ope'!$H187="")),'4 Ope'!$H187,4)</f>
        <v>4</v>
      </c>
      <c r="AH187">
        <f>IF(AND('4 Ope'!F187&lt;Tmax, NOT('4 Ope'!$H187="")),'4 Ope'!$H187,4)</f>
        <v>4</v>
      </c>
      <c r="AI187"/>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row>
    <row r="188" spans="1:80" s="229" customFormat="1" ht="20.399999999999999" x14ac:dyDescent="0.25">
      <c r="A188" s="128" t="s">
        <v>1106</v>
      </c>
      <c r="B188" s="128" t="s">
        <v>12</v>
      </c>
      <c r="C188" s="136"/>
      <c r="D188" s="136"/>
      <c r="E188" s="136"/>
      <c r="F188" s="136"/>
      <c r="G188" s="133">
        <v>4</v>
      </c>
      <c r="H188" s="133"/>
      <c r="I188" s="133"/>
      <c r="J188" s="133"/>
      <c r="Z188">
        <f>IF(AND('4 Ope'!C188&gt;Tmin, NOT('4 Ope'!$I188="")),'4 Ope'!$I188,0)</f>
        <v>0</v>
      </c>
      <c r="AA188">
        <f>IF(AND('4 Ope'!C188&gt;Tmin, NOT('4 Ope'!$I188="")),'4 Ope'!$I188,0)</f>
        <v>0</v>
      </c>
      <c r="AB188">
        <f>IF(AND('4 Ope'!D188&gt;Tmin, NOT('4 Ope'!$I188="")),'4 Ope'!$I188,0)</f>
        <v>0</v>
      </c>
      <c r="AC188">
        <f>IF(AND('4 Ope'!E188&gt;Tmin, NOT('4 Ope'!$I188="")),'4 Ope'!$I188,0)</f>
        <v>0</v>
      </c>
      <c r="AD188">
        <f>IF(AND('4 Ope'!F188&gt;Tmin, NOT('4 Ope'!$I188="")),'4 Ope'!$I188,0)</f>
        <v>0</v>
      </c>
      <c r="AE188">
        <f>IF(AND('4 Ope'!C188&lt;Tmax, NOT('4 Ope'!$H188="")),'4 Ope'!$H188,4)</f>
        <v>4</v>
      </c>
      <c r="AF188">
        <f>IF(AND('4 Ope'!D188&lt;Tmax, NOT('4 Ope'!$H188="")),'4 Ope'!$H188,4)</f>
        <v>4</v>
      </c>
      <c r="AG188">
        <f>IF(AND('4 Ope'!E188&lt;Tmax, NOT('4 Ope'!$H188="")),'4 Ope'!$H188,4)</f>
        <v>4</v>
      </c>
      <c r="AH188">
        <f>IF(AND('4 Ope'!F188&lt;Tmax, NOT('4 Ope'!$H188="")),'4 Ope'!$H188,4)</f>
        <v>4</v>
      </c>
      <c r="AI188"/>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row>
    <row r="189" spans="1:80" s="229" customFormat="1" x14ac:dyDescent="0.25">
      <c r="A189" s="128" t="s">
        <v>1107</v>
      </c>
      <c r="B189" s="128" t="s">
        <v>13</v>
      </c>
      <c r="C189" s="136"/>
      <c r="D189" s="136"/>
      <c r="E189" s="136"/>
      <c r="F189" s="136"/>
      <c r="G189" s="133">
        <v>4</v>
      </c>
      <c r="H189" s="133">
        <v>2</v>
      </c>
      <c r="I189" s="133"/>
      <c r="J189" s="133"/>
      <c r="Z189">
        <f>IF(AND('4 Ope'!C189&gt;Tmin, NOT('4 Ope'!$I189="")),'4 Ope'!$I189,0)</f>
        <v>0</v>
      </c>
      <c r="AA189">
        <f>IF(AND('4 Ope'!C189&gt;Tmin, NOT('4 Ope'!$I189="")),'4 Ope'!$I189,0)</f>
        <v>0</v>
      </c>
      <c r="AB189">
        <f>IF(AND('4 Ope'!D189&gt;Tmin, NOT('4 Ope'!$I189="")),'4 Ope'!$I189,0)</f>
        <v>0</v>
      </c>
      <c r="AC189">
        <f>IF(AND('4 Ope'!E189&gt;Tmin, NOT('4 Ope'!$I189="")),'4 Ope'!$I189,0)</f>
        <v>0</v>
      </c>
      <c r="AD189">
        <f>IF(AND('4 Ope'!F189&gt;Tmin, NOT('4 Ope'!$I189="")),'4 Ope'!$I189,0)</f>
        <v>0</v>
      </c>
      <c r="AE189">
        <f>IF(AND('4 Ope'!C189&lt;Tmax, NOT('4 Ope'!$H189="")),'4 Ope'!$H189,4)</f>
        <v>2</v>
      </c>
      <c r="AF189">
        <f>IF(AND('4 Ope'!D189&lt;Tmax, NOT('4 Ope'!$H189="")),'4 Ope'!$H189,4)</f>
        <v>2</v>
      </c>
      <c r="AG189">
        <f>IF(AND('4 Ope'!E189&lt;Tmax, NOT('4 Ope'!$H189="")),'4 Ope'!$H189,4)</f>
        <v>2</v>
      </c>
      <c r="AH189">
        <f>IF(AND('4 Ope'!F189&lt;Tmax, NOT('4 Ope'!$H189="")),'4 Ope'!$H189,4)</f>
        <v>2</v>
      </c>
      <c r="AI189"/>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0"/>
      <c r="CA189" s="50"/>
      <c r="CB189" s="50"/>
    </row>
    <row r="190" spans="1:80" s="229" customFormat="1" ht="51" x14ac:dyDescent="0.25">
      <c r="A190" s="128" t="s">
        <v>1108</v>
      </c>
      <c r="B190" s="128" t="s">
        <v>67</v>
      </c>
      <c r="C190" s="136"/>
      <c r="D190" s="136"/>
      <c r="E190" s="136"/>
      <c r="F190" s="136"/>
      <c r="G190" s="133">
        <v>4</v>
      </c>
      <c r="H190" s="133">
        <v>3</v>
      </c>
      <c r="I190" s="133"/>
      <c r="J190" s="133"/>
      <c r="Z190">
        <f>IF(AND('4 Ope'!C190&gt;Tmin, NOT('4 Ope'!$I190="")),'4 Ope'!$I190,0)</f>
        <v>0</v>
      </c>
      <c r="AA190">
        <f>IF(AND('4 Ope'!C190&gt;Tmin, NOT('4 Ope'!$I190="")),'4 Ope'!$I190,0)</f>
        <v>0</v>
      </c>
      <c r="AB190">
        <f>IF(AND('4 Ope'!D190&gt;Tmin, NOT('4 Ope'!$I190="")),'4 Ope'!$I190,0)</f>
        <v>0</v>
      </c>
      <c r="AC190">
        <f>IF(AND('4 Ope'!E190&gt;Tmin, NOT('4 Ope'!$I190="")),'4 Ope'!$I190,0)</f>
        <v>0</v>
      </c>
      <c r="AD190">
        <f>IF(AND('4 Ope'!F190&gt;Tmin, NOT('4 Ope'!$I190="")),'4 Ope'!$I190,0)</f>
        <v>0</v>
      </c>
      <c r="AE190">
        <f>IF(AND('4 Ope'!C190&lt;Tmax, NOT('4 Ope'!$H190="")),'4 Ope'!$H190,4)</f>
        <v>3</v>
      </c>
      <c r="AF190">
        <f>IF(AND('4 Ope'!D190&lt;Tmax, NOT('4 Ope'!$H190="")),'4 Ope'!$H190,4)</f>
        <v>3</v>
      </c>
      <c r="AG190">
        <f>IF(AND('4 Ope'!E190&lt;Tmax, NOT('4 Ope'!$H190="")),'4 Ope'!$H190,4)</f>
        <v>3</v>
      </c>
      <c r="AH190">
        <f>IF(AND('4 Ope'!F190&lt;Tmax, NOT('4 Ope'!$H190="")),'4 Ope'!$H190,4)</f>
        <v>3</v>
      </c>
      <c r="AI19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row>
    <row r="191" spans="1:80" s="229" customFormat="1" ht="30.6" x14ac:dyDescent="0.25">
      <c r="A191" s="128" t="s">
        <v>1109</v>
      </c>
      <c r="B191" s="128" t="s">
        <v>261</v>
      </c>
      <c r="C191" s="136"/>
      <c r="D191" s="136"/>
      <c r="E191" s="136"/>
      <c r="F191" s="136"/>
      <c r="G191" s="133">
        <v>4</v>
      </c>
      <c r="H191" s="133">
        <v>2</v>
      </c>
      <c r="I191" s="133"/>
      <c r="J191" s="133"/>
      <c r="Z191">
        <f>IF(AND('4 Ope'!C191&gt;Tmin, NOT('4 Ope'!$I191="")),'4 Ope'!$I191,0)</f>
        <v>0</v>
      </c>
      <c r="AA191">
        <f>IF(AND('4 Ope'!C191&gt;Tmin, NOT('4 Ope'!$I191="")),'4 Ope'!$I191,0)</f>
        <v>0</v>
      </c>
      <c r="AB191">
        <f>IF(AND('4 Ope'!D191&gt;Tmin, NOT('4 Ope'!$I191="")),'4 Ope'!$I191,0)</f>
        <v>0</v>
      </c>
      <c r="AC191">
        <f>IF(AND('4 Ope'!E191&gt;Tmin, NOT('4 Ope'!$I191="")),'4 Ope'!$I191,0)</f>
        <v>0</v>
      </c>
      <c r="AD191">
        <f>IF(AND('4 Ope'!F191&gt;Tmin, NOT('4 Ope'!$I191="")),'4 Ope'!$I191,0)</f>
        <v>0</v>
      </c>
      <c r="AE191">
        <f>IF(AND('4 Ope'!C191&lt;Tmax, NOT('4 Ope'!$H191="")),'4 Ope'!$H191,4)</f>
        <v>2</v>
      </c>
      <c r="AF191">
        <f>IF(AND('4 Ope'!D191&lt;Tmax, NOT('4 Ope'!$H191="")),'4 Ope'!$H191,4)</f>
        <v>2</v>
      </c>
      <c r="AG191">
        <f>IF(AND('4 Ope'!E191&lt;Tmax, NOT('4 Ope'!$H191="")),'4 Ope'!$H191,4)</f>
        <v>2</v>
      </c>
      <c r="AH191">
        <f>IF(AND('4 Ope'!F191&lt;Tmax, NOT('4 Ope'!$H191="")),'4 Ope'!$H191,4)</f>
        <v>2</v>
      </c>
      <c r="AI191"/>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c r="BW191" s="50"/>
      <c r="BX191" s="50"/>
      <c r="BY191" s="50"/>
      <c r="BZ191" s="50"/>
      <c r="CA191" s="50"/>
      <c r="CB191" s="50"/>
    </row>
    <row r="192" spans="1:80" s="229" customFormat="1" ht="20.399999999999999" x14ac:dyDescent="0.25">
      <c r="A192" s="128" t="s">
        <v>1110</v>
      </c>
      <c r="B192" s="128" t="s">
        <v>35</v>
      </c>
      <c r="C192" s="136"/>
      <c r="D192" s="136"/>
      <c r="E192" s="136"/>
      <c r="F192" s="136"/>
      <c r="G192" s="133">
        <v>2</v>
      </c>
      <c r="H192" s="133">
        <v>3</v>
      </c>
      <c r="I192" s="133"/>
      <c r="J192" s="133"/>
      <c r="Z192">
        <f>IF(AND('4 Ope'!C192&gt;Tmin, NOT('4 Ope'!$I192="")),'4 Ope'!$I192,0)</f>
        <v>0</v>
      </c>
      <c r="AA192">
        <f>IF(AND('4 Ope'!C192&gt;Tmin, NOT('4 Ope'!$I192="")),'4 Ope'!$I192,0)</f>
        <v>0</v>
      </c>
      <c r="AB192">
        <f>IF(AND('4 Ope'!D192&gt;Tmin, NOT('4 Ope'!$I192="")),'4 Ope'!$I192,0)</f>
        <v>0</v>
      </c>
      <c r="AC192">
        <f>IF(AND('4 Ope'!E192&gt;Tmin, NOT('4 Ope'!$I192="")),'4 Ope'!$I192,0)</f>
        <v>0</v>
      </c>
      <c r="AD192">
        <f>IF(AND('4 Ope'!F192&gt;Tmin, NOT('4 Ope'!$I192="")),'4 Ope'!$I192,0)</f>
        <v>0</v>
      </c>
      <c r="AE192">
        <f>IF(AND('4 Ope'!C192&lt;Tmax, NOT('4 Ope'!$H192="")),'4 Ope'!$H192,4)</f>
        <v>3</v>
      </c>
      <c r="AF192">
        <f>IF(AND('4 Ope'!D192&lt;Tmax, NOT('4 Ope'!$H192="")),'4 Ope'!$H192,4)</f>
        <v>3</v>
      </c>
      <c r="AG192">
        <f>IF(AND('4 Ope'!E192&lt;Tmax, NOT('4 Ope'!$H192="")),'4 Ope'!$H192,4)</f>
        <v>3</v>
      </c>
      <c r="AH192">
        <f>IF(AND('4 Ope'!F192&lt;Tmax, NOT('4 Ope'!$H192="")),'4 Ope'!$H192,4)</f>
        <v>3</v>
      </c>
      <c r="AI192"/>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c r="BW192" s="50"/>
      <c r="BX192" s="50"/>
      <c r="BY192" s="50"/>
      <c r="BZ192" s="50"/>
      <c r="CA192" s="50"/>
      <c r="CB192" s="50"/>
    </row>
    <row r="193" spans="1:80" s="229" customFormat="1" x14ac:dyDescent="0.25">
      <c r="A193" s="128" t="s">
        <v>1111</v>
      </c>
      <c r="B193" s="128" t="s">
        <v>36</v>
      </c>
      <c r="C193" s="136"/>
      <c r="D193" s="136"/>
      <c r="E193" s="136"/>
      <c r="F193" s="136"/>
      <c r="G193" s="133">
        <v>2</v>
      </c>
      <c r="H193" s="133">
        <v>3</v>
      </c>
      <c r="I193" s="133"/>
      <c r="J193" s="133"/>
      <c r="Z193">
        <f>IF(AND('4 Ope'!C193&gt;Tmin, NOT('4 Ope'!$I193="")),'4 Ope'!$I193,0)</f>
        <v>0</v>
      </c>
      <c r="AA193">
        <f>IF(AND('4 Ope'!C193&gt;Tmin, NOT('4 Ope'!$I193="")),'4 Ope'!$I193,0)</f>
        <v>0</v>
      </c>
      <c r="AB193">
        <f>IF(AND('4 Ope'!D193&gt;Tmin, NOT('4 Ope'!$I193="")),'4 Ope'!$I193,0)</f>
        <v>0</v>
      </c>
      <c r="AC193">
        <f>IF(AND('4 Ope'!E193&gt;Tmin, NOT('4 Ope'!$I193="")),'4 Ope'!$I193,0)</f>
        <v>0</v>
      </c>
      <c r="AD193">
        <f>IF(AND('4 Ope'!F193&gt;Tmin, NOT('4 Ope'!$I193="")),'4 Ope'!$I193,0)</f>
        <v>0</v>
      </c>
      <c r="AE193">
        <f>IF(AND('4 Ope'!C193&lt;Tmax, NOT('4 Ope'!$H193="")),'4 Ope'!$H193,4)</f>
        <v>3</v>
      </c>
      <c r="AF193">
        <f>IF(AND('4 Ope'!D193&lt;Tmax, NOT('4 Ope'!$H193="")),'4 Ope'!$H193,4)</f>
        <v>3</v>
      </c>
      <c r="AG193">
        <f>IF(AND('4 Ope'!E193&lt;Tmax, NOT('4 Ope'!$H193="")),'4 Ope'!$H193,4)</f>
        <v>3</v>
      </c>
      <c r="AH193">
        <f>IF(AND('4 Ope'!F193&lt;Tmax, NOT('4 Ope'!$H193="")),'4 Ope'!$H193,4)</f>
        <v>3</v>
      </c>
      <c r="AI193"/>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row>
    <row r="194" spans="1:80" s="229" customFormat="1" ht="20.399999999999999" x14ac:dyDescent="0.25">
      <c r="A194" s="128" t="s">
        <v>1112</v>
      </c>
      <c r="B194" s="128" t="s">
        <v>515</v>
      </c>
      <c r="C194" s="136"/>
      <c r="D194" s="136"/>
      <c r="E194" s="136"/>
      <c r="F194" s="136"/>
      <c r="G194" s="133">
        <v>2</v>
      </c>
      <c r="H194" s="133">
        <v>3</v>
      </c>
      <c r="I194" s="133"/>
      <c r="J194" s="133"/>
      <c r="Z194">
        <f>IF(AND('4 Ope'!C194&gt;Tmin, NOT('4 Ope'!$I194="")),'4 Ope'!$I194,0)</f>
        <v>0</v>
      </c>
      <c r="AA194">
        <f>IF(AND('4 Ope'!C194&gt;Tmin, NOT('4 Ope'!$I194="")),'4 Ope'!$I194,0)</f>
        <v>0</v>
      </c>
      <c r="AB194">
        <f>IF(AND('4 Ope'!D194&gt;Tmin, NOT('4 Ope'!$I194="")),'4 Ope'!$I194,0)</f>
        <v>0</v>
      </c>
      <c r="AC194">
        <f>IF(AND('4 Ope'!E194&gt;Tmin, NOT('4 Ope'!$I194="")),'4 Ope'!$I194,0)</f>
        <v>0</v>
      </c>
      <c r="AD194">
        <f>IF(AND('4 Ope'!F194&gt;Tmin, NOT('4 Ope'!$I194="")),'4 Ope'!$I194,0)</f>
        <v>0</v>
      </c>
      <c r="AE194">
        <f>IF(AND('4 Ope'!C194&lt;Tmax, NOT('4 Ope'!$H194="")),'4 Ope'!$H194,4)</f>
        <v>3</v>
      </c>
      <c r="AF194">
        <f>IF(AND('4 Ope'!D194&lt;Tmax, NOT('4 Ope'!$H194="")),'4 Ope'!$H194,4)</f>
        <v>3</v>
      </c>
      <c r="AG194">
        <f>IF(AND('4 Ope'!E194&lt;Tmax, NOT('4 Ope'!$H194="")),'4 Ope'!$H194,4)</f>
        <v>3</v>
      </c>
      <c r="AH194">
        <f>IF(AND('4 Ope'!F194&lt;Tmax, NOT('4 Ope'!$H194="")),'4 Ope'!$H194,4)</f>
        <v>3</v>
      </c>
      <c r="AI194"/>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c r="BU194" s="50"/>
      <c r="BV194" s="50"/>
      <c r="BW194" s="50"/>
      <c r="BX194" s="50"/>
      <c r="BY194" s="50"/>
      <c r="BZ194" s="50"/>
      <c r="CA194" s="50"/>
      <c r="CB194" s="50"/>
    </row>
    <row r="195" spans="1:80" s="229" customFormat="1" ht="20.399999999999999" x14ac:dyDescent="0.25">
      <c r="A195" s="128" t="s">
        <v>2325</v>
      </c>
      <c r="B195" s="128" t="s">
        <v>262</v>
      </c>
      <c r="C195" s="136"/>
      <c r="D195" s="136"/>
      <c r="E195" s="136"/>
      <c r="F195" s="136"/>
      <c r="G195" s="133">
        <v>2</v>
      </c>
      <c r="H195" s="133">
        <v>3</v>
      </c>
      <c r="I195" s="133"/>
      <c r="J195" s="133"/>
      <c r="Z195">
        <f>IF(AND('4 Ope'!C195&gt;Tmin, NOT('4 Ope'!$I195="")),'4 Ope'!$I195,0)</f>
        <v>0</v>
      </c>
      <c r="AA195">
        <f>IF(AND('4 Ope'!C195&gt;Tmin, NOT('4 Ope'!$I195="")),'4 Ope'!$I195,0)</f>
        <v>0</v>
      </c>
      <c r="AB195">
        <f>IF(AND('4 Ope'!D195&gt;Tmin, NOT('4 Ope'!$I195="")),'4 Ope'!$I195,0)</f>
        <v>0</v>
      </c>
      <c r="AC195">
        <f>IF(AND('4 Ope'!E195&gt;Tmin, NOT('4 Ope'!$I195="")),'4 Ope'!$I195,0)</f>
        <v>0</v>
      </c>
      <c r="AD195">
        <f>IF(AND('4 Ope'!F195&gt;Tmin, NOT('4 Ope'!$I195="")),'4 Ope'!$I195,0)</f>
        <v>0</v>
      </c>
      <c r="AE195">
        <f>IF(AND('4 Ope'!C195&lt;Tmax, NOT('4 Ope'!$H195="")),'4 Ope'!$H195,4)</f>
        <v>3</v>
      </c>
      <c r="AF195">
        <f>IF(AND('4 Ope'!D195&lt;Tmax, NOT('4 Ope'!$H195="")),'4 Ope'!$H195,4)</f>
        <v>3</v>
      </c>
      <c r="AG195">
        <f>IF(AND('4 Ope'!E195&lt;Tmax, NOT('4 Ope'!$H195="")),'4 Ope'!$H195,4)</f>
        <v>3</v>
      </c>
      <c r="AH195">
        <f>IF(AND('4 Ope'!F195&lt;Tmax, NOT('4 Ope'!$H195="")),'4 Ope'!$H195,4)</f>
        <v>3</v>
      </c>
      <c r="AI195"/>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row>
    <row r="196" spans="1:80" s="229" customFormat="1" x14ac:dyDescent="0.25">
      <c r="A196" s="128" t="s">
        <v>1113</v>
      </c>
      <c r="B196" s="128" t="s">
        <v>1114</v>
      </c>
      <c r="C196" s="136"/>
      <c r="D196" s="136"/>
      <c r="E196" s="136"/>
      <c r="F196" s="136"/>
      <c r="G196" s="133">
        <v>2</v>
      </c>
      <c r="H196" s="133">
        <v>3</v>
      </c>
      <c r="I196" s="133"/>
      <c r="J196" s="133"/>
      <c r="Z196">
        <f>IF(AND('4 Ope'!C196&gt;Tmin, NOT('4 Ope'!$I196="")),'4 Ope'!$I196,0)</f>
        <v>0</v>
      </c>
      <c r="AA196">
        <f>IF(AND('4 Ope'!C196&gt;Tmin, NOT('4 Ope'!$I196="")),'4 Ope'!$I196,0)</f>
        <v>0</v>
      </c>
      <c r="AB196">
        <f>IF(AND('4 Ope'!D196&gt;Tmin, NOT('4 Ope'!$I196="")),'4 Ope'!$I196,0)</f>
        <v>0</v>
      </c>
      <c r="AC196">
        <f>IF(AND('4 Ope'!E196&gt;Tmin, NOT('4 Ope'!$I196="")),'4 Ope'!$I196,0)</f>
        <v>0</v>
      </c>
      <c r="AD196">
        <f>IF(AND('4 Ope'!F196&gt;Tmin, NOT('4 Ope'!$I196="")),'4 Ope'!$I196,0)</f>
        <v>0</v>
      </c>
      <c r="AE196">
        <f>IF(AND('4 Ope'!C196&lt;Tmax, NOT('4 Ope'!$H196="")),'4 Ope'!$H196,4)</f>
        <v>3</v>
      </c>
      <c r="AF196">
        <f>IF(AND('4 Ope'!D196&lt;Tmax, NOT('4 Ope'!$H196="")),'4 Ope'!$H196,4)</f>
        <v>3</v>
      </c>
      <c r="AG196">
        <f>IF(AND('4 Ope'!E196&lt;Tmax, NOT('4 Ope'!$H196="")),'4 Ope'!$H196,4)</f>
        <v>3</v>
      </c>
      <c r="AH196">
        <f>IF(AND('4 Ope'!F196&lt;Tmax, NOT('4 Ope'!$H196="")),'4 Ope'!$H196,4)</f>
        <v>3</v>
      </c>
      <c r="AI196"/>
      <c r="AU196" s="50"/>
      <c r="AV196" s="50"/>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row>
    <row r="197" spans="1:80" s="229" customFormat="1" ht="40.799999999999997" x14ac:dyDescent="0.25">
      <c r="A197" s="128" t="s">
        <v>755</v>
      </c>
      <c r="B197" s="128" t="s">
        <v>2121</v>
      </c>
      <c r="C197" s="136"/>
      <c r="D197" s="136"/>
      <c r="E197" s="136"/>
      <c r="F197" s="136"/>
      <c r="G197" s="133"/>
      <c r="H197" s="133"/>
      <c r="I197" s="133"/>
      <c r="J197" s="133"/>
      <c r="Z197"/>
      <c r="AA197"/>
      <c r="AB197"/>
      <c r="AC197"/>
      <c r="AD197"/>
      <c r="AE197"/>
      <c r="AF197"/>
      <c r="AG197"/>
      <c r="AH197"/>
      <c r="AI197"/>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row>
    <row r="198" spans="1:80" s="229" customFormat="1" ht="20.399999999999999" x14ac:dyDescent="0.25">
      <c r="A198" s="128" t="s">
        <v>1115</v>
      </c>
      <c r="B198" s="128" t="s">
        <v>1116</v>
      </c>
      <c r="C198" s="136"/>
      <c r="D198" s="136"/>
      <c r="E198" s="136"/>
      <c r="F198" s="136"/>
      <c r="G198" s="133">
        <v>4</v>
      </c>
      <c r="H198" s="133"/>
      <c r="I198" s="133"/>
      <c r="J198" s="133"/>
      <c r="Z198">
        <f>IF(AND('4 Ope'!C198&gt;Tmin, NOT('4 Ope'!$I198="")),'4 Ope'!$I198,0)</f>
        <v>0</v>
      </c>
      <c r="AA198">
        <f>IF(AND('4 Ope'!C198&gt;Tmin, NOT('4 Ope'!$I198="")),'4 Ope'!$I198,0)</f>
        <v>0</v>
      </c>
      <c r="AB198">
        <f>IF(AND('4 Ope'!D198&gt;Tmin, NOT('4 Ope'!$I198="")),'4 Ope'!$I198,0)</f>
        <v>0</v>
      </c>
      <c r="AC198">
        <f>IF(AND('4 Ope'!E198&gt;Tmin, NOT('4 Ope'!$I198="")),'4 Ope'!$I198,0)</f>
        <v>0</v>
      </c>
      <c r="AD198">
        <f>IF(AND('4 Ope'!F198&gt;Tmin, NOT('4 Ope'!$I198="")),'4 Ope'!$I198,0)</f>
        <v>0</v>
      </c>
      <c r="AE198">
        <f>IF(AND('4 Ope'!C198&lt;Tmax, NOT('4 Ope'!$H198="")),'4 Ope'!$H198,4)</f>
        <v>4</v>
      </c>
      <c r="AF198">
        <f>IF(AND('4 Ope'!D198&lt;Tmax, NOT('4 Ope'!$H198="")),'4 Ope'!$H198,4)</f>
        <v>4</v>
      </c>
      <c r="AG198">
        <f>IF(AND('4 Ope'!E198&lt;Tmax, NOT('4 Ope'!$H198="")),'4 Ope'!$H198,4)</f>
        <v>4</v>
      </c>
      <c r="AH198">
        <f>IF(AND('4 Ope'!F198&lt;Tmax, NOT('4 Ope'!$H198="")),'4 Ope'!$H198,4)</f>
        <v>4</v>
      </c>
      <c r="AI198"/>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c r="BW198" s="50"/>
      <c r="BX198" s="50"/>
      <c r="BY198" s="50"/>
      <c r="BZ198" s="50"/>
      <c r="CA198" s="50"/>
      <c r="CB198" s="50"/>
    </row>
    <row r="199" spans="1:80" s="229" customFormat="1" x14ac:dyDescent="0.25">
      <c r="A199" s="128" t="s">
        <v>1117</v>
      </c>
      <c r="B199" s="128" t="s">
        <v>1118</v>
      </c>
      <c r="C199" s="136"/>
      <c r="D199" s="136"/>
      <c r="E199" s="136"/>
      <c r="F199" s="136"/>
      <c r="G199" s="133">
        <v>4</v>
      </c>
      <c r="H199" s="133"/>
      <c r="I199" s="133"/>
      <c r="J199" s="133"/>
      <c r="Z199">
        <f>IF(AND('4 Ope'!C199&gt;Tmin, NOT('4 Ope'!$I199="")),'4 Ope'!$I199,0)</f>
        <v>0</v>
      </c>
      <c r="AA199">
        <f>IF(AND('4 Ope'!C199&gt;Tmin, NOT('4 Ope'!$I199="")),'4 Ope'!$I199,0)</f>
        <v>0</v>
      </c>
      <c r="AB199">
        <f>IF(AND('4 Ope'!D199&gt;Tmin, NOT('4 Ope'!$I199="")),'4 Ope'!$I199,0)</f>
        <v>0</v>
      </c>
      <c r="AC199">
        <f>IF(AND('4 Ope'!E199&gt;Tmin, NOT('4 Ope'!$I199="")),'4 Ope'!$I199,0)</f>
        <v>0</v>
      </c>
      <c r="AD199">
        <f>IF(AND('4 Ope'!F199&gt;Tmin, NOT('4 Ope'!$I199="")),'4 Ope'!$I199,0)</f>
        <v>0</v>
      </c>
      <c r="AE199">
        <f>IF(AND('4 Ope'!C199&lt;Tmax, NOT('4 Ope'!$H199="")),'4 Ope'!$H199,4)</f>
        <v>4</v>
      </c>
      <c r="AF199">
        <f>IF(AND('4 Ope'!D199&lt;Tmax, NOT('4 Ope'!$H199="")),'4 Ope'!$H199,4)</f>
        <v>4</v>
      </c>
      <c r="AG199">
        <f>IF(AND('4 Ope'!E199&lt;Tmax, NOT('4 Ope'!$H199="")),'4 Ope'!$H199,4)</f>
        <v>4</v>
      </c>
      <c r="AH199">
        <f>IF(AND('4 Ope'!F199&lt;Tmax, NOT('4 Ope'!$H199="")),'4 Ope'!$H199,4)</f>
        <v>4</v>
      </c>
      <c r="AI199"/>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c r="BW199" s="50"/>
      <c r="BX199" s="50"/>
      <c r="BY199" s="50"/>
      <c r="BZ199" s="50"/>
      <c r="CA199" s="50"/>
      <c r="CB199" s="50"/>
    </row>
    <row r="200" spans="1:80" s="229" customFormat="1" x14ac:dyDescent="0.25">
      <c r="A200" s="128" t="s">
        <v>1119</v>
      </c>
      <c r="B200" s="128" t="s">
        <v>1120</v>
      </c>
      <c r="C200" s="136"/>
      <c r="D200" s="136"/>
      <c r="E200" s="136"/>
      <c r="F200" s="136"/>
      <c r="G200" s="133">
        <v>4</v>
      </c>
      <c r="H200" s="133">
        <v>2</v>
      </c>
      <c r="I200" s="133"/>
      <c r="J200" s="133"/>
      <c r="Z200">
        <f>IF(AND('4 Ope'!C200&gt;Tmin, NOT('4 Ope'!$I200="")),'4 Ope'!$I200,0)</f>
        <v>0</v>
      </c>
      <c r="AA200">
        <f>IF(AND('4 Ope'!C200&gt;Tmin, NOT('4 Ope'!$I200="")),'4 Ope'!$I200,0)</f>
        <v>0</v>
      </c>
      <c r="AB200">
        <f>IF(AND('4 Ope'!D200&gt;Tmin, NOT('4 Ope'!$I200="")),'4 Ope'!$I200,0)</f>
        <v>0</v>
      </c>
      <c r="AC200">
        <f>IF(AND('4 Ope'!E200&gt;Tmin, NOT('4 Ope'!$I200="")),'4 Ope'!$I200,0)</f>
        <v>0</v>
      </c>
      <c r="AD200">
        <f>IF(AND('4 Ope'!F200&gt;Tmin, NOT('4 Ope'!$I200="")),'4 Ope'!$I200,0)</f>
        <v>0</v>
      </c>
      <c r="AE200">
        <f>IF(AND('4 Ope'!C200&lt;Tmax, NOT('4 Ope'!$H200="")),'4 Ope'!$H200,4)</f>
        <v>2</v>
      </c>
      <c r="AF200">
        <f>IF(AND('4 Ope'!D200&lt;Tmax, NOT('4 Ope'!$H200="")),'4 Ope'!$H200,4)</f>
        <v>2</v>
      </c>
      <c r="AG200">
        <f>IF(AND('4 Ope'!E200&lt;Tmax, NOT('4 Ope'!$H200="")),'4 Ope'!$H200,4)</f>
        <v>2</v>
      </c>
      <c r="AH200">
        <f>IF(AND('4 Ope'!F200&lt;Tmax, NOT('4 Ope'!$H200="")),'4 Ope'!$H200,4)</f>
        <v>2</v>
      </c>
      <c r="AI20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row>
    <row r="201" spans="1:80" s="229" customFormat="1" x14ac:dyDescent="0.25">
      <c r="A201" s="128" t="s">
        <v>1121</v>
      </c>
      <c r="B201" s="128" t="s">
        <v>1122</v>
      </c>
      <c r="C201" s="136"/>
      <c r="D201" s="136"/>
      <c r="E201" s="136"/>
      <c r="F201" s="136"/>
      <c r="G201" s="133">
        <v>2</v>
      </c>
      <c r="H201" s="133"/>
      <c r="I201" s="133"/>
      <c r="J201" s="133"/>
      <c r="Z201">
        <f>IF(AND('4 Ope'!C201&gt;Tmin, NOT('4 Ope'!$I201="")),'4 Ope'!$I201,0)</f>
        <v>0</v>
      </c>
      <c r="AA201">
        <f>IF(AND('4 Ope'!C201&gt;Tmin, NOT('4 Ope'!$I201="")),'4 Ope'!$I201,0)</f>
        <v>0</v>
      </c>
      <c r="AB201">
        <f>IF(AND('4 Ope'!D201&gt;Tmin, NOT('4 Ope'!$I201="")),'4 Ope'!$I201,0)</f>
        <v>0</v>
      </c>
      <c r="AC201">
        <f>IF(AND('4 Ope'!E201&gt;Tmin, NOT('4 Ope'!$I201="")),'4 Ope'!$I201,0)</f>
        <v>0</v>
      </c>
      <c r="AD201">
        <f>IF(AND('4 Ope'!F201&gt;Tmin, NOT('4 Ope'!$I201="")),'4 Ope'!$I201,0)</f>
        <v>0</v>
      </c>
      <c r="AE201">
        <f>IF(AND('4 Ope'!C201&lt;Tmax, NOT('4 Ope'!$H201="")),'4 Ope'!$H201,4)</f>
        <v>4</v>
      </c>
      <c r="AF201">
        <f>IF(AND('4 Ope'!D201&lt;Tmax, NOT('4 Ope'!$H201="")),'4 Ope'!$H201,4)</f>
        <v>4</v>
      </c>
      <c r="AG201">
        <f>IF(AND('4 Ope'!E201&lt;Tmax, NOT('4 Ope'!$H201="")),'4 Ope'!$H201,4)</f>
        <v>4</v>
      </c>
      <c r="AH201">
        <f>IF(AND('4 Ope'!F201&lt;Tmax, NOT('4 Ope'!$H201="")),'4 Ope'!$H201,4)</f>
        <v>4</v>
      </c>
      <c r="AI201"/>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row>
    <row r="202" spans="1:80" s="229" customFormat="1" ht="20.399999999999999" x14ac:dyDescent="0.25">
      <c r="A202" s="128" t="s">
        <v>1123</v>
      </c>
      <c r="B202" s="128" t="s">
        <v>1124</v>
      </c>
      <c r="C202" s="136"/>
      <c r="D202" s="136"/>
      <c r="E202" s="136"/>
      <c r="F202" s="136"/>
      <c r="G202" s="133">
        <v>2</v>
      </c>
      <c r="H202" s="133">
        <v>2</v>
      </c>
      <c r="I202" s="133"/>
      <c r="J202" s="133"/>
      <c r="Z202">
        <f>IF(AND('4 Ope'!C202&gt;Tmin, NOT('4 Ope'!$I202="")),'4 Ope'!$I202,0)</f>
        <v>0</v>
      </c>
      <c r="AA202">
        <f>IF(AND('4 Ope'!C202&gt;Tmin, NOT('4 Ope'!$I202="")),'4 Ope'!$I202,0)</f>
        <v>0</v>
      </c>
      <c r="AB202">
        <f>IF(AND('4 Ope'!D202&gt;Tmin, NOT('4 Ope'!$I202="")),'4 Ope'!$I202,0)</f>
        <v>0</v>
      </c>
      <c r="AC202">
        <f>IF(AND('4 Ope'!E202&gt;Tmin, NOT('4 Ope'!$I202="")),'4 Ope'!$I202,0)</f>
        <v>0</v>
      </c>
      <c r="AD202">
        <f>IF(AND('4 Ope'!F202&gt;Tmin, NOT('4 Ope'!$I202="")),'4 Ope'!$I202,0)</f>
        <v>0</v>
      </c>
      <c r="AE202">
        <f>IF(AND('4 Ope'!C202&lt;Tmax, NOT('4 Ope'!$H202="")),'4 Ope'!$H202,4)</f>
        <v>2</v>
      </c>
      <c r="AF202">
        <f>IF(AND('4 Ope'!D202&lt;Tmax, NOT('4 Ope'!$H202="")),'4 Ope'!$H202,4)</f>
        <v>2</v>
      </c>
      <c r="AG202">
        <f>IF(AND('4 Ope'!E202&lt;Tmax, NOT('4 Ope'!$H202="")),'4 Ope'!$H202,4)</f>
        <v>2</v>
      </c>
      <c r="AH202">
        <f>IF(AND('4 Ope'!F202&lt;Tmax, NOT('4 Ope'!$H202="")),'4 Ope'!$H202,4)</f>
        <v>2</v>
      </c>
      <c r="AI202"/>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c r="BW202" s="50"/>
      <c r="BX202" s="50"/>
      <c r="BY202" s="50"/>
      <c r="BZ202" s="50"/>
      <c r="CA202" s="50"/>
      <c r="CB202" s="50"/>
    </row>
    <row r="203" spans="1:80" s="229" customFormat="1" x14ac:dyDescent="0.25">
      <c r="A203" s="128" t="s">
        <v>1125</v>
      </c>
      <c r="B203" s="128" t="s">
        <v>1126</v>
      </c>
      <c r="C203" s="136"/>
      <c r="D203" s="136"/>
      <c r="E203" s="136"/>
      <c r="F203" s="136"/>
      <c r="G203" s="133">
        <v>2</v>
      </c>
      <c r="H203" s="133"/>
      <c r="I203" s="133"/>
      <c r="J203" s="133"/>
      <c r="Z203">
        <f>IF(AND('4 Ope'!C203&gt;Tmin, NOT('4 Ope'!$I203="")),'4 Ope'!$I203,0)</f>
        <v>0</v>
      </c>
      <c r="AA203">
        <f>IF(AND('4 Ope'!C203&gt;Tmin, NOT('4 Ope'!$I203="")),'4 Ope'!$I203,0)</f>
        <v>0</v>
      </c>
      <c r="AB203">
        <f>IF(AND('4 Ope'!D203&gt;Tmin, NOT('4 Ope'!$I203="")),'4 Ope'!$I203,0)</f>
        <v>0</v>
      </c>
      <c r="AC203">
        <f>IF(AND('4 Ope'!E203&gt;Tmin, NOT('4 Ope'!$I203="")),'4 Ope'!$I203,0)</f>
        <v>0</v>
      </c>
      <c r="AD203">
        <f>IF(AND('4 Ope'!F203&gt;Tmin, NOT('4 Ope'!$I203="")),'4 Ope'!$I203,0)</f>
        <v>0</v>
      </c>
      <c r="AE203">
        <f>IF(AND('4 Ope'!C203&lt;Tmax, NOT('4 Ope'!$H203="")),'4 Ope'!$H203,4)</f>
        <v>4</v>
      </c>
      <c r="AF203">
        <f>IF(AND('4 Ope'!D203&lt;Tmax, NOT('4 Ope'!$H203="")),'4 Ope'!$H203,4)</f>
        <v>4</v>
      </c>
      <c r="AG203">
        <f>IF(AND('4 Ope'!E203&lt;Tmax, NOT('4 Ope'!$H203="")),'4 Ope'!$H203,4)</f>
        <v>4</v>
      </c>
      <c r="AH203">
        <f>IF(AND('4 Ope'!F203&lt;Tmax, NOT('4 Ope'!$H203="")),'4 Ope'!$H203,4)</f>
        <v>4</v>
      </c>
      <c r="AI203"/>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c r="BW203" s="50"/>
      <c r="BX203" s="50"/>
      <c r="BY203" s="50"/>
      <c r="BZ203" s="50"/>
      <c r="CA203" s="50"/>
      <c r="CB203" s="50"/>
    </row>
    <row r="204" spans="1:80" s="229" customFormat="1" x14ac:dyDescent="0.25">
      <c r="A204" s="128" t="s">
        <v>1127</v>
      </c>
      <c r="B204" s="128" t="s">
        <v>1128</v>
      </c>
      <c r="C204" s="136"/>
      <c r="D204" s="136"/>
      <c r="E204" s="136"/>
      <c r="F204" s="136"/>
      <c r="G204" s="133">
        <v>2</v>
      </c>
      <c r="H204" s="133"/>
      <c r="I204" s="133"/>
      <c r="J204" s="133"/>
      <c r="Z204">
        <f>IF(AND('4 Ope'!C204&gt;Tmin, NOT('4 Ope'!$I204="")),'4 Ope'!$I204,0)</f>
        <v>0</v>
      </c>
      <c r="AA204">
        <f>IF(AND('4 Ope'!C204&gt;Tmin, NOT('4 Ope'!$I204="")),'4 Ope'!$I204,0)</f>
        <v>0</v>
      </c>
      <c r="AB204">
        <f>IF(AND('4 Ope'!D204&gt;Tmin, NOT('4 Ope'!$I204="")),'4 Ope'!$I204,0)</f>
        <v>0</v>
      </c>
      <c r="AC204">
        <f>IF(AND('4 Ope'!E204&gt;Tmin, NOT('4 Ope'!$I204="")),'4 Ope'!$I204,0)</f>
        <v>0</v>
      </c>
      <c r="AD204">
        <f>IF(AND('4 Ope'!F204&gt;Tmin, NOT('4 Ope'!$I204="")),'4 Ope'!$I204,0)</f>
        <v>0</v>
      </c>
      <c r="AE204">
        <f>IF(AND('4 Ope'!C204&lt;Tmax, NOT('4 Ope'!$H204="")),'4 Ope'!$H204,4)</f>
        <v>4</v>
      </c>
      <c r="AF204">
        <f>IF(AND('4 Ope'!D204&lt;Tmax, NOT('4 Ope'!$H204="")),'4 Ope'!$H204,4)</f>
        <v>4</v>
      </c>
      <c r="AG204">
        <f>IF(AND('4 Ope'!E204&lt;Tmax, NOT('4 Ope'!$H204="")),'4 Ope'!$H204,4)</f>
        <v>4</v>
      </c>
      <c r="AH204">
        <f>IF(AND('4 Ope'!F204&lt;Tmax, NOT('4 Ope'!$H204="")),'4 Ope'!$H204,4)</f>
        <v>4</v>
      </c>
      <c r="AI204"/>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row>
    <row r="205" spans="1:80" s="229" customFormat="1" ht="20.399999999999999" x14ac:dyDescent="0.25">
      <c r="A205" s="128" t="s">
        <v>1129</v>
      </c>
      <c r="B205" s="128" t="s">
        <v>2339</v>
      </c>
      <c r="C205" s="136"/>
      <c r="D205" s="136"/>
      <c r="E205" s="136"/>
      <c r="F205" s="136"/>
      <c r="G205" s="133">
        <v>2</v>
      </c>
      <c r="H205" s="133"/>
      <c r="I205" s="133"/>
      <c r="J205" s="133"/>
      <c r="Z205">
        <f>IF(AND('4 Ope'!C205&gt;Tmin, NOT('4 Ope'!$I205="")),'4 Ope'!$I205,0)</f>
        <v>0</v>
      </c>
      <c r="AA205">
        <f>IF(AND('4 Ope'!C205&gt;Tmin, NOT('4 Ope'!$I205="")),'4 Ope'!$I205,0)</f>
        <v>0</v>
      </c>
      <c r="AB205">
        <f>IF(AND('4 Ope'!D205&gt;Tmin, NOT('4 Ope'!$I205="")),'4 Ope'!$I205,0)</f>
        <v>0</v>
      </c>
      <c r="AC205">
        <f>IF(AND('4 Ope'!E205&gt;Tmin, NOT('4 Ope'!$I205="")),'4 Ope'!$I205,0)</f>
        <v>0</v>
      </c>
      <c r="AD205">
        <f>IF(AND('4 Ope'!F205&gt;Tmin, NOT('4 Ope'!$I205="")),'4 Ope'!$I205,0)</f>
        <v>0</v>
      </c>
      <c r="AE205">
        <f>IF(AND('4 Ope'!C205&lt;Tmax, NOT('4 Ope'!$H205="")),'4 Ope'!$H205,4)</f>
        <v>4</v>
      </c>
      <c r="AF205">
        <f>IF(AND('4 Ope'!D205&lt;Tmax, NOT('4 Ope'!$H205="")),'4 Ope'!$H205,4)</f>
        <v>4</v>
      </c>
      <c r="AG205">
        <f>IF(AND('4 Ope'!E205&lt;Tmax, NOT('4 Ope'!$H205="")),'4 Ope'!$H205,4)</f>
        <v>4</v>
      </c>
      <c r="AH205">
        <f>IF(AND('4 Ope'!F205&lt;Tmax, NOT('4 Ope'!$H205="")),'4 Ope'!$H205,4)</f>
        <v>4</v>
      </c>
      <c r="AI205"/>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0"/>
      <c r="BX205" s="50"/>
      <c r="BY205" s="50"/>
      <c r="BZ205" s="50"/>
      <c r="CA205" s="50"/>
      <c r="CB205" s="50"/>
    </row>
    <row r="206" spans="1:80" s="229" customFormat="1" ht="20.399999999999999" x14ac:dyDescent="0.25">
      <c r="A206" s="128" t="s">
        <v>1130</v>
      </c>
      <c r="B206" s="128" t="s">
        <v>1131</v>
      </c>
      <c r="C206" s="136"/>
      <c r="D206" s="136"/>
      <c r="E206" s="136"/>
      <c r="F206" s="136"/>
      <c r="G206" s="133">
        <v>2</v>
      </c>
      <c r="H206" s="133"/>
      <c r="I206" s="133"/>
      <c r="J206" s="133"/>
      <c r="Z206">
        <f>IF(AND('4 Ope'!C206&gt;Tmin, NOT('4 Ope'!$I206="")),'4 Ope'!$I206,0)</f>
        <v>0</v>
      </c>
      <c r="AA206">
        <f>IF(AND('4 Ope'!C206&gt;Tmin, NOT('4 Ope'!$I206="")),'4 Ope'!$I206,0)</f>
        <v>0</v>
      </c>
      <c r="AB206">
        <f>IF(AND('4 Ope'!D206&gt;Tmin, NOT('4 Ope'!$I206="")),'4 Ope'!$I206,0)</f>
        <v>0</v>
      </c>
      <c r="AC206">
        <f>IF(AND('4 Ope'!E206&gt;Tmin, NOT('4 Ope'!$I206="")),'4 Ope'!$I206,0)</f>
        <v>0</v>
      </c>
      <c r="AD206">
        <f>IF(AND('4 Ope'!F206&gt;Tmin, NOT('4 Ope'!$I206="")),'4 Ope'!$I206,0)</f>
        <v>0</v>
      </c>
      <c r="AE206">
        <f>IF(AND('4 Ope'!C206&lt;Tmax, NOT('4 Ope'!$H206="")),'4 Ope'!$H206,4)</f>
        <v>4</v>
      </c>
      <c r="AF206">
        <f>IF(AND('4 Ope'!D206&lt;Tmax, NOT('4 Ope'!$H206="")),'4 Ope'!$H206,4)</f>
        <v>4</v>
      </c>
      <c r="AG206">
        <f>IF(AND('4 Ope'!E206&lt;Tmax, NOT('4 Ope'!$H206="")),'4 Ope'!$H206,4)</f>
        <v>4</v>
      </c>
      <c r="AH206">
        <f>IF(AND('4 Ope'!F206&lt;Tmax, NOT('4 Ope'!$H206="")),'4 Ope'!$H206,4)</f>
        <v>4</v>
      </c>
      <c r="AI206"/>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row>
    <row r="207" spans="1:80" s="229" customFormat="1" x14ac:dyDescent="0.25">
      <c r="A207" s="128" t="s">
        <v>1132</v>
      </c>
      <c r="B207" s="128" t="s">
        <v>1133</v>
      </c>
      <c r="C207" s="136"/>
      <c r="D207" s="136"/>
      <c r="E207" s="136"/>
      <c r="F207" s="136"/>
      <c r="G207" s="133">
        <v>2</v>
      </c>
      <c r="H207" s="133"/>
      <c r="I207" s="133"/>
      <c r="J207" s="133"/>
      <c r="Z207">
        <f>IF(AND('4 Ope'!C207&gt;Tmin, NOT('4 Ope'!$I207="")),'4 Ope'!$I207,0)</f>
        <v>0</v>
      </c>
      <c r="AA207">
        <f>IF(AND('4 Ope'!C207&gt;Tmin, NOT('4 Ope'!$I207="")),'4 Ope'!$I207,0)</f>
        <v>0</v>
      </c>
      <c r="AB207">
        <f>IF(AND('4 Ope'!D207&gt;Tmin, NOT('4 Ope'!$I207="")),'4 Ope'!$I207,0)</f>
        <v>0</v>
      </c>
      <c r="AC207">
        <f>IF(AND('4 Ope'!E207&gt;Tmin, NOT('4 Ope'!$I207="")),'4 Ope'!$I207,0)</f>
        <v>0</v>
      </c>
      <c r="AD207">
        <f>IF(AND('4 Ope'!F207&gt;Tmin, NOT('4 Ope'!$I207="")),'4 Ope'!$I207,0)</f>
        <v>0</v>
      </c>
      <c r="AE207">
        <f>IF(AND('4 Ope'!C207&lt;Tmax, NOT('4 Ope'!$H207="")),'4 Ope'!$H207,4)</f>
        <v>4</v>
      </c>
      <c r="AF207">
        <f>IF(AND('4 Ope'!D207&lt;Tmax, NOT('4 Ope'!$H207="")),'4 Ope'!$H207,4)</f>
        <v>4</v>
      </c>
      <c r="AG207">
        <f>IF(AND('4 Ope'!E207&lt;Tmax, NOT('4 Ope'!$H207="")),'4 Ope'!$H207,4)</f>
        <v>4</v>
      </c>
      <c r="AH207">
        <f>IF(AND('4 Ope'!F207&lt;Tmax, NOT('4 Ope'!$H207="")),'4 Ope'!$H207,4)</f>
        <v>4</v>
      </c>
      <c r="AI207"/>
      <c r="AU207" s="50"/>
      <c r="AV207" s="50"/>
      <c r="AW207" s="50"/>
      <c r="AX207" s="50"/>
      <c r="AY207" s="50"/>
      <c r="AZ207" s="50"/>
      <c r="BA207" s="50"/>
      <c r="BB207" s="50"/>
      <c r="BC207" s="50"/>
      <c r="BD207" s="50"/>
      <c r="BE207" s="50"/>
      <c r="BF207" s="50"/>
      <c r="BG207" s="50"/>
      <c r="BH207" s="50"/>
      <c r="BI207" s="50"/>
      <c r="BJ207" s="50"/>
      <c r="BK207" s="50"/>
      <c r="BL207" s="50"/>
      <c r="BM207" s="50"/>
      <c r="BN207" s="50"/>
      <c r="BO207" s="50"/>
      <c r="BP207" s="50"/>
      <c r="BQ207" s="50"/>
      <c r="BR207" s="50"/>
      <c r="BS207" s="50"/>
      <c r="BT207" s="50"/>
      <c r="BU207" s="50"/>
      <c r="BV207" s="50"/>
      <c r="BW207" s="50"/>
      <c r="BX207" s="50"/>
      <c r="BY207" s="50"/>
      <c r="BZ207" s="50"/>
      <c r="CA207" s="50"/>
      <c r="CB207" s="50"/>
    </row>
    <row r="208" spans="1:80" s="229" customFormat="1" ht="20.399999999999999" x14ac:dyDescent="0.25">
      <c r="A208" s="128" t="s">
        <v>1134</v>
      </c>
      <c r="B208" s="128" t="s">
        <v>1135</v>
      </c>
      <c r="C208" s="136"/>
      <c r="D208" s="136"/>
      <c r="E208" s="136"/>
      <c r="F208" s="136"/>
      <c r="G208" s="133">
        <v>2</v>
      </c>
      <c r="H208" s="133">
        <v>3</v>
      </c>
      <c r="I208" s="133"/>
      <c r="J208" s="133"/>
      <c r="Z208">
        <f>IF(AND('4 Ope'!C208&gt;Tmin, NOT('4 Ope'!$I208="")),'4 Ope'!$I208,0)</f>
        <v>0</v>
      </c>
      <c r="AA208">
        <f>IF(AND('4 Ope'!C208&gt;Tmin, NOT('4 Ope'!$I208="")),'4 Ope'!$I208,0)</f>
        <v>0</v>
      </c>
      <c r="AB208">
        <f>IF(AND('4 Ope'!D208&gt;Tmin, NOT('4 Ope'!$I208="")),'4 Ope'!$I208,0)</f>
        <v>0</v>
      </c>
      <c r="AC208">
        <f>IF(AND('4 Ope'!E208&gt;Tmin, NOT('4 Ope'!$I208="")),'4 Ope'!$I208,0)</f>
        <v>0</v>
      </c>
      <c r="AD208">
        <f>IF(AND('4 Ope'!F208&gt;Tmin, NOT('4 Ope'!$I208="")),'4 Ope'!$I208,0)</f>
        <v>0</v>
      </c>
      <c r="AE208">
        <f>IF(AND('4 Ope'!C208&lt;Tmax, NOT('4 Ope'!$H208="")),'4 Ope'!$H208,4)</f>
        <v>3</v>
      </c>
      <c r="AF208">
        <f>IF(AND('4 Ope'!D208&lt;Tmax, NOT('4 Ope'!$H208="")),'4 Ope'!$H208,4)</f>
        <v>3</v>
      </c>
      <c r="AG208">
        <f>IF(AND('4 Ope'!E208&lt;Tmax, NOT('4 Ope'!$H208="")),'4 Ope'!$H208,4)</f>
        <v>3</v>
      </c>
      <c r="AH208">
        <f>IF(AND('4 Ope'!F208&lt;Tmax, NOT('4 Ope'!$H208="")),'4 Ope'!$H208,4)</f>
        <v>3</v>
      </c>
      <c r="AI208"/>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row>
    <row r="209" spans="1:80" s="229" customFormat="1" ht="20.399999999999999" x14ac:dyDescent="0.25">
      <c r="A209" s="128" t="s">
        <v>1136</v>
      </c>
      <c r="B209" s="128" t="s">
        <v>6765</v>
      </c>
      <c r="C209" s="136"/>
      <c r="D209" s="136"/>
      <c r="E209" s="136"/>
      <c r="F209" s="136"/>
      <c r="G209" s="133">
        <v>2</v>
      </c>
      <c r="H209" s="133">
        <v>3</v>
      </c>
      <c r="I209" s="133"/>
      <c r="J209" s="133"/>
      <c r="Z209">
        <f>IF(AND('4 Ope'!C209&gt;Tmin, NOT('4 Ope'!$I209="")),'4 Ope'!$I209,0)</f>
        <v>0</v>
      </c>
      <c r="AA209">
        <f>IF(AND('4 Ope'!C209&gt;Tmin, NOT('4 Ope'!$I209="")),'4 Ope'!$I209,0)</f>
        <v>0</v>
      </c>
      <c r="AB209">
        <f>IF(AND('4 Ope'!D209&gt;Tmin, NOT('4 Ope'!$I209="")),'4 Ope'!$I209,0)</f>
        <v>0</v>
      </c>
      <c r="AC209">
        <f>IF(AND('4 Ope'!E209&gt;Tmin, NOT('4 Ope'!$I209="")),'4 Ope'!$I209,0)</f>
        <v>0</v>
      </c>
      <c r="AD209">
        <f>IF(AND('4 Ope'!F209&gt;Tmin, NOT('4 Ope'!$I209="")),'4 Ope'!$I209,0)</f>
        <v>0</v>
      </c>
      <c r="AE209">
        <f>IF(AND('4 Ope'!C209&lt;Tmax, NOT('4 Ope'!$H209="")),'4 Ope'!$H209,4)</f>
        <v>3</v>
      </c>
      <c r="AF209">
        <f>IF(AND('4 Ope'!D209&lt;Tmax, NOT('4 Ope'!$H209="")),'4 Ope'!$H209,4)</f>
        <v>3</v>
      </c>
      <c r="AG209">
        <f>IF(AND('4 Ope'!E209&lt;Tmax, NOT('4 Ope'!$H209="")),'4 Ope'!$H209,4)</f>
        <v>3</v>
      </c>
      <c r="AH209">
        <f>IF(AND('4 Ope'!F209&lt;Tmax, NOT('4 Ope'!$H209="")),'4 Ope'!$H209,4)</f>
        <v>3</v>
      </c>
      <c r="AI209"/>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row>
    <row r="210" spans="1:80" s="229" customFormat="1" x14ac:dyDescent="0.25">
      <c r="A210" s="128" t="s">
        <v>1138</v>
      </c>
      <c r="B210" s="128" t="s">
        <v>1137</v>
      </c>
      <c r="C210" s="136"/>
      <c r="D210" s="136"/>
      <c r="E210" s="136"/>
      <c r="F210" s="136"/>
      <c r="G210" s="133">
        <v>2</v>
      </c>
      <c r="H210" s="133">
        <v>2</v>
      </c>
      <c r="I210" s="133"/>
      <c r="J210" s="133"/>
      <c r="Z210">
        <f>IF(AND('4 Ope'!C210&gt;Tmin, NOT('4 Ope'!$I210="")),'4 Ope'!$I210,0)</f>
        <v>0</v>
      </c>
      <c r="AA210">
        <f>IF(AND('4 Ope'!C210&gt;Tmin, NOT('4 Ope'!$I210="")),'4 Ope'!$I210,0)</f>
        <v>0</v>
      </c>
      <c r="AB210">
        <f>IF(AND('4 Ope'!D210&gt;Tmin, NOT('4 Ope'!$I210="")),'4 Ope'!$I210,0)</f>
        <v>0</v>
      </c>
      <c r="AC210">
        <f>IF(AND('4 Ope'!E210&gt;Tmin, NOT('4 Ope'!$I210="")),'4 Ope'!$I210,0)</f>
        <v>0</v>
      </c>
      <c r="AD210">
        <f>IF(AND('4 Ope'!F210&gt;Tmin, NOT('4 Ope'!$I210="")),'4 Ope'!$I210,0)</f>
        <v>0</v>
      </c>
      <c r="AE210">
        <f>IF(AND('4 Ope'!C210&lt;Tmax, NOT('4 Ope'!$H210="")),'4 Ope'!$H210,4)</f>
        <v>2</v>
      </c>
      <c r="AF210">
        <f>IF(AND('4 Ope'!D210&lt;Tmax, NOT('4 Ope'!$H210="")),'4 Ope'!$H210,4)</f>
        <v>2</v>
      </c>
      <c r="AG210">
        <f>IF(AND('4 Ope'!E210&lt;Tmax, NOT('4 Ope'!$H210="")),'4 Ope'!$H210,4)</f>
        <v>2</v>
      </c>
      <c r="AH210">
        <f>IF(AND('4 Ope'!F210&lt;Tmax, NOT('4 Ope'!$H210="")),'4 Ope'!$H210,4)</f>
        <v>2</v>
      </c>
      <c r="AI21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row>
    <row r="211" spans="1:80" s="228" customFormat="1" ht="20.399999999999999" x14ac:dyDescent="0.25">
      <c r="A211" s="128" t="s">
        <v>1140</v>
      </c>
      <c r="B211" s="128" t="s">
        <v>1139</v>
      </c>
      <c r="C211" s="136"/>
      <c r="D211" s="136"/>
      <c r="E211" s="136"/>
      <c r="F211" s="136"/>
      <c r="G211" s="133">
        <v>2</v>
      </c>
      <c r="H211" s="133">
        <v>3</v>
      </c>
      <c r="I211" s="133"/>
      <c r="J211" s="133"/>
      <c r="K211" s="229"/>
      <c r="L211" s="229"/>
      <c r="M211" s="229"/>
      <c r="N211" s="229"/>
      <c r="O211" s="229"/>
      <c r="P211" s="229"/>
      <c r="Q211" s="229"/>
      <c r="R211" s="229"/>
      <c r="S211" s="229"/>
      <c r="T211" s="229"/>
      <c r="U211" s="229"/>
      <c r="V211" s="229"/>
      <c r="W211" s="229"/>
      <c r="X211" s="229"/>
      <c r="Y211" s="229"/>
      <c r="Z211">
        <f>IF(AND('4 Ope'!C211&gt;Tmin, NOT('4 Ope'!$I211="")),'4 Ope'!$I211,0)</f>
        <v>0</v>
      </c>
      <c r="AA211">
        <f>IF(AND('4 Ope'!C211&gt;Tmin, NOT('4 Ope'!$I211="")),'4 Ope'!$I211,0)</f>
        <v>0</v>
      </c>
      <c r="AB211">
        <f>IF(AND('4 Ope'!D211&gt;Tmin, NOT('4 Ope'!$I211="")),'4 Ope'!$I211,0)</f>
        <v>0</v>
      </c>
      <c r="AC211">
        <f>IF(AND('4 Ope'!E211&gt;Tmin, NOT('4 Ope'!$I211="")),'4 Ope'!$I211,0)</f>
        <v>0</v>
      </c>
      <c r="AD211">
        <f>IF(AND('4 Ope'!F211&gt;Tmin, NOT('4 Ope'!$I211="")),'4 Ope'!$I211,0)</f>
        <v>0</v>
      </c>
      <c r="AE211">
        <f>IF(AND('4 Ope'!C211&lt;Tmax, NOT('4 Ope'!$H211="")),'4 Ope'!$H211,4)</f>
        <v>3</v>
      </c>
      <c r="AF211">
        <f>IF(AND('4 Ope'!D211&lt;Tmax, NOT('4 Ope'!$H211="")),'4 Ope'!$H211,4)</f>
        <v>3</v>
      </c>
      <c r="AG211">
        <f>IF(AND('4 Ope'!E211&lt;Tmax, NOT('4 Ope'!$H211="")),'4 Ope'!$H211,4)</f>
        <v>3</v>
      </c>
      <c r="AH211">
        <f>IF(AND('4 Ope'!F211&lt;Tmax, NOT('4 Ope'!$H211="")),'4 Ope'!$H211,4)</f>
        <v>3</v>
      </c>
      <c r="AI211"/>
      <c r="AJ211" s="229"/>
      <c r="AK211" s="229"/>
      <c r="AL211" s="229"/>
      <c r="AM211" s="229"/>
      <c r="AN211" s="229"/>
      <c r="AO211" s="229"/>
      <c r="AP211" s="229"/>
      <c r="AQ211" s="229"/>
      <c r="AR211" s="229"/>
      <c r="AS211" s="229"/>
      <c r="AT211" s="229"/>
      <c r="AU211" s="50"/>
      <c r="AV211" s="50"/>
      <c r="AW211" s="50"/>
      <c r="AX211" s="50"/>
      <c r="AY211" s="50"/>
      <c r="AZ211" s="50"/>
      <c r="BA211" s="50"/>
      <c r="BB211" s="50"/>
      <c r="BC211" s="50"/>
      <c r="BD211" s="50"/>
      <c r="BE211" s="50"/>
      <c r="BF211" s="50"/>
      <c r="BG211" s="50"/>
      <c r="BH211" s="50"/>
      <c r="BI211" s="50"/>
      <c r="BJ211" s="50"/>
      <c r="BK211" s="50"/>
      <c r="BL211" s="50"/>
      <c r="BM211" s="50"/>
      <c r="BN211" s="50"/>
      <c r="BO211" s="50"/>
      <c r="BP211" s="50"/>
      <c r="BQ211" s="50"/>
      <c r="BR211" s="50"/>
      <c r="BS211" s="50"/>
      <c r="BT211" s="50"/>
      <c r="BU211" s="50"/>
      <c r="BV211" s="50"/>
      <c r="BW211" s="50"/>
      <c r="BX211" s="50"/>
      <c r="BY211" s="50"/>
      <c r="BZ211" s="50"/>
      <c r="CA211" s="50"/>
      <c r="CB211" s="50"/>
    </row>
    <row r="212" spans="1:80" s="228" customFormat="1" ht="20.399999999999999" x14ac:dyDescent="0.25">
      <c r="A212" s="128" t="s">
        <v>6684</v>
      </c>
      <c r="B212" s="128" t="s">
        <v>1141</v>
      </c>
      <c r="C212" s="136"/>
      <c r="D212" s="136"/>
      <c r="E212" s="136"/>
      <c r="F212" s="136"/>
      <c r="G212" s="133">
        <v>2</v>
      </c>
      <c r="H212" s="133">
        <v>3</v>
      </c>
      <c r="I212" s="133"/>
      <c r="J212" s="133"/>
      <c r="K212" s="229"/>
      <c r="L212" s="229"/>
      <c r="M212" s="229"/>
      <c r="N212" s="229"/>
      <c r="O212" s="229"/>
      <c r="P212" s="229"/>
      <c r="Q212" s="229"/>
      <c r="R212" s="229"/>
      <c r="S212" s="229"/>
      <c r="T212" s="229"/>
      <c r="U212" s="229"/>
      <c r="V212" s="229"/>
      <c r="W212" s="229"/>
      <c r="X212" s="229"/>
      <c r="Y212" s="229"/>
      <c r="Z212">
        <f>IF(AND('4 Ope'!C212&gt;Tmin, NOT('4 Ope'!$I212="")),'4 Ope'!$I212,0)</f>
        <v>0</v>
      </c>
      <c r="AA212">
        <f>IF(AND('4 Ope'!C212&gt;Tmin, NOT('4 Ope'!$I212="")),'4 Ope'!$I212,0)</f>
        <v>0</v>
      </c>
      <c r="AB212">
        <f>IF(AND('4 Ope'!D212&gt;Tmin, NOT('4 Ope'!$I212="")),'4 Ope'!$I212,0)</f>
        <v>0</v>
      </c>
      <c r="AC212">
        <f>IF(AND('4 Ope'!E212&gt;Tmin, NOT('4 Ope'!$I212="")),'4 Ope'!$I212,0)</f>
        <v>0</v>
      </c>
      <c r="AD212">
        <f>IF(AND('4 Ope'!F212&gt;Tmin, NOT('4 Ope'!$I212="")),'4 Ope'!$I212,0)</f>
        <v>0</v>
      </c>
      <c r="AE212">
        <f>IF(AND('4 Ope'!C212&lt;Tmax, NOT('4 Ope'!$H212="")),'4 Ope'!$H212,4)</f>
        <v>3</v>
      </c>
      <c r="AF212">
        <f>IF(AND('4 Ope'!D212&lt;Tmax, NOT('4 Ope'!$H212="")),'4 Ope'!$H212,4)</f>
        <v>3</v>
      </c>
      <c r="AG212">
        <f>IF(AND('4 Ope'!E212&lt;Tmax, NOT('4 Ope'!$H212="")),'4 Ope'!$H212,4)</f>
        <v>3</v>
      </c>
      <c r="AH212">
        <f>IF(AND('4 Ope'!F212&lt;Tmax, NOT('4 Ope'!$H212="")),'4 Ope'!$H212,4)</f>
        <v>3</v>
      </c>
      <c r="AI212"/>
      <c r="AJ212" s="229"/>
      <c r="AK212" s="229"/>
      <c r="AL212" s="229"/>
      <c r="AM212" s="229"/>
      <c r="AN212" s="229"/>
      <c r="AO212" s="229"/>
      <c r="AP212" s="229"/>
      <c r="AQ212" s="229"/>
      <c r="AR212" s="229"/>
      <c r="AS212" s="229"/>
      <c r="AT212" s="229"/>
      <c r="AU212" s="50"/>
      <c r="AV212" s="50"/>
      <c r="AW212" s="50"/>
      <c r="AX212" s="50"/>
      <c r="AY212" s="50"/>
      <c r="AZ212" s="50"/>
      <c r="BA212" s="50"/>
      <c r="BB212" s="50"/>
      <c r="BC212" s="50"/>
      <c r="BD212" s="50"/>
      <c r="BE212" s="50"/>
      <c r="BF212" s="50"/>
      <c r="BG212" s="50"/>
      <c r="BH212" s="50"/>
      <c r="BI212" s="50"/>
      <c r="BJ212" s="50"/>
      <c r="BK212" s="50"/>
      <c r="BL212" s="50"/>
      <c r="BM212" s="50"/>
      <c r="BN212" s="50"/>
      <c r="BO212" s="50"/>
      <c r="BP212" s="50"/>
      <c r="BQ212" s="50"/>
      <c r="BR212" s="50"/>
      <c r="BS212" s="50"/>
      <c r="BT212" s="50"/>
      <c r="BU212" s="50"/>
      <c r="BV212" s="50"/>
      <c r="BW212" s="50"/>
      <c r="BX212" s="50"/>
      <c r="BY212" s="50"/>
      <c r="BZ212" s="50"/>
      <c r="CA212" s="50"/>
      <c r="CB212" s="50"/>
    </row>
    <row r="213" spans="1:80" s="228" customFormat="1" x14ac:dyDescent="0.25">
      <c r="A213" s="128" t="s">
        <v>621</v>
      </c>
      <c r="B213" s="128" t="s">
        <v>505</v>
      </c>
      <c r="C213" s="136"/>
      <c r="D213" s="136"/>
      <c r="E213" s="136"/>
      <c r="F213" s="136"/>
      <c r="G213" s="133"/>
      <c r="H213" s="133"/>
      <c r="I213" s="133"/>
      <c r="J213" s="133"/>
      <c r="K213" s="229"/>
      <c r="L213" s="229"/>
      <c r="M213" s="229"/>
      <c r="N213" s="229"/>
      <c r="O213" s="229"/>
      <c r="P213" s="229"/>
      <c r="Q213" s="229"/>
      <c r="R213" s="229"/>
      <c r="S213" s="229"/>
      <c r="T213" s="229"/>
      <c r="U213" s="229"/>
      <c r="V213" s="229"/>
      <c r="W213" s="229"/>
      <c r="X213" s="229"/>
      <c r="Y213" s="229"/>
      <c r="Z213"/>
      <c r="AA213"/>
      <c r="AB213"/>
      <c r="AC213"/>
      <c r="AD213"/>
      <c r="AE213"/>
      <c r="AF213"/>
      <c r="AG213"/>
      <c r="AH213"/>
      <c r="AI213"/>
      <c r="AJ213" s="229"/>
      <c r="AK213" s="229"/>
      <c r="AL213" s="229"/>
      <c r="AM213" s="229"/>
      <c r="AN213" s="229"/>
      <c r="AO213" s="229"/>
      <c r="AP213" s="229"/>
      <c r="AQ213" s="229"/>
      <c r="AR213" s="229"/>
      <c r="AS213" s="229"/>
      <c r="AT213" s="229"/>
      <c r="AU213" s="50"/>
      <c r="AV213" s="50"/>
      <c r="AW213" s="50"/>
      <c r="AX213" s="50"/>
      <c r="AY213" s="50"/>
      <c r="AZ213" s="50"/>
      <c r="BA213" s="50"/>
      <c r="BB213" s="50"/>
      <c r="BC213" s="50"/>
      <c r="BD213" s="50"/>
      <c r="BE213" s="50"/>
      <c r="BF213" s="50"/>
      <c r="BG213" s="50"/>
      <c r="BH213" s="50"/>
      <c r="BI213" s="50"/>
      <c r="BJ213" s="50"/>
      <c r="BK213" s="50"/>
      <c r="BL213" s="50"/>
      <c r="BM213" s="50"/>
      <c r="BN213" s="50"/>
      <c r="BO213" s="50"/>
      <c r="BP213" s="50"/>
      <c r="BQ213" s="50"/>
      <c r="BR213" s="50"/>
      <c r="BS213" s="50"/>
      <c r="BT213" s="50"/>
      <c r="BU213" s="50"/>
      <c r="BV213" s="50"/>
      <c r="BW213" s="50"/>
      <c r="BX213" s="50"/>
      <c r="BY213" s="50"/>
      <c r="BZ213" s="50"/>
      <c r="CA213" s="50"/>
      <c r="CB213" s="50"/>
    </row>
    <row r="214" spans="1:80" s="228" customFormat="1" ht="20.399999999999999" x14ac:dyDescent="0.25">
      <c r="A214" s="128" t="s">
        <v>1142</v>
      </c>
      <c r="B214" s="128" t="s">
        <v>1143</v>
      </c>
      <c r="C214" s="136"/>
      <c r="D214" s="136"/>
      <c r="E214" s="136"/>
      <c r="F214" s="136"/>
      <c r="G214" s="133">
        <v>4</v>
      </c>
      <c r="H214" s="133"/>
      <c r="I214" s="133"/>
      <c r="J214" s="133"/>
      <c r="K214" s="229"/>
      <c r="L214" s="229"/>
      <c r="M214" s="229"/>
      <c r="N214" s="229"/>
      <c r="O214" s="229"/>
      <c r="P214" s="229"/>
      <c r="Q214" s="229"/>
      <c r="R214" s="229"/>
      <c r="S214" s="229"/>
      <c r="T214" s="229"/>
      <c r="U214" s="229"/>
      <c r="V214" s="229"/>
      <c r="W214" s="229"/>
      <c r="X214" s="229"/>
      <c r="Y214" s="229"/>
      <c r="Z214">
        <f>IF(AND('4 Ope'!C214&gt;Tmin, NOT('4 Ope'!$I214="")),'4 Ope'!$I214,0)</f>
        <v>0</v>
      </c>
      <c r="AA214">
        <f>IF(AND('4 Ope'!C214&gt;Tmin, NOT('4 Ope'!$I214="")),'4 Ope'!$I214,0)</f>
        <v>0</v>
      </c>
      <c r="AB214">
        <f>IF(AND('4 Ope'!D214&gt;Tmin, NOT('4 Ope'!$I214="")),'4 Ope'!$I214,0)</f>
        <v>0</v>
      </c>
      <c r="AC214">
        <f>IF(AND('4 Ope'!E214&gt;Tmin, NOT('4 Ope'!$I214="")),'4 Ope'!$I214,0)</f>
        <v>0</v>
      </c>
      <c r="AD214">
        <f>IF(AND('4 Ope'!F214&gt;Tmin, NOT('4 Ope'!$I214="")),'4 Ope'!$I214,0)</f>
        <v>0</v>
      </c>
      <c r="AE214">
        <f>IF(AND('4 Ope'!C214&lt;Tmax, NOT('4 Ope'!$H214="")),'4 Ope'!$H214,4)</f>
        <v>4</v>
      </c>
      <c r="AF214">
        <f>IF(AND('4 Ope'!D214&lt;Tmax, NOT('4 Ope'!$H214="")),'4 Ope'!$H214,4)</f>
        <v>4</v>
      </c>
      <c r="AG214">
        <f>IF(AND('4 Ope'!E214&lt;Tmax, NOT('4 Ope'!$H214="")),'4 Ope'!$H214,4)</f>
        <v>4</v>
      </c>
      <c r="AH214">
        <f>IF(AND('4 Ope'!F214&lt;Tmax, NOT('4 Ope'!$H214="")),'4 Ope'!$H214,4)</f>
        <v>4</v>
      </c>
      <c r="AI214"/>
      <c r="AJ214" s="229"/>
      <c r="AK214" s="229"/>
      <c r="AL214" s="229"/>
      <c r="AM214" s="229"/>
      <c r="AN214" s="229"/>
      <c r="AO214" s="229"/>
      <c r="AP214" s="229"/>
      <c r="AQ214" s="229"/>
      <c r="AR214" s="229"/>
      <c r="AS214" s="229"/>
      <c r="AT214" s="229"/>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row>
    <row r="215" spans="1:80" s="228" customFormat="1" x14ac:dyDescent="0.25">
      <c r="A215" s="128" t="s">
        <v>1144</v>
      </c>
      <c r="B215" s="128" t="s">
        <v>1145</v>
      </c>
      <c r="C215" s="136"/>
      <c r="D215" s="136"/>
      <c r="E215" s="136"/>
      <c r="F215" s="136"/>
      <c r="G215" s="133">
        <v>4</v>
      </c>
      <c r="H215" s="133"/>
      <c r="I215" s="133"/>
      <c r="J215" s="133"/>
      <c r="K215" s="229"/>
      <c r="L215" s="229"/>
      <c r="M215" s="229"/>
      <c r="N215" s="229"/>
      <c r="O215" s="229"/>
      <c r="P215" s="229"/>
      <c r="Q215" s="229"/>
      <c r="R215" s="229"/>
      <c r="S215" s="229"/>
      <c r="T215" s="229"/>
      <c r="U215" s="229"/>
      <c r="V215" s="229"/>
      <c r="W215" s="229"/>
      <c r="X215" s="229"/>
      <c r="Y215" s="229"/>
      <c r="Z215">
        <f>IF(AND('4 Ope'!C215&gt;Tmin, NOT('4 Ope'!$I215="")),'4 Ope'!$I215,0)</f>
        <v>0</v>
      </c>
      <c r="AA215">
        <f>IF(AND('4 Ope'!C215&gt;Tmin, NOT('4 Ope'!$I215="")),'4 Ope'!$I215,0)</f>
        <v>0</v>
      </c>
      <c r="AB215">
        <f>IF(AND('4 Ope'!D215&gt;Tmin, NOT('4 Ope'!$I215="")),'4 Ope'!$I215,0)</f>
        <v>0</v>
      </c>
      <c r="AC215">
        <f>IF(AND('4 Ope'!E215&gt;Tmin, NOT('4 Ope'!$I215="")),'4 Ope'!$I215,0)</f>
        <v>0</v>
      </c>
      <c r="AD215">
        <f>IF(AND('4 Ope'!F215&gt;Tmin, NOT('4 Ope'!$I215="")),'4 Ope'!$I215,0)</f>
        <v>0</v>
      </c>
      <c r="AE215">
        <f>IF(AND('4 Ope'!C215&lt;Tmax, NOT('4 Ope'!$H215="")),'4 Ope'!$H215,4)</f>
        <v>4</v>
      </c>
      <c r="AF215">
        <f>IF(AND('4 Ope'!D215&lt;Tmax, NOT('4 Ope'!$H215="")),'4 Ope'!$H215,4)</f>
        <v>4</v>
      </c>
      <c r="AG215">
        <f>IF(AND('4 Ope'!E215&lt;Tmax, NOT('4 Ope'!$H215="")),'4 Ope'!$H215,4)</f>
        <v>4</v>
      </c>
      <c r="AH215">
        <f>IF(AND('4 Ope'!F215&lt;Tmax, NOT('4 Ope'!$H215="")),'4 Ope'!$H215,4)</f>
        <v>4</v>
      </c>
      <c r="AI215"/>
      <c r="AJ215" s="229"/>
      <c r="AK215" s="229"/>
      <c r="AL215" s="229"/>
      <c r="AM215" s="229"/>
      <c r="AN215" s="229"/>
      <c r="AO215" s="229"/>
      <c r="AP215" s="229"/>
      <c r="AQ215" s="229"/>
      <c r="AR215" s="229"/>
      <c r="AS215" s="229"/>
      <c r="AT215" s="229"/>
      <c r="AU215" s="50"/>
      <c r="AV215" s="50"/>
      <c r="AW215" s="50"/>
      <c r="AX215" s="50"/>
      <c r="AY215" s="50"/>
      <c r="AZ215" s="50"/>
      <c r="BA215" s="50"/>
      <c r="BB215" s="50"/>
      <c r="BC215" s="50"/>
      <c r="BD215" s="50"/>
      <c r="BE215" s="50"/>
      <c r="BF215" s="50"/>
      <c r="BG215" s="50"/>
      <c r="BH215" s="50"/>
      <c r="BI215" s="50"/>
      <c r="BJ215" s="50"/>
      <c r="BK215" s="50"/>
      <c r="BL215" s="50"/>
      <c r="BM215" s="50"/>
      <c r="BN215" s="50"/>
      <c r="BO215" s="50"/>
      <c r="BP215" s="50"/>
      <c r="BQ215" s="50"/>
      <c r="BR215" s="50"/>
      <c r="BS215" s="50"/>
      <c r="BT215" s="50"/>
      <c r="BU215" s="50"/>
      <c r="BV215" s="50"/>
      <c r="BW215" s="50"/>
      <c r="BX215" s="50"/>
      <c r="BY215" s="50"/>
      <c r="BZ215" s="50"/>
      <c r="CA215" s="50"/>
      <c r="CB215" s="50"/>
    </row>
    <row r="216" spans="1:80" s="228" customFormat="1" x14ac:dyDescent="0.25">
      <c r="A216" s="128" t="s">
        <v>1146</v>
      </c>
      <c r="B216" s="128" t="s">
        <v>130</v>
      </c>
      <c r="C216" s="136"/>
      <c r="D216" s="136"/>
      <c r="E216" s="136"/>
      <c r="F216" s="136"/>
      <c r="G216" s="133">
        <v>2</v>
      </c>
      <c r="H216" s="133"/>
      <c r="I216" s="133"/>
      <c r="J216" s="133"/>
      <c r="K216" s="229"/>
      <c r="L216" s="229"/>
      <c r="M216" s="229"/>
      <c r="N216" s="229"/>
      <c r="O216" s="229"/>
      <c r="P216" s="229"/>
      <c r="Q216" s="229"/>
      <c r="R216" s="229"/>
      <c r="S216" s="229"/>
      <c r="T216" s="229"/>
      <c r="U216" s="229"/>
      <c r="V216" s="229"/>
      <c r="W216" s="229"/>
      <c r="X216" s="229"/>
      <c r="Y216" s="229"/>
      <c r="Z216">
        <f>IF(AND('4 Ope'!C216&gt;Tmin, NOT('4 Ope'!$I216="")),'4 Ope'!$I216,0)</f>
        <v>0</v>
      </c>
      <c r="AA216">
        <f>IF(AND('4 Ope'!C216&gt;Tmin, NOT('4 Ope'!$I216="")),'4 Ope'!$I216,0)</f>
        <v>0</v>
      </c>
      <c r="AB216">
        <f>IF(AND('4 Ope'!D216&gt;Tmin, NOT('4 Ope'!$I216="")),'4 Ope'!$I216,0)</f>
        <v>0</v>
      </c>
      <c r="AC216">
        <f>IF(AND('4 Ope'!E216&gt;Tmin, NOT('4 Ope'!$I216="")),'4 Ope'!$I216,0)</f>
        <v>0</v>
      </c>
      <c r="AD216">
        <f>IF(AND('4 Ope'!F216&gt;Tmin, NOT('4 Ope'!$I216="")),'4 Ope'!$I216,0)</f>
        <v>0</v>
      </c>
      <c r="AE216">
        <f>IF(AND('4 Ope'!C216&lt;Tmax, NOT('4 Ope'!$H216="")),'4 Ope'!$H216,4)</f>
        <v>4</v>
      </c>
      <c r="AF216">
        <f>IF(AND('4 Ope'!D216&lt;Tmax, NOT('4 Ope'!$H216="")),'4 Ope'!$H216,4)</f>
        <v>4</v>
      </c>
      <c r="AG216">
        <f>IF(AND('4 Ope'!E216&lt;Tmax, NOT('4 Ope'!$H216="")),'4 Ope'!$H216,4)</f>
        <v>4</v>
      </c>
      <c r="AH216">
        <f>IF(AND('4 Ope'!F216&lt;Tmax, NOT('4 Ope'!$H216="")),'4 Ope'!$H216,4)</f>
        <v>4</v>
      </c>
      <c r="AI216"/>
      <c r="AJ216" s="229"/>
      <c r="AK216" s="229"/>
      <c r="AL216" s="229"/>
      <c r="AM216" s="229"/>
      <c r="AN216" s="229"/>
      <c r="AO216" s="229"/>
      <c r="AP216" s="229"/>
      <c r="AQ216" s="229"/>
      <c r="AR216" s="229"/>
      <c r="AS216" s="229"/>
      <c r="AT216" s="229"/>
      <c r="AU216" s="50"/>
      <c r="AV216" s="50"/>
      <c r="AW216" s="50"/>
      <c r="AX216" s="50"/>
      <c r="AY216" s="50"/>
      <c r="AZ216" s="50"/>
      <c r="BA216" s="50"/>
      <c r="BB216" s="50"/>
      <c r="BC216" s="50"/>
      <c r="BD216" s="50"/>
      <c r="BE216" s="50"/>
      <c r="BF216" s="50"/>
      <c r="BG216" s="50"/>
      <c r="BH216" s="50"/>
      <c r="BI216" s="50"/>
      <c r="BJ216" s="50"/>
      <c r="BK216" s="50"/>
      <c r="BL216" s="50"/>
      <c r="BM216" s="50"/>
      <c r="BN216" s="50"/>
      <c r="BO216" s="50"/>
      <c r="BP216" s="50"/>
      <c r="BQ216" s="50"/>
      <c r="BR216" s="50"/>
      <c r="BS216" s="50"/>
      <c r="BT216" s="50"/>
      <c r="BU216" s="50"/>
      <c r="BV216" s="50"/>
      <c r="BW216" s="50"/>
      <c r="BX216" s="50"/>
      <c r="BY216" s="50"/>
      <c r="BZ216" s="50"/>
      <c r="CA216" s="50"/>
      <c r="CB216" s="50"/>
    </row>
    <row r="217" spans="1:80" s="228" customFormat="1" ht="20.399999999999999" x14ac:dyDescent="0.25">
      <c r="A217" s="128" t="s">
        <v>1147</v>
      </c>
      <c r="B217" s="128" t="s">
        <v>1148</v>
      </c>
      <c r="C217" s="136"/>
      <c r="D217" s="136"/>
      <c r="E217" s="136"/>
      <c r="F217" s="136"/>
      <c r="G217" s="133">
        <v>2</v>
      </c>
      <c r="H217" s="133">
        <v>2</v>
      </c>
      <c r="I217" s="133"/>
      <c r="J217" s="133"/>
      <c r="K217" s="229"/>
      <c r="L217" s="229"/>
      <c r="M217" s="229"/>
      <c r="N217" s="229"/>
      <c r="O217" s="229"/>
      <c r="P217" s="229"/>
      <c r="Q217" s="229"/>
      <c r="R217" s="229"/>
      <c r="S217" s="229"/>
      <c r="T217" s="229"/>
      <c r="U217" s="229"/>
      <c r="V217" s="229"/>
      <c r="W217" s="229"/>
      <c r="X217" s="229"/>
      <c r="Y217" s="229"/>
      <c r="Z217">
        <f>IF(AND('4 Ope'!C217&gt;Tmin, NOT('4 Ope'!$I217="")),'4 Ope'!$I217,0)</f>
        <v>0</v>
      </c>
      <c r="AA217">
        <f>IF(AND('4 Ope'!C217&gt;Tmin, NOT('4 Ope'!$I217="")),'4 Ope'!$I217,0)</f>
        <v>0</v>
      </c>
      <c r="AB217">
        <f>IF(AND('4 Ope'!D217&gt;Tmin, NOT('4 Ope'!$I217="")),'4 Ope'!$I217,0)</f>
        <v>0</v>
      </c>
      <c r="AC217">
        <f>IF(AND('4 Ope'!E217&gt;Tmin, NOT('4 Ope'!$I217="")),'4 Ope'!$I217,0)</f>
        <v>0</v>
      </c>
      <c r="AD217">
        <f>IF(AND('4 Ope'!F217&gt;Tmin, NOT('4 Ope'!$I217="")),'4 Ope'!$I217,0)</f>
        <v>0</v>
      </c>
      <c r="AE217">
        <f>IF(AND('4 Ope'!C217&lt;Tmax, NOT('4 Ope'!$H217="")),'4 Ope'!$H217,4)</f>
        <v>2</v>
      </c>
      <c r="AF217">
        <f>IF(AND('4 Ope'!D217&lt;Tmax, NOT('4 Ope'!$H217="")),'4 Ope'!$H217,4)</f>
        <v>2</v>
      </c>
      <c r="AG217">
        <f>IF(AND('4 Ope'!E217&lt;Tmax, NOT('4 Ope'!$H217="")),'4 Ope'!$H217,4)</f>
        <v>2</v>
      </c>
      <c r="AH217">
        <f>IF(AND('4 Ope'!F217&lt;Tmax, NOT('4 Ope'!$H217="")),'4 Ope'!$H217,4)</f>
        <v>2</v>
      </c>
      <c r="AI217"/>
      <c r="AJ217" s="229"/>
      <c r="AK217" s="229"/>
      <c r="AL217" s="229"/>
      <c r="AM217" s="229"/>
      <c r="AN217" s="229"/>
      <c r="AO217" s="229"/>
      <c r="AP217" s="229"/>
      <c r="AQ217" s="229"/>
      <c r="AR217" s="229"/>
      <c r="AS217" s="229"/>
      <c r="AT217" s="229"/>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row>
    <row r="218" spans="1:80" s="228" customFormat="1" x14ac:dyDescent="0.25">
      <c r="A218" s="128" t="s">
        <v>1149</v>
      </c>
      <c r="B218" s="128" t="s">
        <v>1150</v>
      </c>
      <c r="C218" s="136"/>
      <c r="D218" s="136"/>
      <c r="E218" s="136"/>
      <c r="F218" s="136"/>
      <c r="G218" s="133">
        <v>4</v>
      </c>
      <c r="H218" s="133">
        <v>3</v>
      </c>
      <c r="I218" s="133"/>
      <c r="J218" s="133"/>
      <c r="K218" s="229"/>
      <c r="L218" s="229"/>
      <c r="M218" s="229"/>
      <c r="N218" s="229"/>
      <c r="O218" s="229"/>
      <c r="P218" s="229"/>
      <c r="Q218" s="229"/>
      <c r="R218" s="229"/>
      <c r="S218" s="229"/>
      <c r="T218" s="229"/>
      <c r="U218" s="229"/>
      <c r="V218" s="229"/>
      <c r="W218" s="229"/>
      <c r="X218" s="229"/>
      <c r="Y218" s="229"/>
      <c r="Z218">
        <f>IF(AND('4 Ope'!C218&gt;Tmin, NOT('4 Ope'!$I218="")),'4 Ope'!$I218,0)</f>
        <v>0</v>
      </c>
      <c r="AA218">
        <f>IF(AND('4 Ope'!C218&gt;Tmin, NOT('4 Ope'!$I218="")),'4 Ope'!$I218,0)</f>
        <v>0</v>
      </c>
      <c r="AB218">
        <f>IF(AND('4 Ope'!D218&gt;Tmin, NOT('4 Ope'!$I218="")),'4 Ope'!$I218,0)</f>
        <v>0</v>
      </c>
      <c r="AC218">
        <f>IF(AND('4 Ope'!E218&gt;Tmin, NOT('4 Ope'!$I218="")),'4 Ope'!$I218,0)</f>
        <v>0</v>
      </c>
      <c r="AD218">
        <f>IF(AND('4 Ope'!F218&gt;Tmin, NOT('4 Ope'!$I218="")),'4 Ope'!$I218,0)</f>
        <v>0</v>
      </c>
      <c r="AE218">
        <f>IF(AND('4 Ope'!C218&lt;Tmax, NOT('4 Ope'!$H218="")),'4 Ope'!$H218,4)</f>
        <v>3</v>
      </c>
      <c r="AF218">
        <f>IF(AND('4 Ope'!D218&lt;Tmax, NOT('4 Ope'!$H218="")),'4 Ope'!$H218,4)</f>
        <v>3</v>
      </c>
      <c r="AG218">
        <f>IF(AND('4 Ope'!E218&lt;Tmax, NOT('4 Ope'!$H218="")),'4 Ope'!$H218,4)</f>
        <v>3</v>
      </c>
      <c r="AH218">
        <f>IF(AND('4 Ope'!F218&lt;Tmax, NOT('4 Ope'!$H218="")),'4 Ope'!$H218,4)</f>
        <v>3</v>
      </c>
      <c r="AI218"/>
      <c r="AJ218" s="229"/>
      <c r="AK218" s="229"/>
      <c r="AL218" s="229"/>
      <c r="AM218" s="229"/>
      <c r="AN218" s="229"/>
      <c r="AO218" s="229"/>
      <c r="AP218" s="229"/>
      <c r="AQ218" s="229"/>
      <c r="AR218" s="229"/>
      <c r="AS218" s="229"/>
      <c r="AT218" s="229"/>
      <c r="AU218" s="50"/>
      <c r="AV218" s="50"/>
      <c r="AW218" s="50"/>
      <c r="AX218" s="50"/>
      <c r="AY218" s="50"/>
      <c r="AZ218" s="50"/>
      <c r="BA218" s="50"/>
      <c r="BB218" s="50"/>
      <c r="BC218" s="50"/>
      <c r="BD218" s="50"/>
      <c r="BE218" s="50"/>
      <c r="BF218" s="50"/>
      <c r="BG218" s="50"/>
      <c r="BH218" s="50"/>
      <c r="BI218" s="50"/>
      <c r="BJ218" s="50"/>
      <c r="BK218" s="50"/>
      <c r="BL218" s="50"/>
      <c r="BM218" s="50"/>
      <c r="BN218" s="50"/>
      <c r="BO218" s="50"/>
      <c r="BP218" s="50"/>
      <c r="BQ218" s="50"/>
      <c r="BR218" s="50"/>
      <c r="BS218" s="50"/>
      <c r="BT218" s="50"/>
      <c r="BU218" s="50"/>
      <c r="BV218" s="50"/>
      <c r="BW218" s="50"/>
      <c r="BX218" s="50"/>
      <c r="BY218" s="50"/>
      <c r="BZ218" s="50"/>
      <c r="CA218" s="50"/>
      <c r="CB218" s="50"/>
    </row>
    <row r="219" spans="1:80" s="228" customFormat="1" x14ac:dyDescent="0.25">
      <c r="A219" s="128" t="s">
        <v>1151</v>
      </c>
      <c r="B219" s="128" t="s">
        <v>1152</v>
      </c>
      <c r="C219" s="136"/>
      <c r="D219" s="136"/>
      <c r="E219" s="136"/>
      <c r="F219" s="136"/>
      <c r="G219" s="133">
        <v>4</v>
      </c>
      <c r="H219" s="133">
        <v>3</v>
      </c>
      <c r="I219" s="133"/>
      <c r="J219" s="133"/>
      <c r="K219" s="229"/>
      <c r="L219" s="229"/>
      <c r="M219" s="229"/>
      <c r="N219" s="229"/>
      <c r="O219" s="229"/>
      <c r="P219" s="229"/>
      <c r="Q219" s="229"/>
      <c r="R219" s="229"/>
      <c r="S219" s="229"/>
      <c r="T219" s="229"/>
      <c r="U219" s="229"/>
      <c r="V219" s="229"/>
      <c r="W219" s="229"/>
      <c r="X219" s="229"/>
      <c r="Y219" s="229"/>
      <c r="Z219">
        <f>IF(AND('4 Ope'!C219&gt;Tmin, NOT('4 Ope'!$I219="")),'4 Ope'!$I219,0)</f>
        <v>0</v>
      </c>
      <c r="AA219">
        <f>IF(AND('4 Ope'!C219&gt;Tmin, NOT('4 Ope'!$I219="")),'4 Ope'!$I219,0)</f>
        <v>0</v>
      </c>
      <c r="AB219">
        <f>IF(AND('4 Ope'!D219&gt;Tmin, NOT('4 Ope'!$I219="")),'4 Ope'!$I219,0)</f>
        <v>0</v>
      </c>
      <c r="AC219">
        <f>IF(AND('4 Ope'!E219&gt;Tmin, NOT('4 Ope'!$I219="")),'4 Ope'!$I219,0)</f>
        <v>0</v>
      </c>
      <c r="AD219">
        <f>IF(AND('4 Ope'!F219&gt;Tmin, NOT('4 Ope'!$I219="")),'4 Ope'!$I219,0)</f>
        <v>0</v>
      </c>
      <c r="AE219">
        <f>IF(AND('4 Ope'!C219&lt;Tmax, NOT('4 Ope'!$H219="")),'4 Ope'!$H219,4)</f>
        <v>3</v>
      </c>
      <c r="AF219">
        <f>IF(AND('4 Ope'!D219&lt;Tmax, NOT('4 Ope'!$H219="")),'4 Ope'!$H219,4)</f>
        <v>3</v>
      </c>
      <c r="AG219">
        <f>IF(AND('4 Ope'!E219&lt;Tmax, NOT('4 Ope'!$H219="")),'4 Ope'!$H219,4)</f>
        <v>3</v>
      </c>
      <c r="AH219">
        <f>IF(AND('4 Ope'!F219&lt;Tmax, NOT('4 Ope'!$H219="")),'4 Ope'!$H219,4)</f>
        <v>3</v>
      </c>
      <c r="AI219"/>
      <c r="AJ219" s="229"/>
      <c r="AK219" s="229"/>
      <c r="AL219" s="229"/>
      <c r="AM219" s="229"/>
      <c r="AN219" s="229"/>
      <c r="AO219" s="229"/>
      <c r="AP219" s="229"/>
      <c r="AQ219" s="229"/>
      <c r="AR219" s="229"/>
      <c r="AS219" s="229"/>
      <c r="AT219" s="229"/>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row>
    <row r="220" spans="1:80" s="228" customFormat="1" x14ac:dyDescent="0.25">
      <c r="A220" s="128" t="s">
        <v>1153</v>
      </c>
      <c r="B220" s="128" t="s">
        <v>1154</v>
      </c>
      <c r="C220" s="136"/>
      <c r="D220" s="136"/>
      <c r="E220" s="136"/>
      <c r="F220" s="136"/>
      <c r="G220" s="133">
        <v>2</v>
      </c>
      <c r="H220" s="133">
        <v>2</v>
      </c>
      <c r="I220" s="133"/>
      <c r="J220" s="133"/>
      <c r="K220" s="229"/>
      <c r="L220" s="229"/>
      <c r="M220" s="229"/>
      <c r="N220" s="229"/>
      <c r="O220" s="229"/>
      <c r="P220" s="229"/>
      <c r="Q220" s="229"/>
      <c r="R220" s="229"/>
      <c r="S220" s="229"/>
      <c r="T220" s="229"/>
      <c r="U220" s="229"/>
      <c r="V220" s="229"/>
      <c r="W220" s="229"/>
      <c r="X220" s="229"/>
      <c r="Y220" s="229"/>
      <c r="Z220">
        <f>IF(AND('4 Ope'!C220&gt;Tmin, NOT('4 Ope'!$I220="")),'4 Ope'!$I220,0)</f>
        <v>0</v>
      </c>
      <c r="AA220">
        <f>IF(AND('4 Ope'!C220&gt;Tmin, NOT('4 Ope'!$I220="")),'4 Ope'!$I220,0)</f>
        <v>0</v>
      </c>
      <c r="AB220">
        <f>IF(AND('4 Ope'!D220&gt;Tmin, NOT('4 Ope'!$I220="")),'4 Ope'!$I220,0)</f>
        <v>0</v>
      </c>
      <c r="AC220">
        <f>IF(AND('4 Ope'!E220&gt;Tmin, NOT('4 Ope'!$I220="")),'4 Ope'!$I220,0)</f>
        <v>0</v>
      </c>
      <c r="AD220">
        <f>IF(AND('4 Ope'!F220&gt;Tmin, NOT('4 Ope'!$I220="")),'4 Ope'!$I220,0)</f>
        <v>0</v>
      </c>
      <c r="AE220">
        <f>IF(AND('4 Ope'!C220&lt;Tmax, NOT('4 Ope'!$H220="")),'4 Ope'!$H220,4)</f>
        <v>2</v>
      </c>
      <c r="AF220">
        <f>IF(AND('4 Ope'!D220&lt;Tmax, NOT('4 Ope'!$H220="")),'4 Ope'!$H220,4)</f>
        <v>2</v>
      </c>
      <c r="AG220">
        <f>IF(AND('4 Ope'!E220&lt;Tmax, NOT('4 Ope'!$H220="")),'4 Ope'!$H220,4)</f>
        <v>2</v>
      </c>
      <c r="AH220">
        <f>IF(AND('4 Ope'!F220&lt;Tmax, NOT('4 Ope'!$H220="")),'4 Ope'!$H220,4)</f>
        <v>2</v>
      </c>
      <c r="AI220"/>
      <c r="AJ220" s="229"/>
      <c r="AK220" s="229"/>
      <c r="AL220" s="229"/>
      <c r="AM220" s="229"/>
      <c r="AN220" s="229"/>
      <c r="AO220" s="229"/>
      <c r="AP220" s="229"/>
      <c r="AQ220" s="229"/>
      <c r="AR220" s="229"/>
      <c r="AS220" s="229"/>
      <c r="AT220" s="229"/>
      <c r="AU220" s="50"/>
      <c r="AV220" s="50"/>
      <c r="AW220" s="50"/>
      <c r="AX220" s="50"/>
      <c r="AY220" s="50"/>
      <c r="AZ220" s="50"/>
      <c r="BA220" s="50"/>
      <c r="BB220" s="50"/>
      <c r="BC220" s="50"/>
      <c r="BD220" s="50"/>
      <c r="BE220" s="50"/>
      <c r="BF220" s="50"/>
      <c r="BG220" s="50"/>
      <c r="BH220" s="50"/>
      <c r="BI220" s="50"/>
      <c r="BJ220" s="50"/>
      <c r="BK220" s="50"/>
      <c r="BL220" s="50"/>
      <c r="BM220" s="50"/>
      <c r="BN220" s="50"/>
      <c r="BO220" s="50"/>
      <c r="BP220" s="50"/>
      <c r="BQ220" s="50"/>
      <c r="BR220" s="50"/>
      <c r="BS220" s="50"/>
      <c r="BT220" s="50"/>
      <c r="BU220" s="50"/>
      <c r="BV220" s="50"/>
      <c r="BW220" s="50"/>
      <c r="BX220" s="50"/>
      <c r="BY220" s="50"/>
      <c r="BZ220" s="50"/>
      <c r="CA220" s="50"/>
      <c r="CB220" s="50"/>
    </row>
    <row r="221" spans="1:80" s="228" customFormat="1" x14ac:dyDescent="0.25">
      <c r="A221" s="128" t="s">
        <v>634</v>
      </c>
      <c r="B221" s="128" t="s">
        <v>4528</v>
      </c>
      <c r="C221" s="136"/>
      <c r="D221" s="136"/>
      <c r="E221" s="136"/>
      <c r="F221" s="136"/>
      <c r="G221" s="133"/>
      <c r="H221" s="133"/>
      <c r="I221" s="133"/>
      <c r="J221" s="133"/>
      <c r="K221" s="229"/>
      <c r="L221" s="229"/>
      <c r="M221" s="229"/>
      <c r="N221" s="229"/>
      <c r="O221" s="229"/>
      <c r="P221" s="229"/>
      <c r="Q221" s="229"/>
      <c r="R221" s="229"/>
      <c r="S221" s="229"/>
      <c r="T221" s="229"/>
      <c r="U221" s="229"/>
      <c r="V221" s="229"/>
      <c r="W221" s="229"/>
      <c r="X221" s="229"/>
      <c r="Y221" s="229"/>
      <c r="Z221"/>
      <c r="AA221"/>
      <c r="AB221"/>
      <c r="AC221"/>
      <c r="AD221"/>
      <c r="AE221"/>
      <c r="AF221"/>
      <c r="AG221"/>
      <c r="AH221"/>
      <c r="AI221"/>
      <c r="AJ221" s="229"/>
      <c r="AK221" s="229"/>
      <c r="AL221" s="229"/>
      <c r="AM221" s="229"/>
      <c r="AN221" s="229"/>
      <c r="AO221" s="229"/>
      <c r="AP221" s="229"/>
      <c r="AQ221" s="229"/>
      <c r="AR221" s="229"/>
      <c r="AS221" s="229"/>
      <c r="AT221" s="229"/>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row>
    <row r="222" spans="1:80" s="228" customFormat="1" ht="20.399999999999999" x14ac:dyDescent="0.25">
      <c r="A222" s="128" t="s">
        <v>7331</v>
      </c>
      <c r="B222" s="128" t="s">
        <v>4529</v>
      </c>
      <c r="C222" s="136"/>
      <c r="D222" s="136"/>
      <c r="E222" s="136"/>
      <c r="F222" s="136"/>
      <c r="G222" s="133">
        <v>4</v>
      </c>
      <c r="H222" s="133"/>
      <c r="I222" s="133"/>
      <c r="J222" s="133"/>
      <c r="K222" s="229"/>
      <c r="L222" s="229"/>
      <c r="M222" s="229"/>
      <c r="N222" s="229"/>
      <c r="O222" s="229"/>
      <c r="P222" s="229"/>
      <c r="Q222" s="229"/>
      <c r="R222" s="229"/>
      <c r="S222" s="229"/>
      <c r="T222" s="229"/>
      <c r="U222" s="229"/>
      <c r="V222" s="229"/>
      <c r="W222" s="229"/>
      <c r="X222" s="229"/>
      <c r="Y222" s="229"/>
      <c r="Z222">
        <f>IF(AND('4 Ope'!C222&gt;Tmin, NOT('4 Ope'!$I222="")),'4 Ope'!$I222,0)</f>
        <v>0</v>
      </c>
      <c r="AA222">
        <f>IF(AND('4 Ope'!C222&gt;Tmin, NOT('4 Ope'!$I222="")),'4 Ope'!$I222,0)</f>
        <v>0</v>
      </c>
      <c r="AB222">
        <f>IF(AND('4 Ope'!D222&gt;Tmin, NOT('4 Ope'!$I222="")),'4 Ope'!$I222,0)</f>
        <v>0</v>
      </c>
      <c r="AC222">
        <f>IF(AND('4 Ope'!E222&gt;Tmin, NOT('4 Ope'!$I222="")),'4 Ope'!$I222,0)</f>
        <v>0</v>
      </c>
      <c r="AD222">
        <f>IF(AND('4 Ope'!F222&gt;Tmin, NOT('4 Ope'!$I222="")),'4 Ope'!$I222,0)</f>
        <v>0</v>
      </c>
      <c r="AE222">
        <f>IF(AND('4 Ope'!C222&lt;Tmax, NOT('4 Ope'!$H222="")),'4 Ope'!$H222,4)</f>
        <v>4</v>
      </c>
      <c r="AF222">
        <f>IF(AND('4 Ope'!D222&lt;Tmax, NOT('4 Ope'!$H222="")),'4 Ope'!$H222,4)</f>
        <v>4</v>
      </c>
      <c r="AG222">
        <f>IF(AND('4 Ope'!E222&lt;Tmax, NOT('4 Ope'!$H222="")),'4 Ope'!$H222,4)</f>
        <v>4</v>
      </c>
      <c r="AH222">
        <f>IF(AND('4 Ope'!F222&lt;Tmax, NOT('4 Ope'!$H222="")),'4 Ope'!$H222,4)</f>
        <v>4</v>
      </c>
      <c r="AI222"/>
      <c r="AJ222" s="229"/>
      <c r="AK222" s="229"/>
      <c r="AL222" s="229"/>
      <c r="AM222" s="229"/>
      <c r="AN222" s="229"/>
      <c r="AO222" s="229"/>
      <c r="AP222" s="229"/>
      <c r="AQ222" s="229"/>
      <c r="AR222" s="229"/>
      <c r="AS222" s="229"/>
      <c r="AT222" s="229"/>
      <c r="AU222" s="50"/>
      <c r="AV222" s="50"/>
      <c r="AW222" s="50"/>
      <c r="AX222" s="50"/>
      <c r="AY222" s="50"/>
      <c r="AZ222" s="50"/>
      <c r="BA222" s="50"/>
      <c r="BB222" s="50"/>
      <c r="BC222" s="50"/>
      <c r="BD222" s="50"/>
      <c r="BE222" s="50"/>
      <c r="BF222" s="50"/>
      <c r="BG222" s="50"/>
      <c r="BH222" s="50"/>
      <c r="BI222" s="50"/>
      <c r="BJ222" s="50"/>
      <c r="BK222" s="50"/>
      <c r="BL222" s="50"/>
      <c r="BM222" s="50"/>
      <c r="BN222" s="50"/>
      <c r="BO222" s="50"/>
      <c r="BP222" s="50"/>
      <c r="BQ222" s="50"/>
      <c r="BR222" s="50"/>
      <c r="BS222" s="50"/>
      <c r="BT222" s="50"/>
      <c r="BU222" s="50"/>
      <c r="BV222" s="50"/>
      <c r="BW222" s="50"/>
      <c r="BX222" s="50"/>
      <c r="BY222" s="50"/>
      <c r="BZ222" s="50"/>
      <c r="CA222" s="50"/>
      <c r="CB222" s="50"/>
    </row>
    <row r="223" spans="1:80" s="228" customFormat="1" x14ac:dyDescent="0.25">
      <c r="A223" s="128" t="s">
        <v>7332</v>
      </c>
      <c r="B223" s="128" t="s">
        <v>1145</v>
      </c>
      <c r="C223" s="136"/>
      <c r="D223" s="136"/>
      <c r="E223" s="136"/>
      <c r="F223" s="136"/>
      <c r="G223" s="133">
        <v>4</v>
      </c>
      <c r="H223" s="133"/>
      <c r="I223" s="133"/>
      <c r="J223" s="133"/>
      <c r="K223" s="229"/>
      <c r="L223" s="229"/>
      <c r="M223" s="229"/>
      <c r="N223" s="229"/>
      <c r="O223" s="229"/>
      <c r="P223" s="229"/>
      <c r="Q223" s="229"/>
      <c r="R223" s="229"/>
      <c r="S223" s="229"/>
      <c r="T223" s="229"/>
      <c r="U223" s="229"/>
      <c r="V223" s="229"/>
      <c r="W223" s="229"/>
      <c r="X223" s="229"/>
      <c r="Y223" s="229"/>
      <c r="Z223">
        <f>IF(AND('4 Ope'!C223&gt;Tmin, NOT('4 Ope'!$I223="")),'4 Ope'!$I223,0)</f>
        <v>0</v>
      </c>
      <c r="AA223">
        <f>IF(AND('4 Ope'!C223&gt;Tmin, NOT('4 Ope'!$I223="")),'4 Ope'!$I223,0)</f>
        <v>0</v>
      </c>
      <c r="AB223">
        <f>IF(AND('4 Ope'!D223&gt;Tmin, NOT('4 Ope'!$I223="")),'4 Ope'!$I223,0)</f>
        <v>0</v>
      </c>
      <c r="AC223">
        <f>IF(AND('4 Ope'!E223&gt;Tmin, NOT('4 Ope'!$I223="")),'4 Ope'!$I223,0)</f>
        <v>0</v>
      </c>
      <c r="AD223">
        <f>IF(AND('4 Ope'!F223&gt;Tmin, NOT('4 Ope'!$I223="")),'4 Ope'!$I223,0)</f>
        <v>0</v>
      </c>
      <c r="AE223">
        <f>IF(AND('4 Ope'!C223&lt;Tmax, NOT('4 Ope'!$H223="")),'4 Ope'!$H223,4)</f>
        <v>4</v>
      </c>
      <c r="AF223">
        <f>IF(AND('4 Ope'!D223&lt;Tmax, NOT('4 Ope'!$H223="")),'4 Ope'!$H223,4)</f>
        <v>4</v>
      </c>
      <c r="AG223">
        <f>IF(AND('4 Ope'!E223&lt;Tmax, NOT('4 Ope'!$H223="")),'4 Ope'!$H223,4)</f>
        <v>4</v>
      </c>
      <c r="AH223">
        <f>IF(AND('4 Ope'!F223&lt;Tmax, NOT('4 Ope'!$H223="")),'4 Ope'!$H223,4)</f>
        <v>4</v>
      </c>
      <c r="AI223"/>
      <c r="AJ223" s="229"/>
      <c r="AK223" s="229"/>
      <c r="AL223" s="229"/>
      <c r="AM223" s="229"/>
      <c r="AN223" s="229"/>
      <c r="AO223" s="229"/>
      <c r="AP223" s="229"/>
      <c r="AQ223" s="229"/>
      <c r="AR223" s="229"/>
      <c r="AS223" s="229"/>
      <c r="AT223" s="229"/>
      <c r="AU223" s="50"/>
      <c r="AV223" s="50"/>
      <c r="AW223" s="50"/>
      <c r="AX223" s="50"/>
      <c r="AY223" s="50"/>
      <c r="AZ223" s="50"/>
      <c r="BA223" s="50"/>
      <c r="BB223" s="50"/>
      <c r="BC223" s="50"/>
      <c r="BD223" s="50"/>
      <c r="BE223" s="50"/>
      <c r="BF223" s="50"/>
      <c r="BG223" s="50"/>
      <c r="BH223" s="50"/>
      <c r="BI223" s="50"/>
      <c r="BJ223" s="50"/>
      <c r="BK223" s="50"/>
      <c r="BL223" s="50"/>
      <c r="BM223" s="50"/>
      <c r="BN223" s="50"/>
      <c r="BO223" s="50"/>
      <c r="BP223" s="50"/>
      <c r="BQ223" s="50"/>
      <c r="BR223" s="50"/>
      <c r="BS223" s="50"/>
      <c r="BT223" s="50"/>
      <c r="BU223" s="50"/>
      <c r="BV223" s="50"/>
      <c r="BW223" s="50"/>
      <c r="BX223" s="50"/>
      <c r="BY223" s="50"/>
      <c r="BZ223" s="50"/>
      <c r="CA223" s="50"/>
      <c r="CB223" s="50"/>
    </row>
    <row r="224" spans="1:80" s="228" customFormat="1" x14ac:dyDescent="0.25">
      <c r="A224" s="128" t="s">
        <v>7333</v>
      </c>
      <c r="B224" s="128" t="s">
        <v>130</v>
      </c>
      <c r="C224" s="136"/>
      <c r="D224" s="136"/>
      <c r="E224" s="136"/>
      <c r="F224" s="136"/>
      <c r="G224" s="133">
        <v>2</v>
      </c>
      <c r="H224" s="133"/>
      <c r="I224" s="133"/>
      <c r="J224" s="133"/>
      <c r="K224" s="229"/>
      <c r="L224" s="229"/>
      <c r="M224" s="229"/>
      <c r="N224" s="229"/>
      <c r="O224" s="229"/>
      <c r="P224" s="229"/>
      <c r="Q224" s="229"/>
      <c r="R224" s="229"/>
      <c r="S224" s="229"/>
      <c r="T224" s="229"/>
      <c r="U224" s="229"/>
      <c r="V224" s="229"/>
      <c r="W224" s="229"/>
      <c r="X224" s="229"/>
      <c r="Y224" s="229"/>
      <c r="Z224">
        <f>IF(AND('4 Ope'!C224&gt;Tmin, NOT('4 Ope'!$I224="")),'4 Ope'!$I224,0)</f>
        <v>0</v>
      </c>
      <c r="AA224">
        <f>IF(AND('4 Ope'!C224&gt;Tmin, NOT('4 Ope'!$I224="")),'4 Ope'!$I224,0)</f>
        <v>0</v>
      </c>
      <c r="AB224">
        <f>IF(AND('4 Ope'!D224&gt;Tmin, NOT('4 Ope'!$I224="")),'4 Ope'!$I224,0)</f>
        <v>0</v>
      </c>
      <c r="AC224">
        <f>IF(AND('4 Ope'!E224&gt;Tmin, NOT('4 Ope'!$I224="")),'4 Ope'!$I224,0)</f>
        <v>0</v>
      </c>
      <c r="AD224">
        <f>IF(AND('4 Ope'!F224&gt;Tmin, NOT('4 Ope'!$I224="")),'4 Ope'!$I224,0)</f>
        <v>0</v>
      </c>
      <c r="AE224">
        <f>IF(AND('4 Ope'!C224&lt;Tmax, NOT('4 Ope'!$H224="")),'4 Ope'!$H224,4)</f>
        <v>4</v>
      </c>
      <c r="AF224">
        <f>IF(AND('4 Ope'!D224&lt;Tmax, NOT('4 Ope'!$H224="")),'4 Ope'!$H224,4)</f>
        <v>4</v>
      </c>
      <c r="AG224">
        <f>IF(AND('4 Ope'!E224&lt;Tmax, NOT('4 Ope'!$H224="")),'4 Ope'!$H224,4)</f>
        <v>4</v>
      </c>
      <c r="AH224">
        <f>IF(AND('4 Ope'!F224&lt;Tmax, NOT('4 Ope'!$H224="")),'4 Ope'!$H224,4)</f>
        <v>4</v>
      </c>
      <c r="AI224"/>
      <c r="AJ224" s="229"/>
      <c r="AK224" s="229"/>
      <c r="AL224" s="229"/>
      <c r="AM224" s="229"/>
      <c r="AN224" s="229"/>
      <c r="AO224" s="229"/>
      <c r="AP224" s="229"/>
      <c r="AQ224" s="229"/>
      <c r="AR224" s="229"/>
      <c r="AS224" s="229"/>
      <c r="AT224" s="229"/>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row>
    <row r="225" spans="1:80" s="228" customFormat="1" x14ac:dyDescent="0.25">
      <c r="A225" s="128" t="s">
        <v>7334</v>
      </c>
      <c r="B225" s="128" t="s">
        <v>4530</v>
      </c>
      <c r="C225" s="136"/>
      <c r="D225" s="136"/>
      <c r="E225" s="136"/>
      <c r="F225" s="136"/>
      <c r="G225" s="133">
        <v>2</v>
      </c>
      <c r="H225" s="133"/>
      <c r="I225" s="133"/>
      <c r="J225" s="133"/>
      <c r="K225" s="229"/>
      <c r="L225" s="229"/>
      <c r="M225" s="229"/>
      <c r="N225" s="229"/>
      <c r="O225" s="229"/>
      <c r="P225" s="229"/>
      <c r="Q225" s="229"/>
      <c r="R225" s="229"/>
      <c r="S225" s="229"/>
      <c r="T225" s="229"/>
      <c r="U225" s="229"/>
      <c r="V225" s="229"/>
      <c r="W225" s="229"/>
      <c r="X225" s="229"/>
      <c r="Y225" s="229"/>
      <c r="Z225">
        <f>IF(AND('4 Ope'!C225&gt;Tmin, NOT('4 Ope'!$I225="")),'4 Ope'!$I225,0)</f>
        <v>0</v>
      </c>
      <c r="AA225">
        <f>IF(AND('4 Ope'!C225&gt;Tmin, NOT('4 Ope'!$I225="")),'4 Ope'!$I225,0)</f>
        <v>0</v>
      </c>
      <c r="AB225">
        <f>IF(AND('4 Ope'!D225&gt;Tmin, NOT('4 Ope'!$I225="")),'4 Ope'!$I225,0)</f>
        <v>0</v>
      </c>
      <c r="AC225">
        <f>IF(AND('4 Ope'!E225&gt;Tmin, NOT('4 Ope'!$I225="")),'4 Ope'!$I225,0)</f>
        <v>0</v>
      </c>
      <c r="AD225">
        <f>IF(AND('4 Ope'!F225&gt;Tmin, NOT('4 Ope'!$I225="")),'4 Ope'!$I225,0)</f>
        <v>0</v>
      </c>
      <c r="AE225">
        <f>IF(AND('4 Ope'!C225&lt;Tmax, NOT('4 Ope'!$H225="")),'4 Ope'!$H225,4)</f>
        <v>4</v>
      </c>
      <c r="AF225">
        <f>IF(AND('4 Ope'!D225&lt;Tmax, NOT('4 Ope'!$H225="")),'4 Ope'!$H225,4)</f>
        <v>4</v>
      </c>
      <c r="AG225">
        <f>IF(AND('4 Ope'!E225&lt;Tmax, NOT('4 Ope'!$H225="")),'4 Ope'!$H225,4)</f>
        <v>4</v>
      </c>
      <c r="AH225">
        <f>IF(AND('4 Ope'!F225&lt;Tmax, NOT('4 Ope'!$H225="")),'4 Ope'!$H225,4)</f>
        <v>4</v>
      </c>
      <c r="AI225"/>
      <c r="AJ225" s="229"/>
      <c r="AK225" s="229"/>
      <c r="AL225" s="229"/>
      <c r="AM225" s="229"/>
      <c r="AN225" s="229"/>
      <c r="AO225" s="229"/>
      <c r="AP225" s="229"/>
      <c r="AQ225" s="229"/>
      <c r="AR225" s="229"/>
      <c r="AS225" s="229"/>
      <c r="AT225" s="229"/>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row>
    <row r="226" spans="1:80" s="228" customFormat="1" ht="20.399999999999999" x14ac:dyDescent="0.25">
      <c r="A226" s="128" t="s">
        <v>7335</v>
      </c>
      <c r="B226" s="128" t="s">
        <v>1148</v>
      </c>
      <c r="C226" s="136"/>
      <c r="D226" s="136"/>
      <c r="E226" s="136"/>
      <c r="F226" s="136"/>
      <c r="G226" s="133">
        <v>2</v>
      </c>
      <c r="H226" s="133">
        <v>2</v>
      </c>
      <c r="I226" s="133"/>
      <c r="J226" s="133"/>
      <c r="K226" s="229"/>
      <c r="L226" s="229"/>
      <c r="M226" s="229"/>
      <c r="N226" s="229"/>
      <c r="O226" s="229"/>
      <c r="P226" s="229"/>
      <c r="Q226" s="229"/>
      <c r="R226" s="229"/>
      <c r="S226" s="229"/>
      <c r="T226" s="229"/>
      <c r="U226" s="229"/>
      <c r="V226" s="229"/>
      <c r="W226" s="229"/>
      <c r="X226" s="229"/>
      <c r="Y226" s="229"/>
      <c r="Z226">
        <f>IF(AND('4 Ope'!C226&gt;Tmin, NOT('4 Ope'!$I226="")),'4 Ope'!$I226,0)</f>
        <v>0</v>
      </c>
      <c r="AA226">
        <f>IF(AND('4 Ope'!C226&gt;Tmin, NOT('4 Ope'!$I226="")),'4 Ope'!$I226,0)</f>
        <v>0</v>
      </c>
      <c r="AB226">
        <f>IF(AND('4 Ope'!D226&gt;Tmin, NOT('4 Ope'!$I226="")),'4 Ope'!$I226,0)</f>
        <v>0</v>
      </c>
      <c r="AC226">
        <f>IF(AND('4 Ope'!E226&gt;Tmin, NOT('4 Ope'!$I226="")),'4 Ope'!$I226,0)</f>
        <v>0</v>
      </c>
      <c r="AD226">
        <f>IF(AND('4 Ope'!F226&gt;Tmin, NOT('4 Ope'!$I226="")),'4 Ope'!$I226,0)</f>
        <v>0</v>
      </c>
      <c r="AE226">
        <f>IF(AND('4 Ope'!C226&lt;Tmax, NOT('4 Ope'!$H226="")),'4 Ope'!$H226,4)</f>
        <v>2</v>
      </c>
      <c r="AF226">
        <f>IF(AND('4 Ope'!D226&lt;Tmax, NOT('4 Ope'!$H226="")),'4 Ope'!$H226,4)</f>
        <v>2</v>
      </c>
      <c r="AG226">
        <f>IF(AND('4 Ope'!E226&lt;Tmax, NOT('4 Ope'!$H226="")),'4 Ope'!$H226,4)</f>
        <v>2</v>
      </c>
      <c r="AH226">
        <f>IF(AND('4 Ope'!F226&lt;Tmax, NOT('4 Ope'!$H226="")),'4 Ope'!$H226,4)</f>
        <v>2</v>
      </c>
      <c r="AI226"/>
      <c r="AJ226" s="229"/>
      <c r="AK226" s="229"/>
      <c r="AL226" s="229"/>
      <c r="AM226" s="229"/>
      <c r="AN226" s="229"/>
      <c r="AO226" s="229"/>
      <c r="AP226" s="229"/>
      <c r="AQ226" s="229"/>
      <c r="AR226" s="229"/>
      <c r="AS226" s="229"/>
      <c r="AT226" s="229"/>
      <c r="AU226" s="50"/>
      <c r="AV226" s="50"/>
      <c r="AW226" s="50"/>
      <c r="AX226" s="50"/>
      <c r="AY226" s="50"/>
      <c r="AZ226" s="50"/>
      <c r="BA226" s="50"/>
      <c r="BB226" s="50"/>
      <c r="BC226" s="50"/>
      <c r="BD226" s="50"/>
      <c r="BE226" s="50"/>
      <c r="BF226" s="50"/>
      <c r="BG226" s="50"/>
      <c r="BH226" s="50"/>
      <c r="BI226" s="50"/>
      <c r="BJ226" s="50"/>
      <c r="BK226" s="50"/>
      <c r="BL226" s="50"/>
      <c r="BM226" s="50"/>
      <c r="BN226" s="50"/>
      <c r="BO226" s="50"/>
      <c r="BP226" s="50"/>
      <c r="BQ226" s="50"/>
      <c r="BR226" s="50"/>
      <c r="BS226" s="50"/>
      <c r="BT226" s="50"/>
      <c r="BU226" s="50"/>
      <c r="BV226" s="50"/>
      <c r="BW226" s="50"/>
      <c r="BX226" s="50"/>
      <c r="BY226" s="50"/>
      <c r="BZ226" s="50"/>
      <c r="CA226" s="50"/>
      <c r="CB226" s="50"/>
    </row>
    <row r="227" spans="1:80" s="228" customFormat="1" x14ac:dyDescent="0.25">
      <c r="A227" s="128" t="s">
        <v>7336</v>
      </c>
      <c r="B227" s="128" t="s">
        <v>1150</v>
      </c>
      <c r="C227" s="136"/>
      <c r="D227" s="136"/>
      <c r="E227" s="136"/>
      <c r="F227" s="136"/>
      <c r="G227" s="133">
        <v>4</v>
      </c>
      <c r="H227" s="133">
        <v>3</v>
      </c>
      <c r="I227" s="133"/>
      <c r="J227" s="133"/>
      <c r="K227" s="229"/>
      <c r="L227" s="229"/>
      <c r="M227" s="229"/>
      <c r="N227" s="229"/>
      <c r="O227" s="229"/>
      <c r="P227" s="229"/>
      <c r="Q227" s="229"/>
      <c r="R227" s="229"/>
      <c r="S227" s="229"/>
      <c r="T227" s="229"/>
      <c r="U227" s="229"/>
      <c r="V227" s="229"/>
      <c r="W227" s="229"/>
      <c r="X227" s="229"/>
      <c r="Y227" s="229"/>
      <c r="Z227">
        <f>IF(AND('4 Ope'!C227&gt;Tmin, NOT('4 Ope'!$I227="")),'4 Ope'!$I227,0)</f>
        <v>0</v>
      </c>
      <c r="AA227">
        <f>IF(AND('4 Ope'!C227&gt;Tmin, NOT('4 Ope'!$I227="")),'4 Ope'!$I227,0)</f>
        <v>0</v>
      </c>
      <c r="AB227">
        <f>IF(AND('4 Ope'!D227&gt;Tmin, NOT('4 Ope'!$I227="")),'4 Ope'!$I227,0)</f>
        <v>0</v>
      </c>
      <c r="AC227">
        <f>IF(AND('4 Ope'!E227&gt;Tmin, NOT('4 Ope'!$I227="")),'4 Ope'!$I227,0)</f>
        <v>0</v>
      </c>
      <c r="AD227">
        <f>IF(AND('4 Ope'!F227&gt;Tmin, NOT('4 Ope'!$I227="")),'4 Ope'!$I227,0)</f>
        <v>0</v>
      </c>
      <c r="AE227">
        <f>IF(AND('4 Ope'!C227&lt;Tmax, NOT('4 Ope'!$H227="")),'4 Ope'!$H227,4)</f>
        <v>3</v>
      </c>
      <c r="AF227">
        <f>IF(AND('4 Ope'!D227&lt;Tmax, NOT('4 Ope'!$H227="")),'4 Ope'!$H227,4)</f>
        <v>3</v>
      </c>
      <c r="AG227">
        <f>IF(AND('4 Ope'!E227&lt;Tmax, NOT('4 Ope'!$H227="")),'4 Ope'!$H227,4)</f>
        <v>3</v>
      </c>
      <c r="AH227">
        <f>IF(AND('4 Ope'!F227&lt;Tmax, NOT('4 Ope'!$H227="")),'4 Ope'!$H227,4)</f>
        <v>3</v>
      </c>
      <c r="AI227"/>
      <c r="AJ227" s="229"/>
      <c r="AK227" s="229"/>
      <c r="AL227" s="229"/>
      <c r="AM227" s="229"/>
      <c r="AN227" s="229"/>
      <c r="AO227" s="229"/>
      <c r="AP227" s="229"/>
      <c r="AQ227" s="229"/>
      <c r="AR227" s="229"/>
      <c r="AS227" s="229"/>
      <c r="AT227" s="229"/>
      <c r="AU227" s="50"/>
      <c r="AV227" s="50"/>
      <c r="AW227" s="50"/>
      <c r="AX227" s="50"/>
      <c r="AY227" s="50"/>
      <c r="AZ227" s="50"/>
      <c r="BA227" s="50"/>
      <c r="BB227" s="50"/>
      <c r="BC227" s="50"/>
      <c r="BD227" s="50"/>
      <c r="BE227" s="50"/>
      <c r="BF227" s="50"/>
      <c r="BG227" s="50"/>
      <c r="BH227" s="50"/>
      <c r="BI227" s="50"/>
      <c r="BJ227" s="50"/>
      <c r="BK227" s="50"/>
      <c r="BL227" s="50"/>
      <c r="BM227" s="50"/>
      <c r="BN227" s="50"/>
      <c r="BO227" s="50"/>
      <c r="BP227" s="50"/>
      <c r="BQ227" s="50"/>
      <c r="BR227" s="50"/>
      <c r="BS227" s="50"/>
      <c r="BT227" s="50"/>
      <c r="BU227" s="50"/>
      <c r="BV227" s="50"/>
      <c r="BW227" s="50"/>
      <c r="BX227" s="50"/>
      <c r="BY227" s="50"/>
      <c r="BZ227" s="50"/>
      <c r="CA227" s="50"/>
      <c r="CB227" s="50"/>
    </row>
    <row r="228" spans="1:80" s="228" customFormat="1" x14ac:dyDescent="0.25">
      <c r="A228" s="128" t="s">
        <v>7337</v>
      </c>
      <c r="B228" s="128" t="s">
        <v>1152</v>
      </c>
      <c r="C228" s="136"/>
      <c r="D228" s="136"/>
      <c r="E228" s="136"/>
      <c r="F228" s="136"/>
      <c r="G228" s="133">
        <v>4</v>
      </c>
      <c r="H228" s="133">
        <v>3</v>
      </c>
      <c r="I228" s="133"/>
      <c r="J228" s="133"/>
      <c r="K228" s="229"/>
      <c r="L228" s="229"/>
      <c r="M228" s="229"/>
      <c r="N228" s="229"/>
      <c r="O228" s="229"/>
      <c r="P228" s="229"/>
      <c r="Q228" s="229"/>
      <c r="R228" s="229"/>
      <c r="S228" s="229"/>
      <c r="T228" s="229"/>
      <c r="U228" s="229"/>
      <c r="V228" s="229"/>
      <c r="W228" s="229"/>
      <c r="X228" s="229"/>
      <c r="Y228" s="229"/>
      <c r="Z228">
        <f>IF(AND('4 Ope'!C228&gt;Tmin, NOT('4 Ope'!$I228="")),'4 Ope'!$I228,0)</f>
        <v>0</v>
      </c>
      <c r="AA228">
        <f>IF(AND('4 Ope'!C228&gt;Tmin, NOT('4 Ope'!$I228="")),'4 Ope'!$I228,0)</f>
        <v>0</v>
      </c>
      <c r="AB228">
        <f>IF(AND('4 Ope'!D228&gt;Tmin, NOT('4 Ope'!$I228="")),'4 Ope'!$I228,0)</f>
        <v>0</v>
      </c>
      <c r="AC228">
        <f>IF(AND('4 Ope'!E228&gt;Tmin, NOT('4 Ope'!$I228="")),'4 Ope'!$I228,0)</f>
        <v>0</v>
      </c>
      <c r="AD228">
        <f>IF(AND('4 Ope'!F228&gt;Tmin, NOT('4 Ope'!$I228="")),'4 Ope'!$I228,0)</f>
        <v>0</v>
      </c>
      <c r="AE228">
        <f>IF(AND('4 Ope'!C228&lt;Tmax, NOT('4 Ope'!$H228="")),'4 Ope'!$H228,4)</f>
        <v>3</v>
      </c>
      <c r="AF228">
        <f>IF(AND('4 Ope'!D228&lt;Tmax, NOT('4 Ope'!$H228="")),'4 Ope'!$H228,4)</f>
        <v>3</v>
      </c>
      <c r="AG228">
        <f>IF(AND('4 Ope'!E228&lt;Tmax, NOT('4 Ope'!$H228="")),'4 Ope'!$H228,4)</f>
        <v>3</v>
      </c>
      <c r="AH228">
        <f>IF(AND('4 Ope'!F228&lt;Tmax, NOT('4 Ope'!$H228="")),'4 Ope'!$H228,4)</f>
        <v>3</v>
      </c>
      <c r="AI228"/>
      <c r="AJ228" s="229"/>
      <c r="AK228" s="229"/>
      <c r="AL228" s="229"/>
      <c r="AM228" s="229"/>
      <c r="AN228" s="229"/>
      <c r="AO228" s="229"/>
      <c r="AP228" s="229"/>
      <c r="AQ228" s="229"/>
      <c r="AR228" s="229"/>
      <c r="AS228" s="229"/>
      <c r="AT228" s="229"/>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row>
    <row r="229" spans="1:80" s="228" customFormat="1" x14ac:dyDescent="0.25">
      <c r="A229" s="128" t="s">
        <v>7338</v>
      </c>
      <c r="B229" s="128" t="s">
        <v>6761</v>
      </c>
      <c r="C229" s="136"/>
      <c r="D229" s="136"/>
      <c r="E229" s="136"/>
      <c r="F229" s="136"/>
      <c r="G229" s="133">
        <v>4</v>
      </c>
      <c r="H229" s="133">
        <v>3</v>
      </c>
      <c r="I229" s="133"/>
      <c r="J229" s="133"/>
      <c r="K229" s="229"/>
      <c r="L229" s="229"/>
      <c r="M229" s="229"/>
      <c r="N229" s="229"/>
      <c r="O229" s="229"/>
      <c r="P229" s="229"/>
      <c r="Q229" s="229"/>
      <c r="R229" s="229"/>
      <c r="S229" s="229"/>
      <c r="T229" s="229"/>
      <c r="U229" s="229"/>
      <c r="V229" s="229"/>
      <c r="W229" s="229"/>
      <c r="X229" s="229"/>
      <c r="Y229" s="229"/>
      <c r="Z229">
        <f>IF(AND('4 Ope'!C229&gt;Tmin, NOT('4 Ope'!$I229="")),'4 Ope'!$I229,0)</f>
        <v>0</v>
      </c>
      <c r="AA229">
        <f>IF(AND('4 Ope'!C229&gt;Tmin, NOT('4 Ope'!$I229="")),'4 Ope'!$I229,0)</f>
        <v>0</v>
      </c>
      <c r="AB229">
        <f>IF(AND('4 Ope'!D229&gt;Tmin, NOT('4 Ope'!$I229="")),'4 Ope'!$I229,0)</f>
        <v>0</v>
      </c>
      <c r="AC229">
        <f>IF(AND('4 Ope'!E229&gt;Tmin, NOT('4 Ope'!$I229="")),'4 Ope'!$I229,0)</f>
        <v>0</v>
      </c>
      <c r="AD229">
        <f>IF(AND('4 Ope'!F229&gt;Tmin, NOT('4 Ope'!$I229="")),'4 Ope'!$I229,0)</f>
        <v>0</v>
      </c>
      <c r="AE229">
        <f>IF(AND('4 Ope'!C229&lt;Tmax, NOT('4 Ope'!$H229="")),'4 Ope'!$H229,4)</f>
        <v>3</v>
      </c>
      <c r="AF229">
        <f>IF(AND('4 Ope'!D229&lt;Tmax, NOT('4 Ope'!$H229="")),'4 Ope'!$H229,4)</f>
        <v>3</v>
      </c>
      <c r="AG229">
        <f>IF(AND('4 Ope'!E229&lt;Tmax, NOT('4 Ope'!$H229="")),'4 Ope'!$H229,4)</f>
        <v>3</v>
      </c>
      <c r="AH229">
        <f>IF(AND('4 Ope'!F229&lt;Tmax, NOT('4 Ope'!$H229="")),'4 Ope'!$H229,4)</f>
        <v>3</v>
      </c>
      <c r="AI229"/>
      <c r="AJ229" s="229"/>
      <c r="AK229" s="229"/>
      <c r="AL229" s="229"/>
      <c r="AM229" s="229"/>
      <c r="AN229" s="229"/>
      <c r="AO229" s="229"/>
      <c r="AP229" s="229"/>
      <c r="AQ229" s="229"/>
      <c r="AR229" s="229"/>
      <c r="AS229" s="229"/>
      <c r="AT229" s="229"/>
      <c r="AU229" s="50"/>
      <c r="AV229" s="50"/>
      <c r="AW229" s="50"/>
      <c r="AX229" s="50"/>
      <c r="AY229" s="50"/>
      <c r="AZ229" s="50"/>
      <c r="BA229" s="50"/>
      <c r="BB229" s="50"/>
      <c r="BC229" s="50"/>
      <c r="BD229" s="50"/>
      <c r="BE229" s="50"/>
      <c r="BF229" s="50"/>
      <c r="BG229" s="50"/>
      <c r="BH229" s="50"/>
      <c r="BI229" s="50"/>
      <c r="BJ229" s="50"/>
      <c r="BK229" s="50"/>
      <c r="BL229" s="50"/>
      <c r="BM229" s="50"/>
      <c r="BN229" s="50"/>
      <c r="BO229" s="50"/>
      <c r="BP229" s="50"/>
      <c r="BQ229" s="50"/>
      <c r="BR229" s="50"/>
      <c r="BS229" s="50"/>
      <c r="BT229" s="50"/>
      <c r="BU229" s="50"/>
      <c r="BV229" s="50"/>
      <c r="BW229" s="50"/>
      <c r="BX229" s="50"/>
      <c r="BY229" s="50"/>
      <c r="BZ229" s="50"/>
      <c r="CA229" s="50"/>
      <c r="CB229" s="50"/>
    </row>
    <row r="230" spans="1:80" s="228" customFormat="1" x14ac:dyDescent="0.25">
      <c r="A230" s="128" t="s">
        <v>7339</v>
      </c>
      <c r="B230" s="128" t="s">
        <v>1154</v>
      </c>
      <c r="C230" s="136"/>
      <c r="D230" s="136"/>
      <c r="E230" s="136"/>
      <c r="F230" s="136"/>
      <c r="G230" s="133">
        <v>2</v>
      </c>
      <c r="H230" s="133">
        <v>2</v>
      </c>
      <c r="I230" s="133"/>
      <c r="J230" s="133"/>
      <c r="K230" s="229"/>
      <c r="L230" s="229"/>
      <c r="M230" s="229"/>
      <c r="N230" s="229"/>
      <c r="O230" s="229"/>
      <c r="P230" s="229"/>
      <c r="Q230" s="229"/>
      <c r="R230" s="229"/>
      <c r="S230" s="229"/>
      <c r="T230" s="229"/>
      <c r="U230" s="229"/>
      <c r="V230" s="229"/>
      <c r="W230" s="229"/>
      <c r="X230" s="229"/>
      <c r="Y230" s="229"/>
      <c r="Z230">
        <f>IF(AND('4 Ope'!C230&gt;Tmin, NOT('4 Ope'!$I230="")),'4 Ope'!$I230,0)</f>
        <v>0</v>
      </c>
      <c r="AA230">
        <f>IF(AND('4 Ope'!C230&gt;Tmin, NOT('4 Ope'!$I230="")),'4 Ope'!$I230,0)</f>
        <v>0</v>
      </c>
      <c r="AB230">
        <f>IF(AND('4 Ope'!D230&gt;Tmin, NOT('4 Ope'!$I230="")),'4 Ope'!$I230,0)</f>
        <v>0</v>
      </c>
      <c r="AC230">
        <f>IF(AND('4 Ope'!E230&gt;Tmin, NOT('4 Ope'!$I230="")),'4 Ope'!$I230,0)</f>
        <v>0</v>
      </c>
      <c r="AD230">
        <f>IF(AND('4 Ope'!F230&gt;Tmin, NOT('4 Ope'!$I230="")),'4 Ope'!$I230,0)</f>
        <v>0</v>
      </c>
      <c r="AE230">
        <f>IF(AND('4 Ope'!C230&lt;Tmax, NOT('4 Ope'!$H230="")),'4 Ope'!$H230,4)</f>
        <v>2</v>
      </c>
      <c r="AF230">
        <f>IF(AND('4 Ope'!D230&lt;Tmax, NOT('4 Ope'!$H230="")),'4 Ope'!$H230,4)</f>
        <v>2</v>
      </c>
      <c r="AG230">
        <f>IF(AND('4 Ope'!E230&lt;Tmax, NOT('4 Ope'!$H230="")),'4 Ope'!$H230,4)</f>
        <v>2</v>
      </c>
      <c r="AH230">
        <f>IF(AND('4 Ope'!F230&lt;Tmax, NOT('4 Ope'!$H230="")),'4 Ope'!$H230,4)</f>
        <v>2</v>
      </c>
      <c r="AI230"/>
      <c r="AJ230" s="229"/>
      <c r="AK230" s="229"/>
      <c r="AL230" s="229"/>
      <c r="AM230" s="229"/>
      <c r="AN230" s="229"/>
      <c r="AO230" s="229"/>
      <c r="AP230" s="229"/>
      <c r="AQ230" s="229"/>
      <c r="AR230" s="229"/>
      <c r="AS230" s="229"/>
      <c r="AT230" s="229"/>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row>
    <row r="231" spans="1:80" s="228" customFormat="1" x14ac:dyDescent="0.25">
      <c r="A231" s="128" t="s">
        <v>2140</v>
      </c>
      <c r="B231" s="128" t="s">
        <v>2141</v>
      </c>
      <c r="C231" s="136"/>
      <c r="D231" s="136"/>
      <c r="E231" s="136"/>
      <c r="F231" s="136"/>
      <c r="G231" s="133"/>
      <c r="H231" s="133"/>
      <c r="I231" s="133"/>
      <c r="J231" s="133"/>
      <c r="K231" s="229"/>
      <c r="L231" s="229"/>
      <c r="M231" s="229"/>
      <c r="N231" s="229"/>
      <c r="O231" s="229"/>
      <c r="P231" s="229"/>
      <c r="Q231" s="229"/>
      <c r="R231" s="229"/>
      <c r="S231" s="229"/>
      <c r="T231" s="229"/>
      <c r="U231" s="229"/>
      <c r="V231" s="229"/>
      <c r="W231" s="229"/>
      <c r="X231" s="229"/>
      <c r="Y231" s="229"/>
      <c r="Z231"/>
      <c r="AA231"/>
      <c r="AB231"/>
      <c r="AC231"/>
      <c r="AD231"/>
      <c r="AE231"/>
      <c r="AF231"/>
      <c r="AG231"/>
      <c r="AH231"/>
      <c r="AI231"/>
      <c r="AJ231" s="229"/>
      <c r="AK231" s="229"/>
      <c r="AL231" s="229"/>
      <c r="AM231" s="229"/>
      <c r="AN231" s="229"/>
      <c r="AO231" s="229"/>
      <c r="AP231" s="229"/>
      <c r="AQ231" s="229"/>
      <c r="AR231" s="229"/>
      <c r="AS231" s="229"/>
      <c r="AT231" s="229"/>
      <c r="AU231" s="50"/>
      <c r="AV231" s="50"/>
      <c r="AW231" s="50"/>
      <c r="AX231" s="50"/>
      <c r="AY231" s="50"/>
      <c r="AZ231" s="50"/>
      <c r="BA231" s="50"/>
      <c r="BB231" s="50"/>
      <c r="BC231" s="50"/>
      <c r="BD231" s="50"/>
      <c r="BE231" s="50"/>
      <c r="BF231" s="50"/>
      <c r="BG231" s="50"/>
      <c r="BH231" s="50"/>
      <c r="BI231" s="50"/>
      <c r="BJ231" s="50"/>
      <c r="BK231" s="50"/>
      <c r="BL231" s="50"/>
      <c r="BM231" s="50"/>
      <c r="BN231" s="50"/>
      <c r="BO231" s="50"/>
      <c r="BP231" s="50"/>
      <c r="BQ231" s="50"/>
      <c r="BR231" s="50"/>
      <c r="BS231" s="50"/>
      <c r="BT231" s="50"/>
      <c r="BU231" s="50"/>
      <c r="BV231" s="50"/>
      <c r="BW231" s="50"/>
      <c r="BX231" s="50"/>
      <c r="BY231" s="50"/>
      <c r="BZ231" s="50"/>
      <c r="CA231" s="50"/>
      <c r="CB231" s="50"/>
    </row>
    <row r="232" spans="1:80" s="228" customFormat="1" x14ac:dyDescent="0.25">
      <c r="A232" s="128" t="s">
        <v>759</v>
      </c>
      <c r="B232" s="128" t="s">
        <v>196</v>
      </c>
      <c r="C232" s="136"/>
      <c r="D232" s="136"/>
      <c r="E232" s="136"/>
      <c r="F232" s="136"/>
      <c r="G232" s="133"/>
      <c r="H232" s="133"/>
      <c r="I232" s="133"/>
      <c r="J232" s="133"/>
      <c r="K232" s="229"/>
      <c r="L232" s="229"/>
      <c r="M232" s="229"/>
      <c r="N232" s="229"/>
      <c r="O232" s="229"/>
      <c r="P232" s="229"/>
      <c r="Q232" s="229"/>
      <c r="R232" s="229"/>
      <c r="S232" s="229"/>
      <c r="T232" s="229"/>
      <c r="U232" s="229"/>
      <c r="V232" s="229"/>
      <c r="W232" s="229"/>
      <c r="X232" s="229"/>
      <c r="Y232" s="229"/>
      <c r="Z232"/>
      <c r="AA232"/>
      <c r="AB232"/>
      <c r="AC232"/>
      <c r="AD232"/>
      <c r="AE232"/>
      <c r="AF232"/>
      <c r="AG232"/>
      <c r="AH232"/>
      <c r="AI232"/>
      <c r="AJ232" s="229"/>
      <c r="AK232" s="229"/>
      <c r="AL232" s="229"/>
      <c r="AM232" s="229"/>
      <c r="AN232" s="229"/>
      <c r="AO232" s="229"/>
      <c r="AP232" s="229"/>
      <c r="AQ232" s="229"/>
      <c r="AR232" s="229"/>
      <c r="AS232" s="229"/>
      <c r="AT232" s="229"/>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row>
    <row r="233" spans="1:80" s="228" customFormat="1" x14ac:dyDescent="0.25">
      <c r="A233" s="128" t="s">
        <v>1158</v>
      </c>
      <c r="B233" s="128" t="s">
        <v>354</v>
      </c>
      <c r="C233" s="136"/>
      <c r="D233" s="136"/>
      <c r="E233" s="136"/>
      <c r="F233" s="136"/>
      <c r="G233" s="133">
        <v>2</v>
      </c>
      <c r="H233" s="133"/>
      <c r="I233" s="133"/>
      <c r="J233" s="133"/>
      <c r="K233" s="229"/>
      <c r="L233" s="229"/>
      <c r="M233" s="229"/>
      <c r="N233" s="229"/>
      <c r="O233" s="229"/>
      <c r="P233" s="229"/>
      <c r="Q233" s="229"/>
      <c r="R233" s="229"/>
      <c r="S233" s="229"/>
      <c r="T233" s="229"/>
      <c r="U233" s="229"/>
      <c r="V233" s="229"/>
      <c r="W233" s="229"/>
      <c r="X233" s="229"/>
      <c r="Y233" s="229"/>
      <c r="Z233">
        <f>IF(AND('4 Ope'!C233&gt;Tmin, NOT('4 Ope'!$I233="")),'4 Ope'!$I233,0)</f>
        <v>0</v>
      </c>
      <c r="AA233">
        <f>IF(AND('4 Ope'!C233&gt;Tmin, NOT('4 Ope'!$I233="")),'4 Ope'!$I233,0)</f>
        <v>0</v>
      </c>
      <c r="AB233">
        <f>IF(AND('4 Ope'!D233&gt;Tmin, NOT('4 Ope'!$I233="")),'4 Ope'!$I233,0)</f>
        <v>0</v>
      </c>
      <c r="AC233">
        <f>IF(AND('4 Ope'!E233&gt;Tmin, NOT('4 Ope'!$I233="")),'4 Ope'!$I233,0)</f>
        <v>0</v>
      </c>
      <c r="AD233">
        <f>IF(AND('4 Ope'!F233&gt;Tmin, NOT('4 Ope'!$I233="")),'4 Ope'!$I233,0)</f>
        <v>0</v>
      </c>
      <c r="AE233">
        <f>IF(AND('4 Ope'!C233&lt;Tmax, NOT('4 Ope'!$H233="")),'4 Ope'!$H233,4)</f>
        <v>4</v>
      </c>
      <c r="AF233">
        <f>IF(AND('4 Ope'!D233&lt;Tmax, NOT('4 Ope'!$H233="")),'4 Ope'!$H233,4)</f>
        <v>4</v>
      </c>
      <c r="AG233">
        <f>IF(AND('4 Ope'!E233&lt;Tmax, NOT('4 Ope'!$H233="")),'4 Ope'!$H233,4)</f>
        <v>4</v>
      </c>
      <c r="AH233">
        <f>IF(AND('4 Ope'!F233&lt;Tmax, NOT('4 Ope'!$H233="")),'4 Ope'!$H233,4)</f>
        <v>4</v>
      </c>
      <c r="AI233"/>
      <c r="AJ233" s="229"/>
      <c r="AK233" s="229"/>
      <c r="AL233" s="229"/>
      <c r="AM233" s="229"/>
      <c r="AN233" s="229"/>
      <c r="AO233" s="229"/>
      <c r="AP233" s="229"/>
      <c r="AQ233" s="229"/>
      <c r="AR233" s="229"/>
      <c r="AS233" s="229"/>
      <c r="AT233" s="229"/>
      <c r="AU233" s="50"/>
      <c r="AV233" s="50"/>
      <c r="AW233" s="50"/>
      <c r="AX233" s="50"/>
      <c r="AY233" s="50"/>
      <c r="AZ233" s="50"/>
      <c r="BA233" s="50"/>
      <c r="BB233" s="50"/>
      <c r="BC233" s="50"/>
      <c r="BD233" s="50"/>
      <c r="BE233" s="50"/>
      <c r="BF233" s="50"/>
      <c r="BG233" s="50"/>
      <c r="BH233" s="50"/>
      <c r="BI233" s="50"/>
      <c r="BJ233" s="50"/>
      <c r="BK233" s="50"/>
      <c r="BL233" s="50"/>
      <c r="BM233" s="50"/>
      <c r="BN233" s="50"/>
      <c r="BO233" s="50"/>
      <c r="BP233" s="50"/>
      <c r="BQ233" s="50"/>
      <c r="BR233" s="50"/>
      <c r="BS233" s="50"/>
      <c r="BT233" s="50"/>
      <c r="BU233" s="50"/>
      <c r="BV233" s="50"/>
      <c r="BW233" s="50"/>
      <c r="BX233" s="50"/>
      <c r="BY233" s="50"/>
      <c r="BZ233" s="50"/>
      <c r="CA233" s="50"/>
      <c r="CB233" s="50"/>
    </row>
    <row r="234" spans="1:80" s="228" customFormat="1" x14ac:dyDescent="0.25">
      <c r="A234" s="128" t="s">
        <v>1159</v>
      </c>
      <c r="B234" s="128" t="s">
        <v>522</v>
      </c>
      <c r="C234" s="136"/>
      <c r="D234" s="136"/>
      <c r="E234" s="136"/>
      <c r="F234" s="136"/>
      <c r="G234" s="133">
        <v>2</v>
      </c>
      <c r="H234" s="133"/>
      <c r="I234" s="133"/>
      <c r="J234" s="133"/>
      <c r="K234" s="229"/>
      <c r="L234" s="229"/>
      <c r="M234" s="229"/>
      <c r="N234" s="229"/>
      <c r="O234" s="229"/>
      <c r="P234" s="229"/>
      <c r="Q234" s="229"/>
      <c r="R234" s="229"/>
      <c r="S234" s="229"/>
      <c r="T234" s="229"/>
      <c r="U234" s="229"/>
      <c r="V234" s="229"/>
      <c r="W234" s="229"/>
      <c r="X234" s="229"/>
      <c r="Y234" s="229"/>
      <c r="Z234">
        <f>IF(AND('4 Ope'!C234&gt;Tmin, NOT('4 Ope'!$I234="")),'4 Ope'!$I234,0)</f>
        <v>0</v>
      </c>
      <c r="AA234">
        <f>IF(AND('4 Ope'!C234&gt;Tmin, NOT('4 Ope'!$I234="")),'4 Ope'!$I234,0)</f>
        <v>0</v>
      </c>
      <c r="AB234">
        <f>IF(AND('4 Ope'!D234&gt;Tmin, NOT('4 Ope'!$I234="")),'4 Ope'!$I234,0)</f>
        <v>0</v>
      </c>
      <c r="AC234">
        <f>IF(AND('4 Ope'!E234&gt;Tmin, NOT('4 Ope'!$I234="")),'4 Ope'!$I234,0)</f>
        <v>0</v>
      </c>
      <c r="AD234">
        <f>IF(AND('4 Ope'!F234&gt;Tmin, NOT('4 Ope'!$I234="")),'4 Ope'!$I234,0)</f>
        <v>0</v>
      </c>
      <c r="AE234">
        <f>IF(AND('4 Ope'!C234&lt;Tmax, NOT('4 Ope'!$H234="")),'4 Ope'!$H234,4)</f>
        <v>4</v>
      </c>
      <c r="AF234">
        <f>IF(AND('4 Ope'!D234&lt;Tmax, NOT('4 Ope'!$H234="")),'4 Ope'!$H234,4)</f>
        <v>4</v>
      </c>
      <c r="AG234">
        <f>IF(AND('4 Ope'!E234&lt;Tmax, NOT('4 Ope'!$H234="")),'4 Ope'!$H234,4)</f>
        <v>4</v>
      </c>
      <c r="AH234">
        <f>IF(AND('4 Ope'!F234&lt;Tmax, NOT('4 Ope'!$H234="")),'4 Ope'!$H234,4)</f>
        <v>4</v>
      </c>
      <c r="AI234"/>
      <c r="AJ234" s="229"/>
      <c r="AK234" s="229"/>
      <c r="AL234" s="229"/>
      <c r="AM234" s="229"/>
      <c r="AN234" s="229"/>
      <c r="AO234" s="229"/>
      <c r="AP234" s="229"/>
      <c r="AQ234" s="229"/>
      <c r="AR234" s="229"/>
      <c r="AS234" s="229"/>
      <c r="AT234" s="229"/>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row>
    <row r="235" spans="1:80" s="228" customFormat="1" ht="20.399999999999999" x14ac:dyDescent="0.25">
      <c r="A235" s="128" t="s">
        <v>1160</v>
      </c>
      <c r="B235" s="128" t="s">
        <v>1161</v>
      </c>
      <c r="C235" s="136"/>
      <c r="D235" s="136"/>
      <c r="E235" s="136"/>
      <c r="F235" s="136"/>
      <c r="G235" s="133">
        <v>4</v>
      </c>
      <c r="H235" s="133">
        <v>2</v>
      </c>
      <c r="I235" s="133"/>
      <c r="J235" s="133"/>
      <c r="K235" s="229"/>
      <c r="L235" s="229"/>
      <c r="M235" s="229"/>
      <c r="N235" s="229"/>
      <c r="O235" s="229"/>
      <c r="P235" s="229"/>
      <c r="Q235" s="229"/>
      <c r="R235" s="229"/>
      <c r="S235" s="229"/>
      <c r="T235" s="229"/>
      <c r="U235" s="229"/>
      <c r="V235" s="229"/>
      <c r="W235" s="229"/>
      <c r="X235" s="229"/>
      <c r="Y235" s="229"/>
      <c r="Z235">
        <f>IF(AND('4 Ope'!C235&gt;Tmin, NOT('4 Ope'!$I235="")),'4 Ope'!$I235,0)</f>
        <v>0</v>
      </c>
      <c r="AA235">
        <f>IF(AND('4 Ope'!C235&gt;Tmin, NOT('4 Ope'!$I235="")),'4 Ope'!$I235,0)</f>
        <v>0</v>
      </c>
      <c r="AB235">
        <f>IF(AND('4 Ope'!D235&gt;Tmin, NOT('4 Ope'!$I235="")),'4 Ope'!$I235,0)</f>
        <v>0</v>
      </c>
      <c r="AC235">
        <f>IF(AND('4 Ope'!E235&gt;Tmin, NOT('4 Ope'!$I235="")),'4 Ope'!$I235,0)</f>
        <v>0</v>
      </c>
      <c r="AD235">
        <f>IF(AND('4 Ope'!F235&gt;Tmin, NOT('4 Ope'!$I235="")),'4 Ope'!$I235,0)</f>
        <v>0</v>
      </c>
      <c r="AE235">
        <f>IF(AND('4 Ope'!C235&lt;Tmax, NOT('4 Ope'!$H235="")),'4 Ope'!$H235,4)</f>
        <v>2</v>
      </c>
      <c r="AF235">
        <f>IF(AND('4 Ope'!D235&lt;Tmax, NOT('4 Ope'!$H235="")),'4 Ope'!$H235,4)</f>
        <v>2</v>
      </c>
      <c r="AG235">
        <f>IF(AND('4 Ope'!E235&lt;Tmax, NOT('4 Ope'!$H235="")),'4 Ope'!$H235,4)</f>
        <v>2</v>
      </c>
      <c r="AH235">
        <f>IF(AND('4 Ope'!F235&lt;Tmax, NOT('4 Ope'!$H235="")),'4 Ope'!$H235,4)</f>
        <v>2</v>
      </c>
      <c r="AI235"/>
      <c r="AJ235" s="229"/>
      <c r="AK235" s="229"/>
      <c r="AL235" s="229"/>
      <c r="AM235" s="229"/>
      <c r="AN235" s="229"/>
      <c r="AO235" s="229"/>
      <c r="AP235" s="229"/>
      <c r="AQ235" s="229"/>
      <c r="AR235" s="229"/>
      <c r="AS235" s="229"/>
      <c r="AT235" s="229"/>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row>
    <row r="236" spans="1:80" s="228" customFormat="1" x14ac:dyDescent="0.25">
      <c r="A236" s="128" t="s">
        <v>1162</v>
      </c>
      <c r="B236" s="128" t="s">
        <v>9</v>
      </c>
      <c r="C236" s="136"/>
      <c r="D236" s="136"/>
      <c r="E236" s="136"/>
      <c r="F236" s="136"/>
      <c r="G236" s="133">
        <v>1</v>
      </c>
      <c r="H236" s="133"/>
      <c r="I236" s="133"/>
      <c r="J236" s="133"/>
      <c r="K236" s="229"/>
      <c r="L236" s="229"/>
      <c r="M236" s="229"/>
      <c r="N236" s="229"/>
      <c r="O236" s="229"/>
      <c r="P236" s="229"/>
      <c r="Q236" s="229"/>
      <c r="R236" s="229"/>
      <c r="S236" s="229"/>
      <c r="T236" s="229"/>
      <c r="U236" s="229"/>
      <c r="V236" s="229"/>
      <c r="W236" s="229"/>
      <c r="X236" s="229"/>
      <c r="Y236" s="229"/>
      <c r="Z236">
        <f>IF(AND('4 Ope'!C236&gt;Tmin, NOT('4 Ope'!$I236="")),'4 Ope'!$I236,0)</f>
        <v>0</v>
      </c>
      <c r="AA236">
        <f>IF(AND('4 Ope'!C236&gt;Tmin, NOT('4 Ope'!$I236="")),'4 Ope'!$I236,0)</f>
        <v>0</v>
      </c>
      <c r="AB236">
        <f>IF(AND('4 Ope'!D236&gt;Tmin, NOT('4 Ope'!$I236="")),'4 Ope'!$I236,0)</f>
        <v>0</v>
      </c>
      <c r="AC236">
        <f>IF(AND('4 Ope'!E236&gt;Tmin, NOT('4 Ope'!$I236="")),'4 Ope'!$I236,0)</f>
        <v>0</v>
      </c>
      <c r="AD236">
        <f>IF(AND('4 Ope'!F236&gt;Tmin, NOT('4 Ope'!$I236="")),'4 Ope'!$I236,0)</f>
        <v>0</v>
      </c>
      <c r="AE236">
        <f>IF(AND('4 Ope'!C236&lt;Tmax, NOT('4 Ope'!$H236="")),'4 Ope'!$H236,4)</f>
        <v>4</v>
      </c>
      <c r="AF236">
        <f>IF(AND('4 Ope'!D236&lt;Tmax, NOT('4 Ope'!$H236="")),'4 Ope'!$H236,4)</f>
        <v>4</v>
      </c>
      <c r="AG236">
        <f>IF(AND('4 Ope'!E236&lt;Tmax, NOT('4 Ope'!$H236="")),'4 Ope'!$H236,4)</f>
        <v>4</v>
      </c>
      <c r="AH236">
        <f>IF(AND('4 Ope'!F236&lt;Tmax, NOT('4 Ope'!$H236="")),'4 Ope'!$H236,4)</f>
        <v>4</v>
      </c>
      <c r="AI236"/>
      <c r="AJ236" s="229"/>
      <c r="AK236" s="229"/>
      <c r="AL236" s="229"/>
      <c r="AM236" s="229"/>
      <c r="AN236" s="229"/>
      <c r="AO236" s="229"/>
      <c r="AP236" s="229"/>
      <c r="AQ236" s="229"/>
      <c r="AR236" s="229"/>
      <c r="AS236" s="229"/>
      <c r="AT236" s="229"/>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row>
    <row r="237" spans="1:80" s="228" customFormat="1" ht="20.399999999999999" x14ac:dyDescent="0.25">
      <c r="A237" s="128" t="s">
        <v>1163</v>
      </c>
      <c r="B237" s="128" t="s">
        <v>450</v>
      </c>
      <c r="C237" s="136"/>
      <c r="D237" s="136"/>
      <c r="E237" s="136"/>
      <c r="F237" s="136"/>
      <c r="G237" s="133">
        <v>4</v>
      </c>
      <c r="H237" s="133">
        <v>2</v>
      </c>
      <c r="I237" s="133"/>
      <c r="J237" s="133"/>
      <c r="K237" s="229"/>
      <c r="L237" s="229"/>
      <c r="M237" s="229"/>
      <c r="N237" s="229"/>
      <c r="O237" s="229"/>
      <c r="P237" s="229"/>
      <c r="Q237" s="229"/>
      <c r="R237" s="229"/>
      <c r="S237" s="229"/>
      <c r="T237" s="229"/>
      <c r="U237" s="229"/>
      <c r="V237" s="229"/>
      <c r="W237" s="229"/>
      <c r="X237" s="229"/>
      <c r="Y237" s="229"/>
      <c r="Z237">
        <f>IF(AND('4 Ope'!C237&gt;Tmin, NOT('4 Ope'!$I237="")),'4 Ope'!$I237,0)</f>
        <v>0</v>
      </c>
      <c r="AA237">
        <f>IF(AND('4 Ope'!C237&gt;Tmin, NOT('4 Ope'!$I237="")),'4 Ope'!$I237,0)</f>
        <v>0</v>
      </c>
      <c r="AB237">
        <f>IF(AND('4 Ope'!D237&gt;Tmin, NOT('4 Ope'!$I237="")),'4 Ope'!$I237,0)</f>
        <v>0</v>
      </c>
      <c r="AC237">
        <f>IF(AND('4 Ope'!E237&gt;Tmin, NOT('4 Ope'!$I237="")),'4 Ope'!$I237,0)</f>
        <v>0</v>
      </c>
      <c r="AD237">
        <f>IF(AND('4 Ope'!F237&gt;Tmin, NOT('4 Ope'!$I237="")),'4 Ope'!$I237,0)</f>
        <v>0</v>
      </c>
      <c r="AE237">
        <f>IF(AND('4 Ope'!C237&lt;Tmax, NOT('4 Ope'!$H237="")),'4 Ope'!$H237,4)</f>
        <v>2</v>
      </c>
      <c r="AF237">
        <f>IF(AND('4 Ope'!D237&lt;Tmax, NOT('4 Ope'!$H237="")),'4 Ope'!$H237,4)</f>
        <v>2</v>
      </c>
      <c r="AG237">
        <f>IF(AND('4 Ope'!E237&lt;Tmax, NOT('4 Ope'!$H237="")),'4 Ope'!$H237,4)</f>
        <v>2</v>
      </c>
      <c r="AH237">
        <f>IF(AND('4 Ope'!F237&lt;Tmax, NOT('4 Ope'!$H237="")),'4 Ope'!$H237,4)</f>
        <v>2</v>
      </c>
      <c r="AI237"/>
      <c r="AJ237" s="229"/>
      <c r="AK237" s="229"/>
      <c r="AL237" s="229"/>
      <c r="AM237" s="229"/>
      <c r="AN237" s="229"/>
      <c r="AO237" s="229"/>
      <c r="AP237" s="229"/>
      <c r="AQ237" s="229"/>
      <c r="AR237" s="229"/>
      <c r="AS237" s="229"/>
      <c r="AT237" s="229"/>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row>
    <row r="238" spans="1:80" s="228" customFormat="1" x14ac:dyDescent="0.25">
      <c r="A238" s="128" t="s">
        <v>1164</v>
      </c>
      <c r="B238" s="128" t="s">
        <v>451</v>
      </c>
      <c r="C238" s="136"/>
      <c r="D238" s="136"/>
      <c r="E238" s="136"/>
      <c r="F238" s="136"/>
      <c r="G238" s="133">
        <v>4</v>
      </c>
      <c r="H238" s="133"/>
      <c r="I238" s="133"/>
      <c r="J238" s="133"/>
      <c r="K238" s="229"/>
      <c r="L238" s="229"/>
      <c r="M238" s="229"/>
      <c r="N238" s="229"/>
      <c r="O238" s="229"/>
      <c r="P238" s="229"/>
      <c r="Q238" s="229"/>
      <c r="R238" s="229"/>
      <c r="S238" s="229"/>
      <c r="T238" s="229"/>
      <c r="U238" s="229"/>
      <c r="V238" s="229"/>
      <c r="W238" s="229"/>
      <c r="X238" s="229"/>
      <c r="Y238" s="229"/>
      <c r="Z238">
        <f>IF(AND('4 Ope'!C238&gt;Tmin, NOT('4 Ope'!$I238="")),'4 Ope'!$I238,0)</f>
        <v>0</v>
      </c>
      <c r="AA238">
        <f>IF(AND('4 Ope'!C238&gt;Tmin, NOT('4 Ope'!$I238="")),'4 Ope'!$I238,0)</f>
        <v>0</v>
      </c>
      <c r="AB238">
        <f>IF(AND('4 Ope'!D238&gt;Tmin, NOT('4 Ope'!$I238="")),'4 Ope'!$I238,0)</f>
        <v>0</v>
      </c>
      <c r="AC238">
        <f>IF(AND('4 Ope'!E238&gt;Tmin, NOT('4 Ope'!$I238="")),'4 Ope'!$I238,0)</f>
        <v>0</v>
      </c>
      <c r="AD238">
        <f>IF(AND('4 Ope'!F238&gt;Tmin, NOT('4 Ope'!$I238="")),'4 Ope'!$I238,0)</f>
        <v>0</v>
      </c>
      <c r="AE238">
        <f>IF(AND('4 Ope'!C238&lt;Tmax, NOT('4 Ope'!$H238="")),'4 Ope'!$H238,4)</f>
        <v>4</v>
      </c>
      <c r="AF238">
        <f>IF(AND('4 Ope'!D238&lt;Tmax, NOT('4 Ope'!$H238="")),'4 Ope'!$H238,4)</f>
        <v>4</v>
      </c>
      <c r="AG238">
        <f>IF(AND('4 Ope'!E238&lt;Tmax, NOT('4 Ope'!$H238="")),'4 Ope'!$H238,4)</f>
        <v>4</v>
      </c>
      <c r="AH238">
        <f>IF(AND('4 Ope'!F238&lt;Tmax, NOT('4 Ope'!$H238="")),'4 Ope'!$H238,4)</f>
        <v>4</v>
      </c>
      <c r="AI238"/>
      <c r="AJ238" s="229"/>
      <c r="AK238" s="229"/>
      <c r="AL238" s="229"/>
      <c r="AM238" s="229"/>
      <c r="AN238" s="229"/>
      <c r="AO238" s="229"/>
      <c r="AP238" s="229"/>
      <c r="AQ238" s="229"/>
      <c r="AR238" s="229"/>
      <c r="AS238" s="229"/>
      <c r="AT238" s="229"/>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row>
    <row r="239" spans="1:80" s="228" customFormat="1" ht="20.399999999999999" x14ac:dyDescent="0.25">
      <c r="A239" s="128" t="s">
        <v>1165</v>
      </c>
      <c r="B239" s="128" t="s">
        <v>452</v>
      </c>
      <c r="C239" s="136"/>
      <c r="D239" s="136"/>
      <c r="E239" s="136"/>
      <c r="F239" s="136"/>
      <c r="G239" s="133">
        <v>4</v>
      </c>
      <c r="H239" s="133"/>
      <c r="I239" s="133"/>
      <c r="J239" s="133"/>
      <c r="K239" s="229"/>
      <c r="L239" s="229"/>
      <c r="M239" s="229"/>
      <c r="N239" s="229"/>
      <c r="O239" s="229"/>
      <c r="P239" s="229"/>
      <c r="Q239" s="229"/>
      <c r="R239" s="229"/>
      <c r="S239" s="229"/>
      <c r="T239" s="229"/>
      <c r="U239" s="229"/>
      <c r="V239" s="229"/>
      <c r="W239" s="229"/>
      <c r="X239" s="229"/>
      <c r="Y239" s="229"/>
      <c r="Z239">
        <f>IF(AND('4 Ope'!C239&gt;Tmin, NOT('4 Ope'!$I239="")),'4 Ope'!$I239,0)</f>
        <v>0</v>
      </c>
      <c r="AA239">
        <f>IF(AND('4 Ope'!C239&gt;Tmin, NOT('4 Ope'!$I239="")),'4 Ope'!$I239,0)</f>
        <v>0</v>
      </c>
      <c r="AB239">
        <f>IF(AND('4 Ope'!D239&gt;Tmin, NOT('4 Ope'!$I239="")),'4 Ope'!$I239,0)</f>
        <v>0</v>
      </c>
      <c r="AC239">
        <f>IF(AND('4 Ope'!E239&gt;Tmin, NOT('4 Ope'!$I239="")),'4 Ope'!$I239,0)</f>
        <v>0</v>
      </c>
      <c r="AD239">
        <f>IF(AND('4 Ope'!F239&gt;Tmin, NOT('4 Ope'!$I239="")),'4 Ope'!$I239,0)</f>
        <v>0</v>
      </c>
      <c r="AE239">
        <f>IF(AND('4 Ope'!C239&lt;Tmax, NOT('4 Ope'!$H239="")),'4 Ope'!$H239,4)</f>
        <v>4</v>
      </c>
      <c r="AF239">
        <f>IF(AND('4 Ope'!D239&lt;Tmax, NOT('4 Ope'!$H239="")),'4 Ope'!$H239,4)</f>
        <v>4</v>
      </c>
      <c r="AG239">
        <f>IF(AND('4 Ope'!E239&lt;Tmax, NOT('4 Ope'!$H239="")),'4 Ope'!$H239,4)</f>
        <v>4</v>
      </c>
      <c r="AH239">
        <f>IF(AND('4 Ope'!F239&lt;Tmax, NOT('4 Ope'!$H239="")),'4 Ope'!$H239,4)</f>
        <v>4</v>
      </c>
      <c r="AI239"/>
      <c r="AJ239" s="229"/>
      <c r="AK239" s="229"/>
      <c r="AL239" s="229"/>
      <c r="AM239" s="229"/>
      <c r="AN239" s="229"/>
      <c r="AO239" s="229"/>
      <c r="AP239" s="229"/>
      <c r="AQ239" s="229"/>
      <c r="AR239" s="229"/>
      <c r="AS239" s="229"/>
      <c r="AT239" s="229"/>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row>
    <row r="240" spans="1:80" s="228" customFormat="1" ht="20.399999999999999" x14ac:dyDescent="0.25">
      <c r="A240" s="128" t="s">
        <v>1166</v>
      </c>
      <c r="B240" s="128" t="s">
        <v>1167</v>
      </c>
      <c r="C240" s="136"/>
      <c r="D240" s="136"/>
      <c r="E240" s="136"/>
      <c r="F240" s="136"/>
      <c r="G240" s="133">
        <v>4</v>
      </c>
      <c r="H240" s="133"/>
      <c r="I240" s="133"/>
      <c r="J240" s="133"/>
      <c r="K240" s="229"/>
      <c r="L240" s="229"/>
      <c r="M240" s="229"/>
      <c r="N240" s="229"/>
      <c r="O240" s="229"/>
      <c r="P240" s="229"/>
      <c r="Q240" s="229"/>
      <c r="R240" s="229"/>
      <c r="S240" s="229"/>
      <c r="T240" s="229"/>
      <c r="U240" s="229"/>
      <c r="V240" s="229"/>
      <c r="W240" s="229"/>
      <c r="X240" s="229"/>
      <c r="Y240" s="229"/>
      <c r="Z240">
        <f>IF(AND('4 Ope'!C240&gt;Tmin, NOT('4 Ope'!$I240="")),'4 Ope'!$I240,0)</f>
        <v>0</v>
      </c>
      <c r="AA240">
        <f>IF(AND('4 Ope'!C240&gt;Tmin, NOT('4 Ope'!$I240="")),'4 Ope'!$I240,0)</f>
        <v>0</v>
      </c>
      <c r="AB240">
        <f>IF(AND('4 Ope'!D240&gt;Tmin, NOT('4 Ope'!$I240="")),'4 Ope'!$I240,0)</f>
        <v>0</v>
      </c>
      <c r="AC240">
        <f>IF(AND('4 Ope'!E240&gt;Tmin, NOT('4 Ope'!$I240="")),'4 Ope'!$I240,0)</f>
        <v>0</v>
      </c>
      <c r="AD240">
        <f>IF(AND('4 Ope'!F240&gt;Tmin, NOT('4 Ope'!$I240="")),'4 Ope'!$I240,0)</f>
        <v>0</v>
      </c>
      <c r="AE240">
        <f>IF(AND('4 Ope'!C240&lt;Tmax, NOT('4 Ope'!$H240="")),'4 Ope'!$H240,4)</f>
        <v>4</v>
      </c>
      <c r="AF240">
        <f>IF(AND('4 Ope'!D240&lt;Tmax, NOT('4 Ope'!$H240="")),'4 Ope'!$H240,4)</f>
        <v>4</v>
      </c>
      <c r="AG240">
        <f>IF(AND('4 Ope'!E240&lt;Tmax, NOT('4 Ope'!$H240="")),'4 Ope'!$H240,4)</f>
        <v>4</v>
      </c>
      <c r="AH240">
        <f>IF(AND('4 Ope'!F240&lt;Tmax, NOT('4 Ope'!$H240="")),'4 Ope'!$H240,4)</f>
        <v>4</v>
      </c>
      <c r="AI240"/>
      <c r="AJ240" s="229"/>
      <c r="AK240" s="229"/>
      <c r="AL240" s="229"/>
      <c r="AM240" s="229"/>
      <c r="AN240" s="229"/>
      <c r="AO240" s="229"/>
      <c r="AP240" s="229"/>
      <c r="AQ240" s="229"/>
      <c r="AR240" s="229"/>
      <c r="AS240" s="229"/>
      <c r="AT240" s="229"/>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row>
    <row r="241" spans="1:80" s="228" customFormat="1" ht="30.6" x14ac:dyDescent="0.25">
      <c r="A241" s="128" t="s">
        <v>1168</v>
      </c>
      <c r="B241" s="128" t="s">
        <v>10</v>
      </c>
      <c r="C241" s="136"/>
      <c r="D241" s="136"/>
      <c r="E241" s="136"/>
      <c r="F241" s="136"/>
      <c r="G241" s="133">
        <v>4</v>
      </c>
      <c r="H241" s="133">
        <v>3</v>
      </c>
      <c r="I241" s="133"/>
      <c r="J241" s="133"/>
      <c r="K241" s="229"/>
      <c r="L241" s="229"/>
      <c r="M241" s="229"/>
      <c r="N241" s="229"/>
      <c r="O241" s="229"/>
      <c r="P241" s="229"/>
      <c r="Q241" s="229"/>
      <c r="R241" s="229"/>
      <c r="S241" s="229"/>
      <c r="T241" s="229"/>
      <c r="U241" s="229"/>
      <c r="V241" s="229"/>
      <c r="W241" s="229"/>
      <c r="X241" s="229"/>
      <c r="Y241" s="229"/>
      <c r="Z241">
        <f>IF(AND('4 Ope'!C241&gt;Tmin, NOT('4 Ope'!$I241="")),'4 Ope'!$I241,0)</f>
        <v>0</v>
      </c>
      <c r="AA241">
        <f>IF(AND('4 Ope'!C241&gt;Tmin, NOT('4 Ope'!$I241="")),'4 Ope'!$I241,0)</f>
        <v>0</v>
      </c>
      <c r="AB241">
        <f>IF(AND('4 Ope'!D241&gt;Tmin, NOT('4 Ope'!$I241="")),'4 Ope'!$I241,0)</f>
        <v>0</v>
      </c>
      <c r="AC241">
        <f>IF(AND('4 Ope'!E241&gt;Tmin, NOT('4 Ope'!$I241="")),'4 Ope'!$I241,0)</f>
        <v>0</v>
      </c>
      <c r="AD241">
        <f>IF(AND('4 Ope'!F241&gt;Tmin, NOT('4 Ope'!$I241="")),'4 Ope'!$I241,0)</f>
        <v>0</v>
      </c>
      <c r="AE241">
        <f>IF(AND('4 Ope'!C241&lt;Tmax, NOT('4 Ope'!$H241="")),'4 Ope'!$H241,4)</f>
        <v>3</v>
      </c>
      <c r="AF241">
        <f>IF(AND('4 Ope'!D241&lt;Tmax, NOT('4 Ope'!$H241="")),'4 Ope'!$H241,4)</f>
        <v>3</v>
      </c>
      <c r="AG241">
        <f>IF(AND('4 Ope'!E241&lt;Tmax, NOT('4 Ope'!$H241="")),'4 Ope'!$H241,4)</f>
        <v>3</v>
      </c>
      <c r="AH241">
        <f>IF(AND('4 Ope'!F241&lt;Tmax, NOT('4 Ope'!$H241="")),'4 Ope'!$H241,4)</f>
        <v>3</v>
      </c>
      <c r="AI241"/>
      <c r="AJ241" s="229"/>
      <c r="AK241" s="229"/>
      <c r="AL241" s="229"/>
      <c r="AM241" s="229"/>
      <c r="AN241" s="229"/>
      <c r="AO241" s="229"/>
      <c r="AP241" s="229"/>
      <c r="AQ241" s="229"/>
      <c r="AR241" s="229"/>
      <c r="AS241" s="229"/>
      <c r="AT241" s="229"/>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row>
    <row r="242" spans="1:80" s="228" customFormat="1" ht="20.399999999999999" x14ac:dyDescent="0.25">
      <c r="A242" s="128" t="s">
        <v>1169</v>
      </c>
      <c r="B242" s="128" t="s">
        <v>448</v>
      </c>
      <c r="C242" s="136"/>
      <c r="D242" s="136"/>
      <c r="E242" s="136"/>
      <c r="F242" s="136"/>
      <c r="G242" s="133">
        <v>4</v>
      </c>
      <c r="H242" s="133"/>
      <c r="I242" s="133"/>
      <c r="J242" s="133"/>
      <c r="K242" s="229"/>
      <c r="L242" s="229"/>
      <c r="M242" s="229"/>
      <c r="N242" s="229"/>
      <c r="O242" s="229"/>
      <c r="P242" s="229"/>
      <c r="Q242" s="229"/>
      <c r="R242" s="229"/>
      <c r="S242" s="229"/>
      <c r="T242" s="229"/>
      <c r="U242" s="229"/>
      <c r="V242" s="229"/>
      <c r="W242" s="229"/>
      <c r="X242" s="229"/>
      <c r="Y242" s="229"/>
      <c r="Z242">
        <f>IF(AND('4 Ope'!C242&gt;Tmin, NOT('4 Ope'!$I242="")),'4 Ope'!$I242,0)</f>
        <v>0</v>
      </c>
      <c r="AA242">
        <f>IF(AND('4 Ope'!C242&gt;Tmin, NOT('4 Ope'!$I242="")),'4 Ope'!$I242,0)</f>
        <v>0</v>
      </c>
      <c r="AB242">
        <f>IF(AND('4 Ope'!D242&gt;Tmin, NOT('4 Ope'!$I242="")),'4 Ope'!$I242,0)</f>
        <v>0</v>
      </c>
      <c r="AC242">
        <f>IF(AND('4 Ope'!E242&gt;Tmin, NOT('4 Ope'!$I242="")),'4 Ope'!$I242,0)</f>
        <v>0</v>
      </c>
      <c r="AD242">
        <f>IF(AND('4 Ope'!F242&gt;Tmin, NOT('4 Ope'!$I242="")),'4 Ope'!$I242,0)</f>
        <v>0</v>
      </c>
      <c r="AE242">
        <f>IF(AND('4 Ope'!C242&lt;Tmax, NOT('4 Ope'!$H242="")),'4 Ope'!$H242,4)</f>
        <v>4</v>
      </c>
      <c r="AF242">
        <f>IF(AND('4 Ope'!D242&lt;Tmax, NOT('4 Ope'!$H242="")),'4 Ope'!$H242,4)</f>
        <v>4</v>
      </c>
      <c r="AG242">
        <f>IF(AND('4 Ope'!E242&lt;Tmax, NOT('4 Ope'!$H242="")),'4 Ope'!$H242,4)</f>
        <v>4</v>
      </c>
      <c r="AH242">
        <f>IF(AND('4 Ope'!F242&lt;Tmax, NOT('4 Ope'!$H242="")),'4 Ope'!$H242,4)</f>
        <v>4</v>
      </c>
      <c r="AI242"/>
      <c r="AJ242" s="229"/>
      <c r="AK242" s="229"/>
      <c r="AL242" s="229"/>
      <c r="AM242" s="229"/>
      <c r="AN242" s="229"/>
      <c r="AO242" s="229"/>
      <c r="AP242" s="229"/>
      <c r="AQ242" s="229"/>
      <c r="AR242" s="229"/>
      <c r="AS242" s="229"/>
      <c r="AT242" s="229"/>
      <c r="AU242" s="50"/>
      <c r="AV242" s="50"/>
      <c r="AW242" s="50"/>
      <c r="AX242" s="50"/>
      <c r="AY242" s="50"/>
      <c r="AZ242" s="50"/>
      <c r="BA242" s="50"/>
      <c r="BB242" s="50"/>
      <c r="BC242" s="50"/>
      <c r="BD242" s="50"/>
      <c r="BE242" s="50"/>
      <c r="BF242" s="50"/>
      <c r="BG242" s="50"/>
      <c r="BH242" s="50"/>
      <c r="BI242" s="50"/>
      <c r="BJ242" s="50"/>
      <c r="BK242" s="50"/>
      <c r="BL242" s="50"/>
      <c r="BM242" s="50"/>
      <c r="BN242" s="50"/>
      <c r="BO242" s="50"/>
      <c r="BP242" s="50"/>
      <c r="BQ242" s="50"/>
      <c r="BR242" s="50"/>
      <c r="BS242" s="50"/>
      <c r="BT242" s="50"/>
      <c r="BU242" s="50"/>
      <c r="BV242" s="50"/>
      <c r="BW242" s="50"/>
      <c r="BX242" s="50"/>
      <c r="BY242" s="50"/>
      <c r="BZ242" s="50"/>
      <c r="CA242" s="50"/>
      <c r="CB242" s="50"/>
    </row>
    <row r="243" spans="1:80" s="228" customFormat="1" x14ac:dyDescent="0.25">
      <c r="A243" s="128" t="s">
        <v>1170</v>
      </c>
      <c r="B243" s="128" t="s">
        <v>1171</v>
      </c>
      <c r="C243" s="136"/>
      <c r="D243" s="136"/>
      <c r="E243" s="136"/>
      <c r="F243" s="136"/>
      <c r="G243" s="133"/>
      <c r="H243" s="133"/>
      <c r="I243" s="133"/>
      <c r="J243" s="133"/>
      <c r="K243" s="229"/>
      <c r="L243" s="229"/>
      <c r="M243" s="229"/>
      <c r="N243" s="229"/>
      <c r="O243" s="229"/>
      <c r="P243" s="229"/>
      <c r="Q243" s="229"/>
      <c r="R243" s="229"/>
      <c r="S243" s="229"/>
      <c r="T243" s="229"/>
      <c r="U243" s="229"/>
      <c r="V243" s="229"/>
      <c r="W243" s="229"/>
      <c r="X243" s="229"/>
      <c r="Y243" s="229"/>
      <c r="Z243"/>
      <c r="AA243"/>
      <c r="AB243"/>
      <c r="AC243"/>
      <c r="AD243"/>
      <c r="AE243"/>
      <c r="AF243"/>
      <c r="AG243"/>
      <c r="AH243"/>
      <c r="AI243"/>
      <c r="AJ243" s="229"/>
      <c r="AK243" s="229"/>
      <c r="AL243" s="229"/>
      <c r="AM243" s="229"/>
      <c r="AN243" s="229"/>
      <c r="AO243" s="229"/>
      <c r="AP243" s="229"/>
      <c r="AQ243" s="229"/>
      <c r="AR243" s="229"/>
      <c r="AS243" s="229"/>
      <c r="AT243" s="229"/>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row>
    <row r="244" spans="1:80" s="228" customFormat="1" ht="30.6" x14ac:dyDescent="0.25">
      <c r="A244" s="128" t="s">
        <v>1172</v>
      </c>
      <c r="B244" s="128" t="s">
        <v>7340</v>
      </c>
      <c r="C244" s="136"/>
      <c r="D244" s="136"/>
      <c r="E244" s="136"/>
      <c r="F244" s="136"/>
      <c r="G244" s="133">
        <v>2</v>
      </c>
      <c r="H244" s="133"/>
      <c r="I244" s="133"/>
      <c r="J244" s="133" t="s">
        <v>7014</v>
      </c>
      <c r="K244" s="229"/>
      <c r="L244" s="229"/>
      <c r="M244" s="229"/>
      <c r="N244" s="229"/>
      <c r="O244" s="229"/>
      <c r="P244" s="229"/>
      <c r="Q244" s="229"/>
      <c r="R244" s="229"/>
      <c r="S244" s="229"/>
      <c r="T244" s="229"/>
      <c r="U244" s="229"/>
      <c r="V244" s="229"/>
      <c r="W244" s="229"/>
      <c r="X244" s="229"/>
      <c r="Y244" s="229"/>
      <c r="Z244">
        <f>IF(AND('4 Ope'!C244&gt;Tmin, NOT('4 Ope'!$I244="")),'4 Ope'!$I244,0)</f>
        <v>0</v>
      </c>
      <c r="AA244">
        <f>IF(AND('4 Ope'!C244&gt;Tmin, NOT('4 Ope'!$I244="")),'4 Ope'!$I244,0)</f>
        <v>0</v>
      </c>
      <c r="AB244">
        <f>IF(AND('4 Ope'!D244&gt;Tmin, NOT('4 Ope'!$I244="")),'4 Ope'!$I244,0)</f>
        <v>0</v>
      </c>
      <c r="AC244">
        <f>IF(AND('4 Ope'!E244&gt;Tmin, NOT('4 Ope'!$I244="")),'4 Ope'!$I244,0)</f>
        <v>0</v>
      </c>
      <c r="AD244">
        <f>IF(AND('4 Ope'!F244&gt;Tmin, NOT('4 Ope'!$I244="")),'4 Ope'!$I244,0)</f>
        <v>0</v>
      </c>
      <c r="AE244">
        <f>IF(AND('4 Ope'!C244&lt;Tmax, NOT('4 Ope'!$H244="")),'4 Ope'!$H244,4)</f>
        <v>4</v>
      </c>
      <c r="AF244">
        <f>IF(AND('4 Ope'!D244&lt;Tmax, NOT('4 Ope'!$H244="")),'4 Ope'!$H244,4)</f>
        <v>4</v>
      </c>
      <c r="AG244">
        <f>IF(AND('4 Ope'!E244&lt;Tmax, NOT('4 Ope'!$H244="")),'4 Ope'!$H244,4)</f>
        <v>4</v>
      </c>
      <c r="AH244">
        <f>IF(AND('4 Ope'!F244&lt;Tmax, NOT('4 Ope'!$H244="")),'4 Ope'!$H244,4)</f>
        <v>4</v>
      </c>
      <c r="AI244"/>
      <c r="AJ244" s="229"/>
      <c r="AK244" s="229"/>
      <c r="AL244" s="229"/>
      <c r="AM244" s="229"/>
      <c r="AN244" s="229"/>
      <c r="AO244" s="229"/>
      <c r="AP244" s="229"/>
      <c r="AQ244" s="229"/>
      <c r="AR244" s="229"/>
      <c r="AS244" s="229"/>
      <c r="AT244" s="229"/>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row>
    <row r="245" spans="1:80" ht="20.399999999999999" x14ac:dyDescent="0.25">
      <c r="A245" s="128" t="s">
        <v>1173</v>
      </c>
      <c r="B245" s="128" t="s">
        <v>7341</v>
      </c>
      <c r="C245" s="136"/>
      <c r="D245" s="136"/>
      <c r="E245" s="136"/>
      <c r="F245" s="136"/>
      <c r="G245" s="133">
        <v>2</v>
      </c>
      <c r="H245" s="133"/>
      <c r="I245" s="133"/>
      <c r="J245" s="133" t="s">
        <v>7014</v>
      </c>
      <c r="Z245">
        <f>IF(AND('4 Ope'!C245&gt;Tmin, NOT('4 Ope'!$I245="")),'4 Ope'!$I245,0)</f>
        <v>0</v>
      </c>
      <c r="AA245">
        <f>IF(AND('4 Ope'!C245&gt;Tmin, NOT('4 Ope'!$I245="")),'4 Ope'!$I245,0)</f>
        <v>0</v>
      </c>
      <c r="AB245">
        <f>IF(AND('4 Ope'!D245&gt;Tmin, NOT('4 Ope'!$I245="")),'4 Ope'!$I245,0)</f>
        <v>0</v>
      </c>
      <c r="AC245">
        <f>IF(AND('4 Ope'!E245&gt;Tmin, NOT('4 Ope'!$I245="")),'4 Ope'!$I245,0)</f>
        <v>0</v>
      </c>
      <c r="AD245">
        <f>IF(AND('4 Ope'!F245&gt;Tmin, NOT('4 Ope'!$I245="")),'4 Ope'!$I245,0)</f>
        <v>0</v>
      </c>
      <c r="AE245">
        <f>IF(AND('4 Ope'!C245&lt;Tmax, NOT('4 Ope'!$H245="")),'4 Ope'!$H245,4)</f>
        <v>4</v>
      </c>
      <c r="AF245">
        <f>IF(AND('4 Ope'!D245&lt;Tmax, NOT('4 Ope'!$H245="")),'4 Ope'!$H245,4)</f>
        <v>4</v>
      </c>
      <c r="AG245">
        <f>IF(AND('4 Ope'!E245&lt;Tmax, NOT('4 Ope'!$H245="")),'4 Ope'!$H245,4)</f>
        <v>4</v>
      </c>
      <c r="AH245">
        <f>IF(AND('4 Ope'!F245&lt;Tmax, NOT('4 Ope'!$H245="")),'4 Ope'!$H245,4)</f>
        <v>4</v>
      </c>
      <c r="AI245"/>
      <c r="AR245" s="50"/>
      <c r="AS245" s="50"/>
      <c r="AT245" s="50"/>
    </row>
    <row r="246" spans="1:80" ht="20.399999999999999" x14ac:dyDescent="0.25">
      <c r="A246" s="128" t="s">
        <v>1174</v>
      </c>
      <c r="B246" s="128" t="s">
        <v>7342</v>
      </c>
      <c r="C246" s="136"/>
      <c r="D246" s="136"/>
      <c r="E246" s="136"/>
      <c r="F246" s="136"/>
      <c r="G246" s="133">
        <v>2</v>
      </c>
      <c r="H246" s="133"/>
      <c r="I246" s="133"/>
      <c r="J246" s="133" t="s">
        <v>7014</v>
      </c>
      <c r="Z246">
        <f>IF(AND('4 Ope'!C246&gt;Tmin, NOT('4 Ope'!$I246="")),'4 Ope'!$I246,0)</f>
        <v>0</v>
      </c>
      <c r="AA246">
        <f>IF(AND('4 Ope'!C246&gt;Tmin, NOT('4 Ope'!$I246="")),'4 Ope'!$I246,0)</f>
        <v>0</v>
      </c>
      <c r="AB246">
        <f>IF(AND('4 Ope'!D246&gt;Tmin, NOT('4 Ope'!$I246="")),'4 Ope'!$I246,0)</f>
        <v>0</v>
      </c>
      <c r="AC246">
        <f>IF(AND('4 Ope'!E246&gt;Tmin, NOT('4 Ope'!$I246="")),'4 Ope'!$I246,0)</f>
        <v>0</v>
      </c>
      <c r="AD246">
        <f>IF(AND('4 Ope'!F246&gt;Tmin, NOT('4 Ope'!$I246="")),'4 Ope'!$I246,0)</f>
        <v>0</v>
      </c>
      <c r="AE246">
        <f>IF(AND('4 Ope'!C246&lt;Tmax, NOT('4 Ope'!$H246="")),'4 Ope'!$H246,4)</f>
        <v>4</v>
      </c>
      <c r="AF246">
        <f>IF(AND('4 Ope'!D246&lt;Tmax, NOT('4 Ope'!$H246="")),'4 Ope'!$H246,4)</f>
        <v>4</v>
      </c>
      <c r="AG246">
        <f>IF(AND('4 Ope'!E246&lt;Tmax, NOT('4 Ope'!$H246="")),'4 Ope'!$H246,4)</f>
        <v>4</v>
      </c>
      <c r="AH246">
        <f>IF(AND('4 Ope'!F246&lt;Tmax, NOT('4 Ope'!$H246="")),'4 Ope'!$H246,4)</f>
        <v>4</v>
      </c>
      <c r="AI246"/>
      <c r="AR246" s="50"/>
      <c r="AS246" s="50"/>
      <c r="AT246" s="50"/>
    </row>
    <row r="247" spans="1:80" ht="20.399999999999999" x14ac:dyDescent="0.25">
      <c r="A247" s="128" t="s">
        <v>1175</v>
      </c>
      <c r="B247" s="128" t="s">
        <v>7343</v>
      </c>
      <c r="C247" s="136"/>
      <c r="D247" s="136"/>
      <c r="E247" s="136"/>
      <c r="F247" s="136"/>
      <c r="G247" s="133">
        <v>2</v>
      </c>
      <c r="H247" s="133"/>
      <c r="I247" s="133"/>
      <c r="J247" s="133" t="s">
        <v>7052</v>
      </c>
      <c r="Z247">
        <f>IF(AND('4 Ope'!C247&gt;Tmin, NOT('4 Ope'!$I247="")),'4 Ope'!$I247,0)</f>
        <v>0</v>
      </c>
      <c r="AA247">
        <f>IF(AND('4 Ope'!C247&gt;Tmin, NOT('4 Ope'!$I247="")),'4 Ope'!$I247,0)</f>
        <v>0</v>
      </c>
      <c r="AB247">
        <f>IF(AND('4 Ope'!D247&gt;Tmin, NOT('4 Ope'!$I247="")),'4 Ope'!$I247,0)</f>
        <v>0</v>
      </c>
      <c r="AC247">
        <f>IF(AND('4 Ope'!E247&gt;Tmin, NOT('4 Ope'!$I247="")),'4 Ope'!$I247,0)</f>
        <v>0</v>
      </c>
      <c r="AD247">
        <f>IF(AND('4 Ope'!F247&gt;Tmin, NOT('4 Ope'!$I247="")),'4 Ope'!$I247,0)</f>
        <v>0</v>
      </c>
      <c r="AE247">
        <f>IF(AND('4 Ope'!C247&lt;Tmax, NOT('4 Ope'!$H247="")),'4 Ope'!$H247,4)</f>
        <v>4</v>
      </c>
      <c r="AF247">
        <f>IF(AND('4 Ope'!D247&lt;Tmax, NOT('4 Ope'!$H247="")),'4 Ope'!$H247,4)</f>
        <v>4</v>
      </c>
      <c r="AG247">
        <f>IF(AND('4 Ope'!E247&lt;Tmax, NOT('4 Ope'!$H247="")),'4 Ope'!$H247,4)</f>
        <v>4</v>
      </c>
      <c r="AH247">
        <f>IF(AND('4 Ope'!F247&lt;Tmax, NOT('4 Ope'!$H247="")),'4 Ope'!$H247,4)</f>
        <v>4</v>
      </c>
      <c r="AI247"/>
      <c r="AR247" s="50"/>
      <c r="AS247" s="50"/>
      <c r="AT247" s="50"/>
    </row>
    <row r="248" spans="1:80" ht="20.399999999999999" x14ac:dyDescent="0.25">
      <c r="A248" s="128" t="s">
        <v>1176</v>
      </c>
      <c r="B248" s="128" t="s">
        <v>7344</v>
      </c>
      <c r="C248" s="136"/>
      <c r="D248" s="136"/>
      <c r="E248" s="136"/>
      <c r="F248" s="136"/>
      <c r="G248" s="133">
        <v>2</v>
      </c>
      <c r="H248" s="133"/>
      <c r="I248" s="133"/>
      <c r="J248" s="133" t="s">
        <v>7052</v>
      </c>
      <c r="Z248">
        <f>IF(AND('4 Ope'!C248&gt;Tmin, NOT('4 Ope'!$I248="")),'4 Ope'!$I248,0)</f>
        <v>0</v>
      </c>
      <c r="AA248">
        <f>IF(AND('4 Ope'!C248&gt;Tmin, NOT('4 Ope'!$I248="")),'4 Ope'!$I248,0)</f>
        <v>0</v>
      </c>
      <c r="AB248">
        <f>IF(AND('4 Ope'!D248&gt;Tmin, NOT('4 Ope'!$I248="")),'4 Ope'!$I248,0)</f>
        <v>0</v>
      </c>
      <c r="AC248">
        <f>IF(AND('4 Ope'!E248&gt;Tmin, NOT('4 Ope'!$I248="")),'4 Ope'!$I248,0)</f>
        <v>0</v>
      </c>
      <c r="AD248">
        <f>IF(AND('4 Ope'!F248&gt;Tmin, NOT('4 Ope'!$I248="")),'4 Ope'!$I248,0)</f>
        <v>0</v>
      </c>
      <c r="AE248">
        <f>IF(AND('4 Ope'!C248&lt;Tmax, NOT('4 Ope'!$H248="")),'4 Ope'!$H248,4)</f>
        <v>4</v>
      </c>
      <c r="AF248">
        <f>IF(AND('4 Ope'!D248&lt;Tmax, NOT('4 Ope'!$H248="")),'4 Ope'!$H248,4)</f>
        <v>4</v>
      </c>
      <c r="AG248">
        <f>IF(AND('4 Ope'!E248&lt;Tmax, NOT('4 Ope'!$H248="")),'4 Ope'!$H248,4)</f>
        <v>4</v>
      </c>
      <c r="AH248">
        <f>IF(AND('4 Ope'!F248&lt;Tmax, NOT('4 Ope'!$H248="")),'4 Ope'!$H248,4)</f>
        <v>4</v>
      </c>
      <c r="AI248"/>
      <c r="AR248" s="50"/>
      <c r="AS248" s="50"/>
      <c r="AT248" s="50"/>
    </row>
    <row r="249" spans="1:80" ht="20.399999999999999" x14ac:dyDescent="0.25">
      <c r="A249" s="128" t="s">
        <v>1177</v>
      </c>
      <c r="B249" s="128" t="s">
        <v>7345</v>
      </c>
      <c r="C249" s="136"/>
      <c r="D249" s="136"/>
      <c r="E249" s="136"/>
      <c r="F249" s="136"/>
      <c r="G249" s="133">
        <v>2</v>
      </c>
      <c r="H249" s="133"/>
      <c r="I249" s="133"/>
      <c r="J249" s="133" t="s">
        <v>7016</v>
      </c>
      <c r="Z249">
        <f>IF(AND('4 Ope'!C249&gt;Tmin, NOT('4 Ope'!$I249="")),'4 Ope'!$I249,0)</f>
        <v>0</v>
      </c>
      <c r="AA249">
        <f>IF(AND('4 Ope'!C249&gt;Tmin, NOT('4 Ope'!$I249="")),'4 Ope'!$I249,0)</f>
        <v>0</v>
      </c>
      <c r="AB249">
        <f>IF(AND('4 Ope'!D249&gt;Tmin, NOT('4 Ope'!$I249="")),'4 Ope'!$I249,0)</f>
        <v>0</v>
      </c>
      <c r="AC249">
        <f>IF(AND('4 Ope'!E249&gt;Tmin, NOT('4 Ope'!$I249="")),'4 Ope'!$I249,0)</f>
        <v>0</v>
      </c>
      <c r="AD249">
        <f>IF(AND('4 Ope'!F249&gt;Tmin, NOT('4 Ope'!$I249="")),'4 Ope'!$I249,0)</f>
        <v>0</v>
      </c>
      <c r="AE249">
        <f>IF(AND('4 Ope'!C249&lt;Tmax, NOT('4 Ope'!$H249="")),'4 Ope'!$H249,4)</f>
        <v>4</v>
      </c>
      <c r="AF249">
        <f>IF(AND('4 Ope'!D249&lt;Tmax, NOT('4 Ope'!$H249="")),'4 Ope'!$H249,4)</f>
        <v>4</v>
      </c>
      <c r="AG249">
        <f>IF(AND('4 Ope'!E249&lt;Tmax, NOT('4 Ope'!$H249="")),'4 Ope'!$H249,4)</f>
        <v>4</v>
      </c>
      <c r="AH249">
        <f>IF(AND('4 Ope'!F249&lt;Tmax, NOT('4 Ope'!$H249="")),'4 Ope'!$H249,4)</f>
        <v>4</v>
      </c>
      <c r="AI249"/>
      <c r="AR249" s="50"/>
      <c r="AS249" s="50"/>
      <c r="AT249" s="50"/>
    </row>
    <row r="250" spans="1:80" ht="20.399999999999999" x14ac:dyDescent="0.25">
      <c r="A250" s="128" t="s">
        <v>1178</v>
      </c>
      <c r="B250" s="128" t="s">
        <v>7346</v>
      </c>
      <c r="C250" s="136"/>
      <c r="D250" s="136"/>
      <c r="E250" s="136"/>
      <c r="F250" s="136"/>
      <c r="G250" s="133">
        <v>2</v>
      </c>
      <c r="H250" s="133"/>
      <c r="I250" s="133"/>
      <c r="J250" s="133" t="s">
        <v>7016</v>
      </c>
      <c r="Z250">
        <f>IF(AND('4 Ope'!C250&gt;Tmin, NOT('4 Ope'!$I250="")),'4 Ope'!$I250,0)</f>
        <v>0</v>
      </c>
      <c r="AA250">
        <f>IF(AND('4 Ope'!C250&gt;Tmin, NOT('4 Ope'!$I250="")),'4 Ope'!$I250,0)</f>
        <v>0</v>
      </c>
      <c r="AB250">
        <f>IF(AND('4 Ope'!D250&gt;Tmin, NOT('4 Ope'!$I250="")),'4 Ope'!$I250,0)</f>
        <v>0</v>
      </c>
      <c r="AC250">
        <f>IF(AND('4 Ope'!E250&gt;Tmin, NOT('4 Ope'!$I250="")),'4 Ope'!$I250,0)</f>
        <v>0</v>
      </c>
      <c r="AD250">
        <f>IF(AND('4 Ope'!F250&gt;Tmin, NOT('4 Ope'!$I250="")),'4 Ope'!$I250,0)</f>
        <v>0</v>
      </c>
      <c r="AE250">
        <f>IF(AND('4 Ope'!C250&lt;Tmax, NOT('4 Ope'!$H250="")),'4 Ope'!$H250,4)</f>
        <v>4</v>
      </c>
      <c r="AF250">
        <f>IF(AND('4 Ope'!D250&lt;Tmax, NOT('4 Ope'!$H250="")),'4 Ope'!$H250,4)</f>
        <v>4</v>
      </c>
      <c r="AG250">
        <f>IF(AND('4 Ope'!E250&lt;Tmax, NOT('4 Ope'!$H250="")),'4 Ope'!$H250,4)</f>
        <v>4</v>
      </c>
      <c r="AH250">
        <f>IF(AND('4 Ope'!F250&lt;Tmax, NOT('4 Ope'!$H250="")),'4 Ope'!$H250,4)</f>
        <v>4</v>
      </c>
      <c r="AI250"/>
      <c r="AR250" s="50"/>
      <c r="AS250" s="50"/>
      <c r="AT250" s="50"/>
    </row>
    <row r="251" spans="1:80" x14ac:dyDescent="0.25">
      <c r="A251" s="128" t="s">
        <v>7347</v>
      </c>
      <c r="B251" s="128" t="s">
        <v>7348</v>
      </c>
      <c r="C251" s="136"/>
      <c r="D251" s="136"/>
      <c r="E251" s="136"/>
      <c r="F251" s="136"/>
      <c r="G251" s="133">
        <v>2</v>
      </c>
      <c r="H251" s="133"/>
      <c r="I251" s="133"/>
      <c r="J251" s="133" t="s">
        <v>7018</v>
      </c>
      <c r="Z251">
        <f>IF(AND('4 Ope'!C251&gt;Tmin, NOT('4 Ope'!$I251="")),'4 Ope'!$I251,0)</f>
        <v>0</v>
      </c>
      <c r="AA251">
        <f>IF(AND('4 Ope'!C251&gt;Tmin, NOT('4 Ope'!$I251="")),'4 Ope'!$I251,0)</f>
        <v>0</v>
      </c>
      <c r="AB251">
        <f>IF(AND('4 Ope'!D251&gt;Tmin, NOT('4 Ope'!$I251="")),'4 Ope'!$I251,0)</f>
        <v>0</v>
      </c>
      <c r="AC251">
        <f>IF(AND('4 Ope'!E251&gt;Tmin, NOT('4 Ope'!$I251="")),'4 Ope'!$I251,0)</f>
        <v>0</v>
      </c>
      <c r="AD251">
        <f>IF(AND('4 Ope'!F251&gt;Tmin, NOT('4 Ope'!$I251="")),'4 Ope'!$I251,0)</f>
        <v>0</v>
      </c>
      <c r="AE251">
        <f>IF(AND('4 Ope'!C251&lt;Tmax, NOT('4 Ope'!$H251="")),'4 Ope'!$H251,4)</f>
        <v>4</v>
      </c>
      <c r="AF251">
        <f>IF(AND('4 Ope'!D251&lt;Tmax, NOT('4 Ope'!$H251="")),'4 Ope'!$H251,4)</f>
        <v>4</v>
      </c>
      <c r="AG251">
        <f>IF(AND('4 Ope'!E251&lt;Tmax, NOT('4 Ope'!$H251="")),'4 Ope'!$H251,4)</f>
        <v>4</v>
      </c>
      <c r="AH251">
        <f>IF(AND('4 Ope'!F251&lt;Tmax, NOT('4 Ope'!$H251="")),'4 Ope'!$H251,4)</f>
        <v>4</v>
      </c>
      <c r="AI251"/>
      <c r="AR251" s="50"/>
      <c r="AS251" s="50"/>
      <c r="AT251" s="50"/>
    </row>
    <row r="252" spans="1:80" x14ac:dyDescent="0.25">
      <c r="A252" s="128" t="s">
        <v>7349</v>
      </c>
      <c r="B252" s="128" t="s">
        <v>7350</v>
      </c>
      <c r="C252" s="136"/>
      <c r="D252" s="136"/>
      <c r="E252" s="136"/>
      <c r="F252" s="136"/>
      <c r="G252" s="133">
        <v>2</v>
      </c>
      <c r="H252" s="133"/>
      <c r="I252" s="133"/>
      <c r="J252" s="133" t="s">
        <v>7018</v>
      </c>
      <c r="Z252">
        <f>IF(AND('4 Ope'!C252&gt;Tmin, NOT('4 Ope'!$I252="")),'4 Ope'!$I252,0)</f>
        <v>0</v>
      </c>
      <c r="AA252">
        <f>IF(AND('4 Ope'!C252&gt;Tmin, NOT('4 Ope'!$I252="")),'4 Ope'!$I252,0)</f>
        <v>0</v>
      </c>
      <c r="AB252">
        <f>IF(AND('4 Ope'!D252&gt;Tmin, NOT('4 Ope'!$I252="")),'4 Ope'!$I252,0)</f>
        <v>0</v>
      </c>
      <c r="AC252">
        <f>IF(AND('4 Ope'!E252&gt;Tmin, NOT('4 Ope'!$I252="")),'4 Ope'!$I252,0)</f>
        <v>0</v>
      </c>
      <c r="AD252">
        <f>IF(AND('4 Ope'!F252&gt;Tmin, NOT('4 Ope'!$I252="")),'4 Ope'!$I252,0)</f>
        <v>0</v>
      </c>
      <c r="AE252">
        <f>IF(AND('4 Ope'!C252&lt;Tmax, NOT('4 Ope'!$H252="")),'4 Ope'!$H252,4)</f>
        <v>4</v>
      </c>
      <c r="AF252">
        <f>IF(AND('4 Ope'!D252&lt;Tmax, NOT('4 Ope'!$H252="")),'4 Ope'!$H252,4)</f>
        <v>4</v>
      </c>
      <c r="AG252">
        <f>IF(AND('4 Ope'!E252&lt;Tmax, NOT('4 Ope'!$H252="")),'4 Ope'!$H252,4)</f>
        <v>4</v>
      </c>
      <c r="AH252">
        <f>IF(AND('4 Ope'!F252&lt;Tmax, NOT('4 Ope'!$H252="")),'4 Ope'!$H252,4)</f>
        <v>4</v>
      </c>
      <c r="AI252"/>
      <c r="AR252" s="50"/>
      <c r="AS252" s="50"/>
      <c r="AT252" s="50"/>
    </row>
    <row r="253" spans="1:80" s="228" customFormat="1" ht="20.399999999999999" x14ac:dyDescent="0.25">
      <c r="A253" s="128" t="s">
        <v>7351</v>
      </c>
      <c r="B253" s="128" t="s">
        <v>7352</v>
      </c>
      <c r="C253" s="136"/>
      <c r="D253" s="136"/>
      <c r="E253" s="136"/>
      <c r="F253" s="136"/>
      <c r="G253" s="133">
        <v>2</v>
      </c>
      <c r="H253" s="133"/>
      <c r="I253" s="133"/>
      <c r="J253" s="133" t="s">
        <v>7018</v>
      </c>
      <c r="K253" s="229"/>
      <c r="L253" s="229"/>
      <c r="M253" s="229"/>
      <c r="N253" s="229"/>
      <c r="O253" s="229"/>
      <c r="P253" s="229"/>
      <c r="Q253" s="229"/>
      <c r="R253" s="229"/>
      <c r="S253" s="229"/>
      <c r="T253" s="229"/>
      <c r="U253" s="229"/>
      <c r="V253" s="229"/>
      <c r="W253" s="229"/>
      <c r="X253" s="229"/>
      <c r="Y253" s="229"/>
      <c r="Z253">
        <f>IF(AND('4 Ope'!C253&gt;Tmin, NOT('4 Ope'!$I253="")),'4 Ope'!$I253,0)</f>
        <v>0</v>
      </c>
      <c r="AA253">
        <f>IF(AND('4 Ope'!C253&gt;Tmin, NOT('4 Ope'!$I253="")),'4 Ope'!$I253,0)</f>
        <v>0</v>
      </c>
      <c r="AB253">
        <f>IF(AND('4 Ope'!D253&gt;Tmin, NOT('4 Ope'!$I253="")),'4 Ope'!$I253,0)</f>
        <v>0</v>
      </c>
      <c r="AC253">
        <f>IF(AND('4 Ope'!E253&gt;Tmin, NOT('4 Ope'!$I253="")),'4 Ope'!$I253,0)</f>
        <v>0</v>
      </c>
      <c r="AD253">
        <f>IF(AND('4 Ope'!F253&gt;Tmin, NOT('4 Ope'!$I253="")),'4 Ope'!$I253,0)</f>
        <v>0</v>
      </c>
      <c r="AE253">
        <f>IF(AND('4 Ope'!C253&lt;Tmax, NOT('4 Ope'!$H253="")),'4 Ope'!$H253,4)</f>
        <v>4</v>
      </c>
      <c r="AF253">
        <f>IF(AND('4 Ope'!D253&lt;Tmax, NOT('4 Ope'!$H253="")),'4 Ope'!$H253,4)</f>
        <v>4</v>
      </c>
      <c r="AG253">
        <f>IF(AND('4 Ope'!E253&lt;Tmax, NOT('4 Ope'!$H253="")),'4 Ope'!$H253,4)</f>
        <v>4</v>
      </c>
      <c r="AH253">
        <f>IF(AND('4 Ope'!F253&lt;Tmax, NOT('4 Ope'!$H253="")),'4 Ope'!$H253,4)</f>
        <v>4</v>
      </c>
      <c r="AI253"/>
      <c r="AJ253" s="229"/>
      <c r="AK253" s="229"/>
      <c r="AL253" s="229"/>
      <c r="AM253" s="229"/>
      <c r="AN253" s="229"/>
      <c r="AO253" s="229"/>
      <c r="AP253" s="229"/>
      <c r="AQ253" s="229"/>
      <c r="AR253" s="229"/>
      <c r="AS253" s="229"/>
      <c r="AT253" s="229"/>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row>
    <row r="254" spans="1:80" s="228" customFormat="1" ht="20.399999999999999" x14ac:dyDescent="0.25">
      <c r="A254" s="128" t="s">
        <v>7353</v>
      </c>
      <c r="B254" s="128" t="s">
        <v>7354</v>
      </c>
      <c r="C254" s="136"/>
      <c r="D254" s="136"/>
      <c r="E254" s="136"/>
      <c r="F254" s="136"/>
      <c r="G254" s="133">
        <v>2</v>
      </c>
      <c r="H254" s="133"/>
      <c r="I254" s="133"/>
      <c r="J254" s="133" t="s">
        <v>7020</v>
      </c>
      <c r="K254" s="229"/>
      <c r="L254" s="229"/>
      <c r="M254" s="229"/>
      <c r="N254" s="229"/>
      <c r="O254" s="229"/>
      <c r="P254" s="229"/>
      <c r="Q254" s="229"/>
      <c r="R254" s="229"/>
      <c r="S254" s="229"/>
      <c r="T254" s="229"/>
      <c r="U254" s="229"/>
      <c r="V254" s="229"/>
      <c r="W254" s="229"/>
      <c r="X254" s="229"/>
      <c r="Y254" s="229"/>
      <c r="Z254">
        <f>IF(AND('4 Ope'!C254&gt;Tmin, NOT('4 Ope'!$I254="")),'4 Ope'!$I254,0)</f>
        <v>0</v>
      </c>
      <c r="AA254">
        <f>IF(AND('4 Ope'!C254&gt;Tmin, NOT('4 Ope'!$I254="")),'4 Ope'!$I254,0)</f>
        <v>0</v>
      </c>
      <c r="AB254">
        <f>IF(AND('4 Ope'!D254&gt;Tmin, NOT('4 Ope'!$I254="")),'4 Ope'!$I254,0)</f>
        <v>0</v>
      </c>
      <c r="AC254">
        <f>IF(AND('4 Ope'!E254&gt;Tmin, NOT('4 Ope'!$I254="")),'4 Ope'!$I254,0)</f>
        <v>0</v>
      </c>
      <c r="AD254">
        <f>IF(AND('4 Ope'!F254&gt;Tmin, NOT('4 Ope'!$I254="")),'4 Ope'!$I254,0)</f>
        <v>0</v>
      </c>
      <c r="AE254">
        <f>IF(AND('4 Ope'!C254&lt;Tmax, NOT('4 Ope'!$H254="")),'4 Ope'!$H254,4)</f>
        <v>4</v>
      </c>
      <c r="AF254">
        <f>IF(AND('4 Ope'!D254&lt;Tmax, NOT('4 Ope'!$H254="")),'4 Ope'!$H254,4)</f>
        <v>4</v>
      </c>
      <c r="AG254">
        <f>IF(AND('4 Ope'!E254&lt;Tmax, NOT('4 Ope'!$H254="")),'4 Ope'!$H254,4)</f>
        <v>4</v>
      </c>
      <c r="AH254">
        <f>IF(AND('4 Ope'!F254&lt;Tmax, NOT('4 Ope'!$H254="")),'4 Ope'!$H254,4)</f>
        <v>4</v>
      </c>
      <c r="AI254"/>
      <c r="AJ254" s="229"/>
      <c r="AK254" s="229"/>
      <c r="AL254" s="229"/>
      <c r="AM254" s="229"/>
      <c r="AN254" s="229"/>
      <c r="AO254" s="229"/>
      <c r="AP254" s="229"/>
      <c r="AQ254" s="229"/>
      <c r="AR254" s="229"/>
      <c r="AS254" s="229"/>
      <c r="AT254" s="229"/>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row>
    <row r="255" spans="1:80" s="228" customFormat="1" ht="20.399999999999999" x14ac:dyDescent="0.25">
      <c r="A255" s="128" t="s">
        <v>7355</v>
      </c>
      <c r="B255" s="128" t="s">
        <v>7356</v>
      </c>
      <c r="C255" s="136"/>
      <c r="D255" s="136"/>
      <c r="E255" s="136"/>
      <c r="F255" s="136"/>
      <c r="G255" s="133">
        <v>2</v>
      </c>
      <c r="H255" s="133"/>
      <c r="I255" s="133"/>
      <c r="J255" s="133" t="s">
        <v>7020</v>
      </c>
      <c r="K255" s="229"/>
      <c r="L255" s="229"/>
      <c r="M255" s="229"/>
      <c r="N255" s="229"/>
      <c r="O255" s="229"/>
      <c r="P255" s="229"/>
      <c r="Q255" s="229"/>
      <c r="R255" s="229"/>
      <c r="S255" s="229"/>
      <c r="T255" s="229"/>
      <c r="U255" s="229"/>
      <c r="V255" s="229"/>
      <c r="W255" s="229"/>
      <c r="X255" s="229"/>
      <c r="Y255" s="229"/>
      <c r="Z255">
        <f>IF(AND('4 Ope'!C255&gt;Tmin, NOT('4 Ope'!$I255="")),'4 Ope'!$I255,0)</f>
        <v>0</v>
      </c>
      <c r="AA255">
        <f>IF(AND('4 Ope'!C255&gt;Tmin, NOT('4 Ope'!$I255="")),'4 Ope'!$I255,0)</f>
        <v>0</v>
      </c>
      <c r="AB255">
        <f>IF(AND('4 Ope'!D255&gt;Tmin, NOT('4 Ope'!$I255="")),'4 Ope'!$I255,0)</f>
        <v>0</v>
      </c>
      <c r="AC255">
        <f>IF(AND('4 Ope'!E255&gt;Tmin, NOT('4 Ope'!$I255="")),'4 Ope'!$I255,0)</f>
        <v>0</v>
      </c>
      <c r="AD255">
        <f>IF(AND('4 Ope'!F255&gt;Tmin, NOT('4 Ope'!$I255="")),'4 Ope'!$I255,0)</f>
        <v>0</v>
      </c>
      <c r="AE255">
        <f>IF(AND('4 Ope'!C255&lt;Tmax, NOT('4 Ope'!$H255="")),'4 Ope'!$H255,4)</f>
        <v>4</v>
      </c>
      <c r="AF255">
        <f>IF(AND('4 Ope'!D255&lt;Tmax, NOT('4 Ope'!$H255="")),'4 Ope'!$H255,4)</f>
        <v>4</v>
      </c>
      <c r="AG255">
        <f>IF(AND('4 Ope'!E255&lt;Tmax, NOT('4 Ope'!$H255="")),'4 Ope'!$H255,4)</f>
        <v>4</v>
      </c>
      <c r="AH255">
        <f>IF(AND('4 Ope'!F255&lt;Tmax, NOT('4 Ope'!$H255="")),'4 Ope'!$H255,4)</f>
        <v>4</v>
      </c>
      <c r="AI255"/>
      <c r="AJ255" s="229"/>
      <c r="AK255" s="229"/>
      <c r="AL255" s="229"/>
      <c r="AM255" s="229"/>
      <c r="AN255" s="229"/>
      <c r="AO255" s="229"/>
      <c r="AP255" s="229"/>
      <c r="AQ255" s="229"/>
      <c r="AR255" s="229"/>
      <c r="AS255" s="229"/>
      <c r="AT255" s="229"/>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row>
    <row r="256" spans="1:80" s="228" customFormat="1" ht="20.399999999999999" x14ac:dyDescent="0.25">
      <c r="A256" s="128" t="s">
        <v>7357</v>
      </c>
      <c r="B256" s="128" t="s">
        <v>7434</v>
      </c>
      <c r="C256" s="136"/>
      <c r="D256" s="136"/>
      <c r="E256" s="136"/>
      <c r="F256" s="136"/>
      <c r="G256" s="133">
        <v>2</v>
      </c>
      <c r="H256" s="133"/>
      <c r="I256" s="133"/>
      <c r="J256" s="133" t="s">
        <v>7022</v>
      </c>
      <c r="K256" s="229"/>
      <c r="L256" s="229"/>
      <c r="M256" s="229"/>
      <c r="N256" s="229"/>
      <c r="O256" s="229"/>
      <c r="P256" s="229"/>
      <c r="Q256" s="229"/>
      <c r="R256" s="229"/>
      <c r="S256" s="229"/>
      <c r="T256" s="229"/>
      <c r="U256" s="229"/>
      <c r="V256" s="229"/>
      <c r="W256" s="229"/>
      <c r="X256" s="229"/>
      <c r="Y256" s="229"/>
      <c r="Z256">
        <f>IF(AND('4 Ope'!C256&gt;Tmin, NOT('4 Ope'!$I256="")),'4 Ope'!$I256,0)</f>
        <v>0</v>
      </c>
      <c r="AA256">
        <f>IF(AND('4 Ope'!C256&gt;Tmin, NOT('4 Ope'!$I256="")),'4 Ope'!$I256,0)</f>
        <v>0</v>
      </c>
      <c r="AB256">
        <f>IF(AND('4 Ope'!D256&gt;Tmin, NOT('4 Ope'!$I256="")),'4 Ope'!$I256,0)</f>
        <v>0</v>
      </c>
      <c r="AC256">
        <f>IF(AND('4 Ope'!E256&gt;Tmin, NOT('4 Ope'!$I256="")),'4 Ope'!$I256,0)</f>
        <v>0</v>
      </c>
      <c r="AD256">
        <f>IF(AND('4 Ope'!F256&gt;Tmin, NOT('4 Ope'!$I256="")),'4 Ope'!$I256,0)</f>
        <v>0</v>
      </c>
      <c r="AE256">
        <f>IF(AND('4 Ope'!C256&lt;Tmax, NOT('4 Ope'!$H256="")),'4 Ope'!$H256,4)</f>
        <v>4</v>
      </c>
      <c r="AF256">
        <f>IF(AND('4 Ope'!D256&lt;Tmax, NOT('4 Ope'!$H256="")),'4 Ope'!$H256,4)</f>
        <v>4</v>
      </c>
      <c r="AG256">
        <f>IF(AND('4 Ope'!E256&lt;Tmax, NOT('4 Ope'!$H256="")),'4 Ope'!$H256,4)</f>
        <v>4</v>
      </c>
      <c r="AH256">
        <f>IF(AND('4 Ope'!F256&lt;Tmax, NOT('4 Ope'!$H256="")),'4 Ope'!$H256,4)</f>
        <v>4</v>
      </c>
      <c r="AI256"/>
      <c r="AJ256" s="229"/>
      <c r="AK256" s="229"/>
      <c r="AL256" s="229"/>
      <c r="AM256" s="229"/>
      <c r="AN256" s="229"/>
      <c r="AO256" s="229"/>
      <c r="AP256" s="229"/>
      <c r="AQ256" s="229"/>
      <c r="AR256" s="229"/>
      <c r="AS256" s="229"/>
      <c r="AT256" s="229"/>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row>
    <row r="257" spans="1:80" s="228" customFormat="1" ht="20.399999999999999" x14ac:dyDescent="0.25">
      <c r="A257" s="128" t="s">
        <v>7358</v>
      </c>
      <c r="B257" s="128" t="s">
        <v>7359</v>
      </c>
      <c r="C257" s="136"/>
      <c r="D257" s="136"/>
      <c r="E257" s="136"/>
      <c r="F257" s="136"/>
      <c r="G257" s="133">
        <v>2</v>
      </c>
      <c r="H257" s="133"/>
      <c r="I257" s="133"/>
      <c r="J257" s="133" t="s">
        <v>7022</v>
      </c>
      <c r="K257" s="229"/>
      <c r="L257" s="229"/>
      <c r="M257" s="229"/>
      <c r="N257" s="229"/>
      <c r="O257" s="229"/>
      <c r="P257" s="229"/>
      <c r="Q257" s="229"/>
      <c r="R257" s="229"/>
      <c r="S257" s="229"/>
      <c r="T257" s="229"/>
      <c r="U257" s="229"/>
      <c r="V257" s="229"/>
      <c r="W257" s="229"/>
      <c r="X257" s="229"/>
      <c r="Y257" s="229"/>
      <c r="Z257">
        <f>IF(AND('4 Ope'!C257&gt;Tmin, NOT('4 Ope'!$I257="")),'4 Ope'!$I257,0)</f>
        <v>0</v>
      </c>
      <c r="AA257">
        <f>IF(AND('4 Ope'!C257&gt;Tmin, NOT('4 Ope'!$I257="")),'4 Ope'!$I257,0)</f>
        <v>0</v>
      </c>
      <c r="AB257">
        <f>IF(AND('4 Ope'!D257&gt;Tmin, NOT('4 Ope'!$I257="")),'4 Ope'!$I257,0)</f>
        <v>0</v>
      </c>
      <c r="AC257">
        <f>IF(AND('4 Ope'!E257&gt;Tmin, NOT('4 Ope'!$I257="")),'4 Ope'!$I257,0)</f>
        <v>0</v>
      </c>
      <c r="AD257">
        <f>IF(AND('4 Ope'!F257&gt;Tmin, NOT('4 Ope'!$I257="")),'4 Ope'!$I257,0)</f>
        <v>0</v>
      </c>
      <c r="AE257">
        <f>IF(AND('4 Ope'!C257&lt;Tmax, NOT('4 Ope'!$H257="")),'4 Ope'!$H257,4)</f>
        <v>4</v>
      </c>
      <c r="AF257">
        <f>IF(AND('4 Ope'!D257&lt;Tmax, NOT('4 Ope'!$H257="")),'4 Ope'!$H257,4)</f>
        <v>4</v>
      </c>
      <c r="AG257">
        <f>IF(AND('4 Ope'!E257&lt;Tmax, NOT('4 Ope'!$H257="")),'4 Ope'!$H257,4)</f>
        <v>4</v>
      </c>
      <c r="AH257">
        <f>IF(AND('4 Ope'!F257&lt;Tmax, NOT('4 Ope'!$H257="")),'4 Ope'!$H257,4)</f>
        <v>4</v>
      </c>
      <c r="AI257"/>
      <c r="AJ257" s="229"/>
      <c r="AK257" s="229"/>
      <c r="AL257" s="229"/>
      <c r="AM257" s="229"/>
      <c r="AN257" s="229"/>
      <c r="AO257" s="229"/>
      <c r="AP257" s="229"/>
      <c r="AQ257" s="229"/>
      <c r="AR257" s="229"/>
      <c r="AS257" s="229"/>
      <c r="AT257" s="229"/>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row>
    <row r="258" spans="1:80" s="228" customFormat="1" x14ac:dyDescent="0.25">
      <c r="A258" s="128" t="s">
        <v>7360</v>
      </c>
      <c r="B258" s="128" t="s">
        <v>7361</v>
      </c>
      <c r="C258" s="136"/>
      <c r="D258" s="136"/>
      <c r="E258" s="136"/>
      <c r="F258" s="136"/>
      <c r="G258" s="133">
        <v>2</v>
      </c>
      <c r="H258" s="133"/>
      <c r="I258" s="133"/>
      <c r="J258" s="133" t="s">
        <v>7022</v>
      </c>
      <c r="K258" s="229"/>
      <c r="L258" s="229"/>
      <c r="M258" s="229"/>
      <c r="N258" s="229"/>
      <c r="O258" s="229"/>
      <c r="P258" s="229"/>
      <c r="Q258" s="229"/>
      <c r="R258" s="229"/>
      <c r="S258" s="229"/>
      <c r="T258" s="229"/>
      <c r="U258" s="229"/>
      <c r="V258" s="229"/>
      <c r="W258" s="229"/>
      <c r="X258" s="229"/>
      <c r="Y258" s="229"/>
      <c r="Z258">
        <f>IF(AND('4 Ope'!C258&gt;Tmin, NOT('4 Ope'!$I258="")),'4 Ope'!$I258,0)</f>
        <v>0</v>
      </c>
      <c r="AA258">
        <f>IF(AND('4 Ope'!C258&gt;Tmin, NOT('4 Ope'!$I258="")),'4 Ope'!$I258,0)</f>
        <v>0</v>
      </c>
      <c r="AB258">
        <f>IF(AND('4 Ope'!D258&gt;Tmin, NOT('4 Ope'!$I258="")),'4 Ope'!$I258,0)</f>
        <v>0</v>
      </c>
      <c r="AC258">
        <f>IF(AND('4 Ope'!E258&gt;Tmin, NOT('4 Ope'!$I258="")),'4 Ope'!$I258,0)</f>
        <v>0</v>
      </c>
      <c r="AD258">
        <f>IF(AND('4 Ope'!F258&gt;Tmin, NOT('4 Ope'!$I258="")),'4 Ope'!$I258,0)</f>
        <v>0</v>
      </c>
      <c r="AE258">
        <f>IF(AND('4 Ope'!C258&lt;Tmax, NOT('4 Ope'!$H258="")),'4 Ope'!$H258,4)</f>
        <v>4</v>
      </c>
      <c r="AF258">
        <f>IF(AND('4 Ope'!D258&lt;Tmax, NOT('4 Ope'!$H258="")),'4 Ope'!$H258,4)</f>
        <v>4</v>
      </c>
      <c r="AG258">
        <f>IF(AND('4 Ope'!E258&lt;Tmax, NOT('4 Ope'!$H258="")),'4 Ope'!$H258,4)</f>
        <v>4</v>
      </c>
      <c r="AH258">
        <f>IF(AND('4 Ope'!F258&lt;Tmax, NOT('4 Ope'!$H258="")),'4 Ope'!$H258,4)</f>
        <v>4</v>
      </c>
      <c r="AI258"/>
      <c r="AJ258" s="229"/>
      <c r="AK258" s="229"/>
      <c r="AL258" s="229"/>
      <c r="AM258" s="229"/>
      <c r="AN258" s="229"/>
      <c r="AO258" s="229"/>
      <c r="AP258" s="229"/>
      <c r="AQ258" s="229"/>
      <c r="AR258" s="229"/>
      <c r="AS258" s="229"/>
      <c r="AT258" s="229"/>
      <c r="AU258" s="50"/>
      <c r="AV258" s="50"/>
      <c r="AW258" s="50"/>
      <c r="AX258" s="50"/>
      <c r="AY258" s="50"/>
      <c r="AZ258" s="50"/>
      <c r="BA258" s="50"/>
      <c r="BB258" s="50"/>
      <c r="BC258" s="50"/>
      <c r="BD258" s="50"/>
      <c r="BE258" s="50"/>
      <c r="BF258" s="50"/>
      <c r="BG258" s="50"/>
      <c r="BH258" s="50"/>
      <c r="BI258" s="50"/>
      <c r="BJ258" s="50"/>
      <c r="BK258" s="50"/>
      <c r="BL258" s="50"/>
      <c r="BM258" s="50"/>
      <c r="BN258" s="50"/>
      <c r="BO258" s="50"/>
      <c r="BP258" s="50"/>
      <c r="BQ258" s="50"/>
      <c r="BR258" s="50"/>
      <c r="BS258" s="50"/>
      <c r="BT258" s="50"/>
      <c r="BU258" s="50"/>
      <c r="BV258" s="50"/>
      <c r="BW258" s="50"/>
      <c r="BX258" s="50"/>
      <c r="BY258" s="50"/>
      <c r="BZ258" s="50"/>
      <c r="CA258" s="50"/>
      <c r="CB258" s="50"/>
    </row>
    <row r="259" spans="1:80" s="228" customFormat="1" x14ac:dyDescent="0.25">
      <c r="A259" s="128" t="s">
        <v>2142</v>
      </c>
      <c r="B259" s="128" t="s">
        <v>2143</v>
      </c>
      <c r="C259" s="136"/>
      <c r="D259" s="136"/>
      <c r="E259" s="136"/>
      <c r="F259" s="136"/>
      <c r="G259" s="133"/>
      <c r="H259" s="133"/>
      <c r="I259" s="133"/>
      <c r="J259" s="133"/>
      <c r="K259" s="229"/>
      <c r="L259" s="229"/>
      <c r="M259" s="229"/>
      <c r="N259" s="229"/>
      <c r="O259" s="229"/>
      <c r="P259" s="229"/>
      <c r="Q259" s="229"/>
      <c r="R259" s="229"/>
      <c r="S259" s="229"/>
      <c r="T259" s="229"/>
      <c r="U259" s="229"/>
      <c r="V259" s="229"/>
      <c r="W259" s="229"/>
      <c r="X259" s="229"/>
      <c r="Y259" s="229"/>
      <c r="Z259"/>
      <c r="AA259"/>
      <c r="AB259"/>
      <c r="AC259"/>
      <c r="AD259"/>
      <c r="AE259"/>
      <c r="AF259"/>
      <c r="AG259"/>
      <c r="AH259"/>
      <c r="AI259"/>
      <c r="AJ259" s="229"/>
      <c r="AK259" s="229"/>
      <c r="AL259" s="229"/>
      <c r="AM259" s="229"/>
      <c r="AN259" s="229"/>
      <c r="AO259" s="229"/>
      <c r="AP259" s="229"/>
      <c r="AQ259" s="229"/>
      <c r="AR259" s="229"/>
      <c r="AS259" s="229"/>
      <c r="AT259" s="229"/>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row>
    <row r="260" spans="1:80" s="228" customFormat="1" x14ac:dyDescent="0.25">
      <c r="A260" s="128" t="s">
        <v>651</v>
      </c>
      <c r="B260" s="128" t="s">
        <v>5</v>
      </c>
      <c r="C260" s="136"/>
      <c r="D260" s="136"/>
      <c r="E260" s="136"/>
      <c r="F260" s="136"/>
      <c r="G260" s="133"/>
      <c r="H260" s="133"/>
      <c r="I260" s="133"/>
      <c r="J260" s="133"/>
      <c r="K260" s="229"/>
      <c r="L260" s="229"/>
      <c r="M260" s="229"/>
      <c r="N260" s="229"/>
      <c r="O260" s="229"/>
      <c r="P260" s="229"/>
      <c r="Q260" s="229"/>
      <c r="R260" s="229"/>
      <c r="S260" s="229"/>
      <c r="T260" s="229"/>
      <c r="U260" s="229"/>
      <c r="V260" s="229"/>
      <c r="W260" s="229"/>
      <c r="X260" s="229"/>
      <c r="Y260" s="229"/>
      <c r="Z260"/>
      <c r="AA260"/>
      <c r="AB260"/>
      <c r="AC260"/>
      <c r="AD260"/>
      <c r="AE260"/>
      <c r="AF260"/>
      <c r="AG260"/>
      <c r="AH260"/>
      <c r="AI260"/>
      <c r="AJ260" s="229"/>
      <c r="AK260" s="229"/>
      <c r="AL260" s="229"/>
      <c r="AM260" s="229"/>
      <c r="AN260" s="229"/>
      <c r="AO260" s="229"/>
      <c r="AP260" s="229"/>
      <c r="AQ260" s="229"/>
      <c r="AR260" s="229"/>
      <c r="AS260" s="229"/>
      <c r="AT260" s="229"/>
      <c r="AU260" s="50"/>
      <c r="AV260" s="50"/>
      <c r="AW260" s="50"/>
      <c r="AX260" s="50"/>
      <c r="AY260" s="50"/>
      <c r="AZ260" s="50"/>
      <c r="BA260" s="50"/>
      <c r="BB260" s="50"/>
      <c r="BC260" s="50"/>
      <c r="BD260" s="50"/>
      <c r="BE260" s="50"/>
      <c r="BF260" s="50"/>
      <c r="BG260" s="50"/>
      <c r="BH260" s="50"/>
      <c r="BI260" s="50"/>
      <c r="BJ260" s="50"/>
      <c r="BK260" s="50"/>
      <c r="BL260" s="50"/>
      <c r="BM260" s="50"/>
      <c r="BN260" s="50"/>
      <c r="BO260" s="50"/>
      <c r="BP260" s="50"/>
      <c r="BQ260" s="50"/>
      <c r="BR260" s="50"/>
      <c r="BS260" s="50"/>
      <c r="BT260" s="50"/>
      <c r="BU260" s="50"/>
      <c r="BV260" s="50"/>
      <c r="BW260" s="50"/>
      <c r="BX260" s="50"/>
      <c r="BY260" s="50"/>
      <c r="BZ260" s="50"/>
      <c r="CA260" s="50"/>
      <c r="CB260" s="50"/>
    </row>
    <row r="261" spans="1:80" s="228" customFormat="1" x14ac:dyDescent="0.25">
      <c r="A261" s="128" t="s">
        <v>1179</v>
      </c>
      <c r="B261" s="128" t="s">
        <v>1180</v>
      </c>
      <c r="C261" s="136"/>
      <c r="D261" s="136"/>
      <c r="E261" s="136"/>
      <c r="F261" s="136"/>
      <c r="G261" s="133">
        <v>4</v>
      </c>
      <c r="H261" s="133"/>
      <c r="I261" s="133"/>
      <c r="J261" s="133"/>
      <c r="K261" s="229"/>
      <c r="L261" s="229"/>
      <c r="M261" s="229"/>
      <c r="N261" s="229"/>
      <c r="O261" s="229"/>
      <c r="P261" s="229"/>
      <c r="Q261" s="229"/>
      <c r="R261" s="229"/>
      <c r="S261" s="229"/>
      <c r="T261" s="229"/>
      <c r="U261" s="229"/>
      <c r="V261" s="229"/>
      <c r="W261" s="229"/>
      <c r="X261" s="229"/>
      <c r="Y261" s="229"/>
      <c r="Z261">
        <f>IF(AND('4 Ope'!C261&gt;Tmin, NOT('4 Ope'!$I261="")),'4 Ope'!$I261,0)</f>
        <v>0</v>
      </c>
      <c r="AA261">
        <f>IF(AND('4 Ope'!C261&gt;Tmin, NOT('4 Ope'!$I261="")),'4 Ope'!$I261,0)</f>
        <v>0</v>
      </c>
      <c r="AB261">
        <f>IF(AND('4 Ope'!D261&gt;Tmin, NOT('4 Ope'!$I261="")),'4 Ope'!$I261,0)</f>
        <v>0</v>
      </c>
      <c r="AC261">
        <f>IF(AND('4 Ope'!E261&gt;Tmin, NOT('4 Ope'!$I261="")),'4 Ope'!$I261,0)</f>
        <v>0</v>
      </c>
      <c r="AD261">
        <f>IF(AND('4 Ope'!F261&gt;Tmin, NOT('4 Ope'!$I261="")),'4 Ope'!$I261,0)</f>
        <v>0</v>
      </c>
      <c r="AE261">
        <f>IF(AND('4 Ope'!C261&lt;Tmax, NOT('4 Ope'!$H261="")),'4 Ope'!$H261,4)</f>
        <v>4</v>
      </c>
      <c r="AF261">
        <f>IF(AND('4 Ope'!D261&lt;Tmax, NOT('4 Ope'!$H261="")),'4 Ope'!$H261,4)</f>
        <v>4</v>
      </c>
      <c r="AG261">
        <f>IF(AND('4 Ope'!E261&lt;Tmax, NOT('4 Ope'!$H261="")),'4 Ope'!$H261,4)</f>
        <v>4</v>
      </c>
      <c r="AH261">
        <f>IF(AND('4 Ope'!F261&lt;Tmax, NOT('4 Ope'!$H261="")),'4 Ope'!$H261,4)</f>
        <v>4</v>
      </c>
      <c r="AI261"/>
      <c r="AJ261" s="229"/>
      <c r="AK261" s="229"/>
      <c r="AL261" s="229"/>
      <c r="AM261" s="229"/>
      <c r="AN261" s="229"/>
      <c r="AO261" s="229"/>
      <c r="AP261" s="229"/>
      <c r="AQ261" s="229"/>
      <c r="AR261" s="229"/>
      <c r="AS261" s="229"/>
      <c r="AT261" s="229"/>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row>
    <row r="262" spans="1:80" s="228" customFormat="1" ht="20.399999999999999" x14ac:dyDescent="0.25">
      <c r="A262" s="128" t="s">
        <v>1181</v>
      </c>
      <c r="B262" s="128" t="s">
        <v>1182</v>
      </c>
      <c r="C262" s="136"/>
      <c r="D262" s="136"/>
      <c r="E262" s="136"/>
      <c r="F262" s="136"/>
      <c r="G262" s="133">
        <v>2</v>
      </c>
      <c r="H262" s="133">
        <v>2</v>
      </c>
      <c r="I262" s="133"/>
      <c r="J262" s="133"/>
      <c r="K262" s="229"/>
      <c r="L262" s="229"/>
      <c r="M262" s="229"/>
      <c r="N262" s="229"/>
      <c r="O262" s="229"/>
      <c r="P262" s="229"/>
      <c r="Q262" s="229"/>
      <c r="R262" s="229"/>
      <c r="S262" s="229"/>
      <c r="T262" s="229"/>
      <c r="U262" s="229"/>
      <c r="V262" s="229"/>
      <c r="W262" s="229"/>
      <c r="X262" s="229"/>
      <c r="Y262" s="229"/>
      <c r="Z262">
        <f>IF(AND('4 Ope'!C262&gt;Tmin, NOT('4 Ope'!$I262="")),'4 Ope'!$I262,0)</f>
        <v>0</v>
      </c>
      <c r="AA262">
        <f>IF(AND('4 Ope'!C262&gt;Tmin, NOT('4 Ope'!$I262="")),'4 Ope'!$I262,0)</f>
        <v>0</v>
      </c>
      <c r="AB262">
        <f>IF(AND('4 Ope'!D262&gt;Tmin, NOT('4 Ope'!$I262="")),'4 Ope'!$I262,0)</f>
        <v>0</v>
      </c>
      <c r="AC262">
        <f>IF(AND('4 Ope'!E262&gt;Tmin, NOT('4 Ope'!$I262="")),'4 Ope'!$I262,0)</f>
        <v>0</v>
      </c>
      <c r="AD262">
        <f>IF(AND('4 Ope'!F262&gt;Tmin, NOT('4 Ope'!$I262="")),'4 Ope'!$I262,0)</f>
        <v>0</v>
      </c>
      <c r="AE262">
        <f>IF(AND('4 Ope'!C262&lt;Tmax, NOT('4 Ope'!$H262="")),'4 Ope'!$H262,4)</f>
        <v>2</v>
      </c>
      <c r="AF262">
        <f>IF(AND('4 Ope'!D262&lt;Tmax, NOT('4 Ope'!$H262="")),'4 Ope'!$H262,4)</f>
        <v>2</v>
      </c>
      <c r="AG262">
        <f>IF(AND('4 Ope'!E262&lt;Tmax, NOT('4 Ope'!$H262="")),'4 Ope'!$H262,4)</f>
        <v>2</v>
      </c>
      <c r="AH262">
        <f>IF(AND('4 Ope'!F262&lt;Tmax, NOT('4 Ope'!$H262="")),'4 Ope'!$H262,4)</f>
        <v>2</v>
      </c>
      <c r="AI262"/>
      <c r="AJ262" s="229"/>
      <c r="AK262" s="229"/>
      <c r="AL262" s="229"/>
      <c r="AM262" s="229"/>
      <c r="AN262" s="229"/>
      <c r="AO262" s="229"/>
      <c r="AP262" s="229"/>
      <c r="AQ262" s="229"/>
      <c r="AR262" s="229"/>
      <c r="AS262" s="229"/>
      <c r="AT262" s="229"/>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row>
    <row r="263" spans="1:80" x14ac:dyDescent="0.25">
      <c r="A263" s="128" t="s">
        <v>1183</v>
      </c>
      <c r="B263" s="128" t="s">
        <v>1184</v>
      </c>
      <c r="C263" s="136"/>
      <c r="D263" s="136"/>
      <c r="E263" s="136"/>
      <c r="F263" s="136"/>
      <c r="G263" s="133">
        <v>2</v>
      </c>
      <c r="H263" s="133"/>
      <c r="I263" s="133"/>
      <c r="J263" s="133"/>
      <c r="K263"/>
      <c r="L263"/>
      <c r="M263"/>
      <c r="Z263">
        <f>IF(AND('4 Ope'!C263&gt;Tmin, NOT('4 Ope'!$I263="")),'4 Ope'!$I263,0)</f>
        <v>0</v>
      </c>
      <c r="AA263">
        <f>IF(AND('4 Ope'!C263&gt;Tmin, NOT('4 Ope'!$I263="")),'4 Ope'!$I263,0)</f>
        <v>0</v>
      </c>
      <c r="AB263">
        <f>IF(AND('4 Ope'!D263&gt;Tmin, NOT('4 Ope'!$I263="")),'4 Ope'!$I263,0)</f>
        <v>0</v>
      </c>
      <c r="AC263">
        <f>IF(AND('4 Ope'!E263&gt;Tmin, NOT('4 Ope'!$I263="")),'4 Ope'!$I263,0)</f>
        <v>0</v>
      </c>
      <c r="AD263">
        <f>IF(AND('4 Ope'!F263&gt;Tmin, NOT('4 Ope'!$I263="")),'4 Ope'!$I263,0)</f>
        <v>0</v>
      </c>
      <c r="AE263">
        <f>IF(AND('4 Ope'!C263&lt;Tmax, NOT('4 Ope'!$H263="")),'4 Ope'!$H263,4)</f>
        <v>4</v>
      </c>
      <c r="AF263">
        <f>IF(AND('4 Ope'!D263&lt;Tmax, NOT('4 Ope'!$H263="")),'4 Ope'!$H263,4)</f>
        <v>4</v>
      </c>
      <c r="AG263">
        <f>IF(AND('4 Ope'!E263&lt;Tmax, NOT('4 Ope'!$H263="")),'4 Ope'!$H263,4)</f>
        <v>4</v>
      </c>
      <c r="AH263">
        <f>IF(AND('4 Ope'!F263&lt;Tmax, NOT('4 Ope'!$H263="")),'4 Ope'!$H263,4)</f>
        <v>4</v>
      </c>
      <c r="AI263"/>
      <c r="AR263" s="50"/>
      <c r="AS263" s="50"/>
      <c r="AT263" s="50"/>
    </row>
    <row r="264" spans="1:80" ht="20.399999999999999" x14ac:dyDescent="0.25">
      <c r="A264" s="128" t="s">
        <v>1185</v>
      </c>
      <c r="B264" s="128" t="s">
        <v>6580</v>
      </c>
      <c r="C264" s="136"/>
      <c r="D264" s="136"/>
      <c r="E264" s="136"/>
      <c r="F264" s="136"/>
      <c r="G264" s="133">
        <v>2</v>
      </c>
      <c r="H264" s="133">
        <v>3</v>
      </c>
      <c r="I264" s="133"/>
      <c r="J264" s="133"/>
      <c r="Z264">
        <f>IF(AND('4 Ope'!C264&gt;Tmin, NOT('4 Ope'!$I264="")),'4 Ope'!$I264,0)</f>
        <v>0</v>
      </c>
      <c r="AA264">
        <f>IF(AND('4 Ope'!C264&gt;Tmin, NOT('4 Ope'!$I264="")),'4 Ope'!$I264,0)</f>
        <v>0</v>
      </c>
      <c r="AB264">
        <f>IF(AND('4 Ope'!D264&gt;Tmin, NOT('4 Ope'!$I264="")),'4 Ope'!$I264,0)</f>
        <v>0</v>
      </c>
      <c r="AC264">
        <f>IF(AND('4 Ope'!E264&gt;Tmin, NOT('4 Ope'!$I264="")),'4 Ope'!$I264,0)</f>
        <v>0</v>
      </c>
      <c r="AD264">
        <f>IF(AND('4 Ope'!F264&gt;Tmin, NOT('4 Ope'!$I264="")),'4 Ope'!$I264,0)</f>
        <v>0</v>
      </c>
      <c r="AE264">
        <f>IF(AND('4 Ope'!C264&lt;Tmax, NOT('4 Ope'!$H264="")),'4 Ope'!$H264,4)</f>
        <v>3</v>
      </c>
      <c r="AF264">
        <f>IF(AND('4 Ope'!D264&lt;Tmax, NOT('4 Ope'!$H264="")),'4 Ope'!$H264,4)</f>
        <v>3</v>
      </c>
      <c r="AG264">
        <f>IF(AND('4 Ope'!E264&lt;Tmax, NOT('4 Ope'!$H264="")),'4 Ope'!$H264,4)</f>
        <v>3</v>
      </c>
      <c r="AH264">
        <f>IF(AND('4 Ope'!F264&lt;Tmax, NOT('4 Ope'!$H264="")),'4 Ope'!$H264,4)</f>
        <v>3</v>
      </c>
      <c r="AI264"/>
      <c r="AR264" s="50"/>
      <c r="AS264" s="50"/>
      <c r="AT264" s="50"/>
    </row>
    <row r="265" spans="1:80" ht="20.399999999999999" x14ac:dyDescent="0.25">
      <c r="A265" s="128" t="s">
        <v>1187</v>
      </c>
      <c r="B265" s="128" t="s">
        <v>6577</v>
      </c>
      <c r="C265" s="136"/>
      <c r="D265" s="136"/>
      <c r="E265" s="136"/>
      <c r="F265" s="136"/>
      <c r="G265" s="133">
        <v>2</v>
      </c>
      <c r="H265" s="133">
        <v>3</v>
      </c>
      <c r="I265" s="133"/>
      <c r="J265" s="133"/>
      <c r="Z265">
        <f>IF(AND('4 Ope'!C265&gt;Tmin, NOT('4 Ope'!$I265="")),'4 Ope'!$I265,0)</f>
        <v>0</v>
      </c>
      <c r="AA265">
        <f>IF(AND('4 Ope'!C265&gt;Tmin, NOT('4 Ope'!$I265="")),'4 Ope'!$I265,0)</f>
        <v>0</v>
      </c>
      <c r="AB265">
        <f>IF(AND('4 Ope'!D265&gt;Tmin, NOT('4 Ope'!$I265="")),'4 Ope'!$I265,0)</f>
        <v>0</v>
      </c>
      <c r="AC265">
        <f>IF(AND('4 Ope'!E265&gt;Tmin, NOT('4 Ope'!$I265="")),'4 Ope'!$I265,0)</f>
        <v>0</v>
      </c>
      <c r="AD265">
        <f>IF(AND('4 Ope'!F265&gt;Tmin, NOT('4 Ope'!$I265="")),'4 Ope'!$I265,0)</f>
        <v>0</v>
      </c>
      <c r="AE265">
        <f>IF(AND('4 Ope'!C265&lt;Tmax, NOT('4 Ope'!$H265="")),'4 Ope'!$H265,4)</f>
        <v>3</v>
      </c>
      <c r="AF265">
        <f>IF(AND('4 Ope'!D265&lt;Tmax, NOT('4 Ope'!$H265="")),'4 Ope'!$H265,4)</f>
        <v>3</v>
      </c>
      <c r="AG265">
        <f>IF(AND('4 Ope'!E265&lt;Tmax, NOT('4 Ope'!$H265="")),'4 Ope'!$H265,4)</f>
        <v>3</v>
      </c>
      <c r="AH265">
        <f>IF(AND('4 Ope'!F265&lt;Tmax, NOT('4 Ope'!$H265="")),'4 Ope'!$H265,4)</f>
        <v>3</v>
      </c>
      <c r="AI265"/>
      <c r="AR265" s="50"/>
      <c r="AS265" s="50"/>
      <c r="AT265" s="50"/>
    </row>
    <row r="266" spans="1:80" ht="20.399999999999999" x14ac:dyDescent="0.25">
      <c r="A266" s="128" t="s">
        <v>1189</v>
      </c>
      <c r="B266" s="128" t="s">
        <v>1186</v>
      </c>
      <c r="C266" s="136"/>
      <c r="D266" s="136"/>
      <c r="E266" s="136"/>
      <c r="F266" s="136"/>
      <c r="G266" s="133">
        <v>2</v>
      </c>
      <c r="H266" s="133"/>
      <c r="I266" s="133"/>
      <c r="J266" s="133"/>
      <c r="K266"/>
      <c r="L266"/>
      <c r="M266"/>
      <c r="Z266">
        <f>IF(AND('4 Ope'!C266&gt;Tmin, NOT('4 Ope'!$I266="")),'4 Ope'!$I266,0)</f>
        <v>0</v>
      </c>
      <c r="AA266">
        <f>IF(AND('4 Ope'!C266&gt;Tmin, NOT('4 Ope'!$I266="")),'4 Ope'!$I266,0)</f>
        <v>0</v>
      </c>
      <c r="AB266">
        <f>IF(AND('4 Ope'!D266&gt;Tmin, NOT('4 Ope'!$I266="")),'4 Ope'!$I266,0)</f>
        <v>0</v>
      </c>
      <c r="AC266">
        <f>IF(AND('4 Ope'!E266&gt;Tmin, NOT('4 Ope'!$I266="")),'4 Ope'!$I266,0)</f>
        <v>0</v>
      </c>
      <c r="AD266">
        <f>IF(AND('4 Ope'!F266&gt;Tmin, NOT('4 Ope'!$I266="")),'4 Ope'!$I266,0)</f>
        <v>0</v>
      </c>
      <c r="AE266">
        <f>IF(AND('4 Ope'!C266&lt;Tmax, NOT('4 Ope'!$H266="")),'4 Ope'!$H266,4)</f>
        <v>4</v>
      </c>
      <c r="AF266">
        <f>IF(AND('4 Ope'!D266&lt;Tmax, NOT('4 Ope'!$H266="")),'4 Ope'!$H266,4)</f>
        <v>4</v>
      </c>
      <c r="AG266">
        <f>IF(AND('4 Ope'!E266&lt;Tmax, NOT('4 Ope'!$H266="")),'4 Ope'!$H266,4)</f>
        <v>4</v>
      </c>
      <c r="AH266">
        <f>IF(AND('4 Ope'!F266&lt;Tmax, NOT('4 Ope'!$H266="")),'4 Ope'!$H266,4)</f>
        <v>4</v>
      </c>
      <c r="AI266"/>
      <c r="AR266" s="50"/>
      <c r="AS266" s="50"/>
      <c r="AT266" s="50"/>
    </row>
    <row r="267" spans="1:80" x14ac:dyDescent="0.25">
      <c r="A267" s="128" t="s">
        <v>3240</v>
      </c>
      <c r="B267" s="128" t="s">
        <v>1188</v>
      </c>
      <c r="C267" s="136"/>
      <c r="D267" s="136"/>
      <c r="E267" s="136"/>
      <c r="F267" s="136"/>
      <c r="G267" s="133">
        <v>2</v>
      </c>
      <c r="H267" s="133"/>
      <c r="I267" s="133"/>
      <c r="J267" s="133"/>
      <c r="Z267">
        <f>IF(AND('4 Ope'!C267&gt;Tmin, NOT('4 Ope'!$I267="")),'4 Ope'!$I267,0)</f>
        <v>0</v>
      </c>
      <c r="AA267">
        <f>IF(AND('4 Ope'!C267&gt;Tmin, NOT('4 Ope'!$I267="")),'4 Ope'!$I267,0)</f>
        <v>0</v>
      </c>
      <c r="AB267">
        <f>IF(AND('4 Ope'!D267&gt;Tmin, NOT('4 Ope'!$I267="")),'4 Ope'!$I267,0)</f>
        <v>0</v>
      </c>
      <c r="AC267">
        <f>IF(AND('4 Ope'!E267&gt;Tmin, NOT('4 Ope'!$I267="")),'4 Ope'!$I267,0)</f>
        <v>0</v>
      </c>
      <c r="AD267">
        <f>IF(AND('4 Ope'!F267&gt;Tmin, NOT('4 Ope'!$I267="")),'4 Ope'!$I267,0)</f>
        <v>0</v>
      </c>
      <c r="AE267">
        <f>IF(AND('4 Ope'!C267&lt;Tmax, NOT('4 Ope'!$H267="")),'4 Ope'!$H267,4)</f>
        <v>4</v>
      </c>
      <c r="AF267">
        <f>IF(AND('4 Ope'!D267&lt;Tmax, NOT('4 Ope'!$H267="")),'4 Ope'!$H267,4)</f>
        <v>4</v>
      </c>
      <c r="AG267">
        <f>IF(AND('4 Ope'!E267&lt;Tmax, NOT('4 Ope'!$H267="")),'4 Ope'!$H267,4)</f>
        <v>4</v>
      </c>
      <c r="AH267">
        <f>IF(AND('4 Ope'!F267&lt;Tmax, NOT('4 Ope'!$H267="")),'4 Ope'!$H267,4)</f>
        <v>4</v>
      </c>
      <c r="AI267"/>
      <c r="AR267" s="50"/>
      <c r="AS267" s="50"/>
      <c r="AT267" s="50"/>
    </row>
    <row r="268" spans="1:80" x14ac:dyDescent="0.25">
      <c r="A268" s="128" t="s">
        <v>6576</v>
      </c>
      <c r="B268" s="128" t="s">
        <v>1190</v>
      </c>
      <c r="C268" s="136"/>
      <c r="D268" s="136"/>
      <c r="E268" s="136"/>
      <c r="F268" s="136"/>
      <c r="G268" s="133">
        <v>2</v>
      </c>
      <c r="H268" s="133">
        <v>3</v>
      </c>
      <c r="I268" s="133"/>
      <c r="J268" s="133"/>
      <c r="Z268">
        <f>IF(AND('4 Ope'!C268&gt;Tmin, NOT('4 Ope'!$I268="")),'4 Ope'!$I268,0)</f>
        <v>0</v>
      </c>
      <c r="AA268">
        <f>IF(AND('4 Ope'!C268&gt;Tmin, NOT('4 Ope'!$I268="")),'4 Ope'!$I268,0)</f>
        <v>0</v>
      </c>
      <c r="AB268">
        <f>IF(AND('4 Ope'!D268&gt;Tmin, NOT('4 Ope'!$I268="")),'4 Ope'!$I268,0)</f>
        <v>0</v>
      </c>
      <c r="AC268">
        <f>IF(AND('4 Ope'!E268&gt;Tmin, NOT('4 Ope'!$I268="")),'4 Ope'!$I268,0)</f>
        <v>0</v>
      </c>
      <c r="AD268">
        <f>IF(AND('4 Ope'!F268&gt;Tmin, NOT('4 Ope'!$I268="")),'4 Ope'!$I268,0)</f>
        <v>0</v>
      </c>
      <c r="AE268">
        <f>IF(AND('4 Ope'!C268&lt;Tmax, NOT('4 Ope'!$H268="")),'4 Ope'!$H268,4)</f>
        <v>3</v>
      </c>
      <c r="AF268">
        <f>IF(AND('4 Ope'!D268&lt;Tmax, NOT('4 Ope'!$H268="")),'4 Ope'!$H268,4)</f>
        <v>3</v>
      </c>
      <c r="AG268">
        <f>IF(AND('4 Ope'!E268&lt;Tmax, NOT('4 Ope'!$H268="")),'4 Ope'!$H268,4)</f>
        <v>3</v>
      </c>
      <c r="AH268">
        <f>IF(AND('4 Ope'!F268&lt;Tmax, NOT('4 Ope'!$H268="")),'4 Ope'!$H268,4)</f>
        <v>3</v>
      </c>
      <c r="AI268"/>
      <c r="AR268" s="50"/>
      <c r="AS268" s="50"/>
      <c r="AT268" s="50"/>
    </row>
    <row r="269" spans="1:80" x14ac:dyDescent="0.25">
      <c r="A269" s="128" t="s">
        <v>751</v>
      </c>
      <c r="B269" s="128" t="s">
        <v>4603</v>
      </c>
      <c r="C269" s="136"/>
      <c r="D269" s="136"/>
      <c r="E269" s="136"/>
      <c r="F269" s="136"/>
      <c r="G269" s="133"/>
      <c r="H269" s="133"/>
      <c r="I269" s="133"/>
      <c r="J269" s="133"/>
      <c r="Z269"/>
      <c r="AA269"/>
      <c r="AB269"/>
      <c r="AC269"/>
      <c r="AD269"/>
      <c r="AE269"/>
      <c r="AF269"/>
      <c r="AG269"/>
      <c r="AH269"/>
      <c r="AI269"/>
      <c r="AR269" s="50"/>
      <c r="AS269" s="50"/>
      <c r="AT269" s="50"/>
    </row>
    <row r="270" spans="1:80" ht="30.6" x14ac:dyDescent="0.25">
      <c r="A270" s="128" t="s">
        <v>1191</v>
      </c>
      <c r="B270" s="128" t="s">
        <v>1524</v>
      </c>
      <c r="C270" s="136"/>
      <c r="D270" s="136"/>
      <c r="E270" s="136"/>
      <c r="F270" s="136"/>
      <c r="G270" s="133">
        <v>4</v>
      </c>
      <c r="H270" s="133"/>
      <c r="I270" s="133"/>
      <c r="J270" s="133"/>
      <c r="Z270">
        <f>IF(AND('4 Ope'!C270&gt;Tmin, NOT('4 Ope'!$I270="")),'4 Ope'!$I270,0)</f>
        <v>0</v>
      </c>
      <c r="AA270">
        <f>IF(AND('4 Ope'!C270&gt;Tmin, NOT('4 Ope'!$I270="")),'4 Ope'!$I270,0)</f>
        <v>0</v>
      </c>
      <c r="AB270">
        <f>IF(AND('4 Ope'!D270&gt;Tmin, NOT('4 Ope'!$I270="")),'4 Ope'!$I270,0)</f>
        <v>0</v>
      </c>
      <c r="AC270">
        <f>IF(AND('4 Ope'!E270&gt;Tmin, NOT('4 Ope'!$I270="")),'4 Ope'!$I270,0)</f>
        <v>0</v>
      </c>
      <c r="AD270">
        <f>IF(AND('4 Ope'!F270&gt;Tmin, NOT('4 Ope'!$I270="")),'4 Ope'!$I270,0)</f>
        <v>0</v>
      </c>
      <c r="AE270">
        <f>IF(AND('4 Ope'!C270&lt;Tmax, NOT('4 Ope'!$H270="")),'4 Ope'!$H270,4)</f>
        <v>4</v>
      </c>
      <c r="AF270">
        <f>IF(AND('4 Ope'!D270&lt;Tmax, NOT('4 Ope'!$H270="")),'4 Ope'!$H270,4)</f>
        <v>4</v>
      </c>
      <c r="AG270">
        <f>IF(AND('4 Ope'!E270&lt;Tmax, NOT('4 Ope'!$H270="")),'4 Ope'!$H270,4)</f>
        <v>4</v>
      </c>
      <c r="AH270">
        <f>IF(AND('4 Ope'!F270&lt;Tmax, NOT('4 Ope'!$H270="")),'4 Ope'!$H270,4)</f>
        <v>4</v>
      </c>
      <c r="AI270"/>
      <c r="AR270" s="50"/>
      <c r="AS270" s="50"/>
      <c r="AT270" s="50"/>
    </row>
    <row r="271" spans="1:80" ht="20.399999999999999" x14ac:dyDescent="0.25">
      <c r="A271" s="128" t="s">
        <v>1192</v>
      </c>
      <c r="B271" s="128" t="s">
        <v>367</v>
      </c>
      <c r="C271" s="136"/>
      <c r="D271" s="136"/>
      <c r="E271" s="136"/>
      <c r="F271" s="136"/>
      <c r="G271" s="133">
        <v>4</v>
      </c>
      <c r="H271" s="133">
        <v>2</v>
      </c>
      <c r="I271" s="133"/>
      <c r="J271" s="133"/>
      <c r="Z271">
        <f>IF(AND('4 Ope'!C271&gt;Tmin, NOT('4 Ope'!$I271="")),'4 Ope'!$I271,0)</f>
        <v>0</v>
      </c>
      <c r="AA271">
        <f>IF(AND('4 Ope'!C271&gt;Tmin, NOT('4 Ope'!$I271="")),'4 Ope'!$I271,0)</f>
        <v>0</v>
      </c>
      <c r="AB271">
        <f>IF(AND('4 Ope'!D271&gt;Tmin, NOT('4 Ope'!$I271="")),'4 Ope'!$I271,0)</f>
        <v>0</v>
      </c>
      <c r="AC271">
        <f>IF(AND('4 Ope'!E271&gt;Tmin, NOT('4 Ope'!$I271="")),'4 Ope'!$I271,0)</f>
        <v>0</v>
      </c>
      <c r="AD271">
        <f>IF(AND('4 Ope'!F271&gt;Tmin, NOT('4 Ope'!$I271="")),'4 Ope'!$I271,0)</f>
        <v>0</v>
      </c>
      <c r="AE271">
        <f>IF(AND('4 Ope'!C271&lt;Tmax, NOT('4 Ope'!$H271="")),'4 Ope'!$H271,4)</f>
        <v>2</v>
      </c>
      <c r="AF271">
        <f>IF(AND('4 Ope'!D271&lt;Tmax, NOT('4 Ope'!$H271="")),'4 Ope'!$H271,4)</f>
        <v>2</v>
      </c>
      <c r="AG271">
        <f>IF(AND('4 Ope'!E271&lt;Tmax, NOT('4 Ope'!$H271="")),'4 Ope'!$H271,4)</f>
        <v>2</v>
      </c>
      <c r="AH271">
        <f>IF(AND('4 Ope'!F271&lt;Tmax, NOT('4 Ope'!$H271="")),'4 Ope'!$H271,4)</f>
        <v>2</v>
      </c>
      <c r="AI271"/>
      <c r="AR271" s="50"/>
      <c r="AS271" s="50"/>
      <c r="AT271" s="50"/>
    </row>
    <row r="272" spans="1:80" ht="20.399999999999999" x14ac:dyDescent="0.25">
      <c r="A272" s="128" t="s">
        <v>1193</v>
      </c>
      <c r="B272" s="128" t="s">
        <v>390</v>
      </c>
      <c r="C272" s="136"/>
      <c r="D272" s="136"/>
      <c r="E272" s="136"/>
      <c r="F272" s="136"/>
      <c r="G272" s="133">
        <v>4</v>
      </c>
      <c r="H272" s="133"/>
      <c r="I272" s="133"/>
      <c r="J272" s="133"/>
      <c r="Z272">
        <f>IF(AND('4 Ope'!C272&gt;Tmin, NOT('4 Ope'!$I272="")),'4 Ope'!$I272,0)</f>
        <v>0</v>
      </c>
      <c r="AA272">
        <f>IF(AND('4 Ope'!C272&gt;Tmin, NOT('4 Ope'!$I272="")),'4 Ope'!$I272,0)</f>
        <v>0</v>
      </c>
      <c r="AB272">
        <f>IF(AND('4 Ope'!D272&gt;Tmin, NOT('4 Ope'!$I272="")),'4 Ope'!$I272,0)</f>
        <v>0</v>
      </c>
      <c r="AC272">
        <f>IF(AND('4 Ope'!E272&gt;Tmin, NOT('4 Ope'!$I272="")),'4 Ope'!$I272,0)</f>
        <v>0</v>
      </c>
      <c r="AD272">
        <f>IF(AND('4 Ope'!F272&gt;Tmin, NOT('4 Ope'!$I272="")),'4 Ope'!$I272,0)</f>
        <v>0</v>
      </c>
      <c r="AE272">
        <f>IF(AND('4 Ope'!C272&lt;Tmax, NOT('4 Ope'!$H272="")),'4 Ope'!$H272,4)</f>
        <v>4</v>
      </c>
      <c r="AF272">
        <f>IF(AND('4 Ope'!D272&lt;Tmax, NOT('4 Ope'!$H272="")),'4 Ope'!$H272,4)</f>
        <v>4</v>
      </c>
      <c r="AG272">
        <f>IF(AND('4 Ope'!E272&lt;Tmax, NOT('4 Ope'!$H272="")),'4 Ope'!$H272,4)</f>
        <v>4</v>
      </c>
      <c r="AH272">
        <f>IF(AND('4 Ope'!F272&lt;Tmax, NOT('4 Ope'!$H272="")),'4 Ope'!$H272,4)</f>
        <v>4</v>
      </c>
      <c r="AI272"/>
      <c r="AR272" s="50"/>
      <c r="AS272" s="50"/>
      <c r="AT272" s="50"/>
    </row>
    <row r="273" spans="1:80" ht="20.399999999999999" x14ac:dyDescent="0.25">
      <c r="A273" s="128" t="s">
        <v>1194</v>
      </c>
      <c r="B273" s="128" t="s">
        <v>355</v>
      </c>
      <c r="C273" s="136"/>
      <c r="D273" s="136"/>
      <c r="E273" s="136"/>
      <c r="F273" s="136"/>
      <c r="G273" s="133">
        <v>4</v>
      </c>
      <c r="H273" s="133"/>
      <c r="I273" s="133"/>
      <c r="J273" s="133"/>
      <c r="Z273">
        <f>IF(AND('4 Ope'!C273&gt;Tmin, NOT('4 Ope'!$I273="")),'4 Ope'!$I273,0)</f>
        <v>0</v>
      </c>
      <c r="AA273">
        <f>IF(AND('4 Ope'!C273&gt;Tmin, NOT('4 Ope'!$I273="")),'4 Ope'!$I273,0)</f>
        <v>0</v>
      </c>
      <c r="AB273">
        <f>IF(AND('4 Ope'!D273&gt;Tmin, NOT('4 Ope'!$I273="")),'4 Ope'!$I273,0)</f>
        <v>0</v>
      </c>
      <c r="AC273">
        <f>IF(AND('4 Ope'!E273&gt;Tmin, NOT('4 Ope'!$I273="")),'4 Ope'!$I273,0)</f>
        <v>0</v>
      </c>
      <c r="AD273">
        <f>IF(AND('4 Ope'!F273&gt;Tmin, NOT('4 Ope'!$I273="")),'4 Ope'!$I273,0)</f>
        <v>0</v>
      </c>
      <c r="AE273">
        <f>IF(AND('4 Ope'!C273&lt;Tmax, NOT('4 Ope'!$H273="")),'4 Ope'!$H273,4)</f>
        <v>4</v>
      </c>
      <c r="AF273">
        <f>IF(AND('4 Ope'!D273&lt;Tmax, NOT('4 Ope'!$H273="")),'4 Ope'!$H273,4)</f>
        <v>4</v>
      </c>
      <c r="AG273">
        <f>IF(AND('4 Ope'!E273&lt;Tmax, NOT('4 Ope'!$H273="")),'4 Ope'!$H273,4)</f>
        <v>4</v>
      </c>
      <c r="AH273">
        <f>IF(AND('4 Ope'!F273&lt;Tmax, NOT('4 Ope'!$H273="")),'4 Ope'!$H273,4)</f>
        <v>4</v>
      </c>
      <c r="AI273"/>
      <c r="AR273" s="50"/>
      <c r="AS273" s="50"/>
      <c r="AT273" s="50"/>
    </row>
    <row r="274" spans="1:80" s="228" customFormat="1" ht="20.399999999999999" x14ac:dyDescent="0.25">
      <c r="A274" s="128" t="s">
        <v>1195</v>
      </c>
      <c r="B274" s="128" t="s">
        <v>1196</v>
      </c>
      <c r="C274" s="136"/>
      <c r="D274" s="136"/>
      <c r="E274" s="136"/>
      <c r="F274" s="136"/>
      <c r="G274" s="133">
        <v>4</v>
      </c>
      <c r="H274" s="133"/>
      <c r="I274" s="133"/>
      <c r="J274" s="133"/>
      <c r="K274" s="229"/>
      <c r="L274" s="229"/>
      <c r="M274" s="229"/>
      <c r="N274" s="229"/>
      <c r="O274" s="229"/>
      <c r="P274" s="229"/>
      <c r="Q274" s="229"/>
      <c r="R274" s="229"/>
      <c r="S274" s="229"/>
      <c r="T274" s="229"/>
      <c r="U274" s="229"/>
      <c r="V274" s="229"/>
      <c r="W274" s="229"/>
      <c r="X274" s="229"/>
      <c r="Y274" s="229"/>
      <c r="Z274">
        <f>IF(AND('4 Ope'!C274&gt;Tmin, NOT('4 Ope'!$I274="")),'4 Ope'!$I274,0)</f>
        <v>0</v>
      </c>
      <c r="AA274">
        <f>IF(AND('4 Ope'!C274&gt;Tmin, NOT('4 Ope'!$I274="")),'4 Ope'!$I274,0)</f>
        <v>0</v>
      </c>
      <c r="AB274">
        <f>IF(AND('4 Ope'!D274&gt;Tmin, NOT('4 Ope'!$I274="")),'4 Ope'!$I274,0)</f>
        <v>0</v>
      </c>
      <c r="AC274">
        <f>IF(AND('4 Ope'!E274&gt;Tmin, NOT('4 Ope'!$I274="")),'4 Ope'!$I274,0)</f>
        <v>0</v>
      </c>
      <c r="AD274">
        <f>IF(AND('4 Ope'!F274&gt;Tmin, NOT('4 Ope'!$I274="")),'4 Ope'!$I274,0)</f>
        <v>0</v>
      </c>
      <c r="AE274">
        <f>IF(AND('4 Ope'!C274&lt;Tmax, NOT('4 Ope'!$H274="")),'4 Ope'!$H274,4)</f>
        <v>4</v>
      </c>
      <c r="AF274">
        <f>IF(AND('4 Ope'!D274&lt;Tmax, NOT('4 Ope'!$H274="")),'4 Ope'!$H274,4)</f>
        <v>4</v>
      </c>
      <c r="AG274">
        <f>IF(AND('4 Ope'!E274&lt;Tmax, NOT('4 Ope'!$H274="")),'4 Ope'!$H274,4)</f>
        <v>4</v>
      </c>
      <c r="AH274">
        <f>IF(AND('4 Ope'!F274&lt;Tmax, NOT('4 Ope'!$H274="")),'4 Ope'!$H274,4)</f>
        <v>4</v>
      </c>
      <c r="AI274"/>
      <c r="AJ274" s="229"/>
      <c r="AK274" s="229"/>
      <c r="AL274" s="229"/>
      <c r="AM274" s="229"/>
      <c r="AN274" s="229"/>
      <c r="AO274" s="229"/>
      <c r="AP274" s="229"/>
      <c r="AQ274" s="229"/>
      <c r="AR274" s="229"/>
      <c r="AS274" s="229"/>
      <c r="AT274" s="229"/>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row>
    <row r="275" spans="1:80" s="228" customFormat="1" ht="30.6" x14ac:dyDescent="0.25">
      <c r="A275" s="128" t="s">
        <v>1197</v>
      </c>
      <c r="B275" s="128" t="s">
        <v>271</v>
      </c>
      <c r="C275" s="136"/>
      <c r="D275" s="136"/>
      <c r="E275" s="136"/>
      <c r="F275" s="136"/>
      <c r="G275" s="133">
        <v>4</v>
      </c>
      <c r="H275" s="133">
        <v>3</v>
      </c>
      <c r="I275" s="133"/>
      <c r="J275" s="133"/>
      <c r="K275" s="229"/>
      <c r="L275" s="229"/>
      <c r="M275" s="229"/>
      <c r="N275" s="229"/>
      <c r="O275" s="229"/>
      <c r="P275" s="229"/>
      <c r="Q275" s="229"/>
      <c r="R275" s="229"/>
      <c r="S275" s="229"/>
      <c r="T275" s="229"/>
      <c r="U275" s="229"/>
      <c r="V275" s="229"/>
      <c r="W275" s="229"/>
      <c r="X275" s="229"/>
      <c r="Y275" s="229"/>
      <c r="Z275">
        <f>IF(AND('4 Ope'!C275&gt;Tmin, NOT('4 Ope'!$I275="")),'4 Ope'!$I275,0)</f>
        <v>0</v>
      </c>
      <c r="AA275">
        <f>IF(AND('4 Ope'!C275&gt;Tmin, NOT('4 Ope'!$I275="")),'4 Ope'!$I275,0)</f>
        <v>0</v>
      </c>
      <c r="AB275">
        <f>IF(AND('4 Ope'!D275&gt;Tmin, NOT('4 Ope'!$I275="")),'4 Ope'!$I275,0)</f>
        <v>0</v>
      </c>
      <c r="AC275">
        <f>IF(AND('4 Ope'!E275&gt;Tmin, NOT('4 Ope'!$I275="")),'4 Ope'!$I275,0)</f>
        <v>0</v>
      </c>
      <c r="AD275">
        <f>IF(AND('4 Ope'!F275&gt;Tmin, NOT('4 Ope'!$I275="")),'4 Ope'!$I275,0)</f>
        <v>0</v>
      </c>
      <c r="AE275">
        <f>IF(AND('4 Ope'!C275&lt;Tmax, NOT('4 Ope'!$H275="")),'4 Ope'!$H275,4)</f>
        <v>3</v>
      </c>
      <c r="AF275">
        <f>IF(AND('4 Ope'!D275&lt;Tmax, NOT('4 Ope'!$H275="")),'4 Ope'!$H275,4)</f>
        <v>3</v>
      </c>
      <c r="AG275">
        <f>IF(AND('4 Ope'!E275&lt;Tmax, NOT('4 Ope'!$H275="")),'4 Ope'!$H275,4)</f>
        <v>3</v>
      </c>
      <c r="AH275">
        <f>IF(AND('4 Ope'!F275&lt;Tmax, NOT('4 Ope'!$H275="")),'4 Ope'!$H275,4)</f>
        <v>3</v>
      </c>
      <c r="AI275"/>
      <c r="AJ275" s="229"/>
      <c r="AK275" s="229"/>
      <c r="AL275" s="229"/>
      <c r="AM275" s="229"/>
      <c r="AN275" s="229"/>
      <c r="AO275" s="229"/>
      <c r="AP275" s="229"/>
      <c r="AQ275" s="229"/>
      <c r="AR275" s="229"/>
      <c r="AS275" s="229"/>
      <c r="AT275" s="229"/>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row>
    <row r="276" spans="1:80" s="228" customFormat="1" ht="20.399999999999999" x14ac:dyDescent="0.25">
      <c r="A276" s="128" t="s">
        <v>1198</v>
      </c>
      <c r="B276" s="128" t="s">
        <v>1199</v>
      </c>
      <c r="C276" s="136"/>
      <c r="D276" s="136"/>
      <c r="E276" s="136"/>
      <c r="F276" s="136"/>
      <c r="G276" s="133">
        <v>4</v>
      </c>
      <c r="H276" s="133"/>
      <c r="I276" s="133"/>
      <c r="J276" s="133"/>
      <c r="K276" s="229"/>
      <c r="L276" s="229"/>
      <c r="M276" s="229"/>
      <c r="N276" s="229"/>
      <c r="O276" s="229"/>
      <c r="P276" s="229"/>
      <c r="Q276" s="229"/>
      <c r="R276" s="229"/>
      <c r="S276" s="229"/>
      <c r="T276" s="229"/>
      <c r="U276" s="229"/>
      <c r="V276" s="229"/>
      <c r="W276" s="229"/>
      <c r="X276" s="229"/>
      <c r="Y276" s="229"/>
      <c r="Z276">
        <f>IF(AND('4 Ope'!C276&gt;Tmin, NOT('4 Ope'!$I276="")),'4 Ope'!$I276,0)</f>
        <v>0</v>
      </c>
      <c r="AA276">
        <f>IF(AND('4 Ope'!C276&gt;Tmin, NOT('4 Ope'!$I276="")),'4 Ope'!$I276,0)</f>
        <v>0</v>
      </c>
      <c r="AB276">
        <f>IF(AND('4 Ope'!D276&gt;Tmin, NOT('4 Ope'!$I276="")),'4 Ope'!$I276,0)</f>
        <v>0</v>
      </c>
      <c r="AC276">
        <f>IF(AND('4 Ope'!E276&gt;Tmin, NOT('4 Ope'!$I276="")),'4 Ope'!$I276,0)</f>
        <v>0</v>
      </c>
      <c r="AD276">
        <f>IF(AND('4 Ope'!F276&gt;Tmin, NOT('4 Ope'!$I276="")),'4 Ope'!$I276,0)</f>
        <v>0</v>
      </c>
      <c r="AE276">
        <f>IF(AND('4 Ope'!C276&lt;Tmax, NOT('4 Ope'!$H276="")),'4 Ope'!$H276,4)</f>
        <v>4</v>
      </c>
      <c r="AF276">
        <f>IF(AND('4 Ope'!D276&lt;Tmax, NOT('4 Ope'!$H276="")),'4 Ope'!$H276,4)</f>
        <v>4</v>
      </c>
      <c r="AG276">
        <f>IF(AND('4 Ope'!E276&lt;Tmax, NOT('4 Ope'!$H276="")),'4 Ope'!$H276,4)</f>
        <v>4</v>
      </c>
      <c r="AH276">
        <f>IF(AND('4 Ope'!F276&lt;Tmax, NOT('4 Ope'!$H276="")),'4 Ope'!$H276,4)</f>
        <v>4</v>
      </c>
      <c r="AI276"/>
      <c r="AJ276" s="229"/>
      <c r="AK276" s="229"/>
      <c r="AL276" s="229"/>
      <c r="AM276" s="229"/>
      <c r="AN276" s="229"/>
      <c r="AO276" s="229"/>
      <c r="AP276" s="229"/>
      <c r="AQ276" s="229"/>
      <c r="AR276" s="229"/>
      <c r="AS276" s="229"/>
      <c r="AT276" s="229"/>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row>
    <row r="277" spans="1:80" s="228" customFormat="1" ht="30.6" x14ac:dyDescent="0.25">
      <c r="A277" s="128" t="s">
        <v>1200</v>
      </c>
      <c r="B277" s="128" t="s">
        <v>75</v>
      </c>
      <c r="C277" s="136"/>
      <c r="D277" s="136"/>
      <c r="E277" s="136"/>
      <c r="F277" s="136"/>
      <c r="G277" s="133">
        <v>4</v>
      </c>
      <c r="H277" s="133"/>
      <c r="I277" s="133"/>
      <c r="J277" s="133"/>
      <c r="K277" s="229"/>
      <c r="L277" s="229"/>
      <c r="M277" s="229"/>
      <c r="N277" s="229"/>
      <c r="O277" s="229"/>
      <c r="P277" s="229"/>
      <c r="Q277" s="229"/>
      <c r="R277" s="229"/>
      <c r="S277" s="229"/>
      <c r="T277" s="229"/>
      <c r="U277" s="229"/>
      <c r="V277" s="229"/>
      <c r="W277" s="229"/>
      <c r="X277" s="229"/>
      <c r="Y277" s="229"/>
      <c r="Z277">
        <f>IF(AND('4 Ope'!C277&gt;Tmin, NOT('4 Ope'!$I277="")),'4 Ope'!$I277,0)</f>
        <v>0</v>
      </c>
      <c r="AA277">
        <f>IF(AND('4 Ope'!C277&gt;Tmin, NOT('4 Ope'!$I277="")),'4 Ope'!$I277,0)</f>
        <v>0</v>
      </c>
      <c r="AB277">
        <f>IF(AND('4 Ope'!D277&gt;Tmin, NOT('4 Ope'!$I277="")),'4 Ope'!$I277,0)</f>
        <v>0</v>
      </c>
      <c r="AC277">
        <f>IF(AND('4 Ope'!E277&gt;Tmin, NOT('4 Ope'!$I277="")),'4 Ope'!$I277,0)</f>
        <v>0</v>
      </c>
      <c r="AD277">
        <f>IF(AND('4 Ope'!F277&gt;Tmin, NOT('4 Ope'!$I277="")),'4 Ope'!$I277,0)</f>
        <v>0</v>
      </c>
      <c r="AE277">
        <f>IF(AND('4 Ope'!C277&lt;Tmax, NOT('4 Ope'!$H277="")),'4 Ope'!$H277,4)</f>
        <v>4</v>
      </c>
      <c r="AF277">
        <f>IF(AND('4 Ope'!D277&lt;Tmax, NOT('4 Ope'!$H277="")),'4 Ope'!$H277,4)</f>
        <v>4</v>
      </c>
      <c r="AG277">
        <f>IF(AND('4 Ope'!E277&lt;Tmax, NOT('4 Ope'!$H277="")),'4 Ope'!$H277,4)</f>
        <v>4</v>
      </c>
      <c r="AH277">
        <f>IF(AND('4 Ope'!F277&lt;Tmax, NOT('4 Ope'!$H277="")),'4 Ope'!$H277,4)</f>
        <v>4</v>
      </c>
      <c r="AI277"/>
      <c r="AJ277" s="229"/>
      <c r="AK277" s="229"/>
      <c r="AL277" s="229"/>
      <c r="AM277" s="229"/>
      <c r="AN277" s="229"/>
      <c r="AO277" s="229"/>
      <c r="AP277" s="229"/>
      <c r="AQ277" s="229"/>
      <c r="AR277" s="229"/>
      <c r="AS277" s="229"/>
      <c r="AT277" s="229"/>
      <c r="AU277" s="50"/>
      <c r="AV277" s="50"/>
      <c r="AW277" s="50"/>
      <c r="AX277" s="50"/>
      <c r="AY277" s="50"/>
      <c r="AZ277" s="50"/>
      <c r="BA277" s="50"/>
      <c r="BB277" s="50"/>
      <c r="BC277" s="50"/>
      <c r="BD277" s="50"/>
      <c r="BE277" s="50"/>
      <c r="BF277" s="50"/>
      <c r="BG277" s="50"/>
      <c r="BH277" s="50"/>
      <c r="BI277" s="50"/>
      <c r="BJ277" s="50"/>
      <c r="BK277" s="50"/>
      <c r="BL277" s="50"/>
      <c r="BM277" s="50"/>
      <c r="BN277" s="50"/>
      <c r="BO277" s="50"/>
      <c r="BP277" s="50"/>
      <c r="BQ277" s="50"/>
      <c r="BR277" s="50"/>
      <c r="BS277" s="50"/>
      <c r="BT277" s="50"/>
      <c r="BU277" s="50"/>
      <c r="BV277" s="50"/>
      <c r="BW277" s="50"/>
      <c r="BX277" s="50"/>
      <c r="BY277" s="50"/>
      <c r="BZ277" s="50"/>
      <c r="CA277" s="50"/>
      <c r="CB277" s="50"/>
    </row>
    <row r="278" spans="1:80" s="228" customFormat="1" ht="20.399999999999999" x14ac:dyDescent="0.25">
      <c r="A278" s="128" t="s">
        <v>1201</v>
      </c>
      <c r="B278" s="128" t="s">
        <v>6762</v>
      </c>
      <c r="C278" s="136"/>
      <c r="D278" s="136"/>
      <c r="E278" s="136"/>
      <c r="F278" s="136"/>
      <c r="G278" s="133">
        <v>4</v>
      </c>
      <c r="H278" s="133">
        <v>3</v>
      </c>
      <c r="I278" s="133"/>
      <c r="J278" s="133"/>
      <c r="K278" s="229"/>
      <c r="L278" s="229"/>
      <c r="M278" s="229"/>
      <c r="N278" s="229"/>
      <c r="O278" s="229"/>
      <c r="P278" s="229"/>
      <c r="Q278" s="229"/>
      <c r="R278" s="229"/>
      <c r="S278" s="229"/>
      <c r="T278" s="229"/>
      <c r="U278" s="229"/>
      <c r="V278" s="229"/>
      <c r="W278" s="229"/>
      <c r="X278" s="229"/>
      <c r="Y278" s="229"/>
      <c r="Z278">
        <f>IF(AND('4 Ope'!C278&gt;Tmin, NOT('4 Ope'!$I278="")),'4 Ope'!$I278,0)</f>
        <v>0</v>
      </c>
      <c r="AA278">
        <f>IF(AND('4 Ope'!C278&gt;Tmin, NOT('4 Ope'!$I278="")),'4 Ope'!$I278,0)</f>
        <v>0</v>
      </c>
      <c r="AB278">
        <f>IF(AND('4 Ope'!D278&gt;Tmin, NOT('4 Ope'!$I278="")),'4 Ope'!$I278,0)</f>
        <v>0</v>
      </c>
      <c r="AC278">
        <f>IF(AND('4 Ope'!E278&gt;Tmin, NOT('4 Ope'!$I278="")),'4 Ope'!$I278,0)</f>
        <v>0</v>
      </c>
      <c r="AD278">
        <f>IF(AND('4 Ope'!F278&gt;Tmin, NOT('4 Ope'!$I278="")),'4 Ope'!$I278,0)</f>
        <v>0</v>
      </c>
      <c r="AE278">
        <f>IF(AND('4 Ope'!C278&lt;Tmax, NOT('4 Ope'!$H278="")),'4 Ope'!$H278,4)</f>
        <v>3</v>
      </c>
      <c r="AF278">
        <f>IF(AND('4 Ope'!D278&lt;Tmax, NOT('4 Ope'!$H278="")),'4 Ope'!$H278,4)</f>
        <v>3</v>
      </c>
      <c r="AG278">
        <f>IF(AND('4 Ope'!E278&lt;Tmax, NOT('4 Ope'!$H278="")),'4 Ope'!$H278,4)</f>
        <v>3</v>
      </c>
      <c r="AH278">
        <f>IF(AND('4 Ope'!F278&lt;Tmax, NOT('4 Ope'!$H278="")),'4 Ope'!$H278,4)</f>
        <v>3</v>
      </c>
      <c r="AI278"/>
      <c r="AJ278" s="229"/>
      <c r="AK278" s="229"/>
      <c r="AL278" s="229"/>
      <c r="AM278" s="229"/>
      <c r="AN278" s="229"/>
      <c r="AO278" s="229"/>
      <c r="AP278" s="229"/>
      <c r="AQ278" s="229"/>
      <c r="AR278" s="229"/>
      <c r="AS278" s="229"/>
      <c r="AT278" s="229"/>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row>
    <row r="279" spans="1:80" s="228" customFormat="1" x14ac:dyDescent="0.25">
      <c r="A279" s="128" t="s">
        <v>1202</v>
      </c>
      <c r="B279" s="128" t="s">
        <v>1203</v>
      </c>
      <c r="C279" s="136"/>
      <c r="D279" s="136"/>
      <c r="E279" s="136"/>
      <c r="F279" s="136"/>
      <c r="G279" s="133">
        <v>2</v>
      </c>
      <c r="H279" s="133">
        <v>3</v>
      </c>
      <c r="I279" s="133"/>
      <c r="J279" s="133"/>
      <c r="K279" s="229"/>
      <c r="L279" s="229"/>
      <c r="M279" s="229"/>
      <c r="N279" s="229"/>
      <c r="O279" s="229"/>
      <c r="P279" s="229"/>
      <c r="Q279" s="229"/>
      <c r="R279" s="229"/>
      <c r="S279" s="229"/>
      <c r="T279" s="229"/>
      <c r="U279" s="229"/>
      <c r="V279" s="229"/>
      <c r="W279" s="229"/>
      <c r="X279" s="229"/>
      <c r="Y279" s="229"/>
      <c r="Z279">
        <f>IF(AND('4 Ope'!C279&gt;Tmin, NOT('4 Ope'!$I279="")),'4 Ope'!$I279,0)</f>
        <v>0</v>
      </c>
      <c r="AA279">
        <f>IF(AND('4 Ope'!C279&gt;Tmin, NOT('4 Ope'!$I279="")),'4 Ope'!$I279,0)</f>
        <v>0</v>
      </c>
      <c r="AB279">
        <f>IF(AND('4 Ope'!D279&gt;Tmin, NOT('4 Ope'!$I279="")),'4 Ope'!$I279,0)</f>
        <v>0</v>
      </c>
      <c r="AC279">
        <f>IF(AND('4 Ope'!E279&gt;Tmin, NOT('4 Ope'!$I279="")),'4 Ope'!$I279,0)</f>
        <v>0</v>
      </c>
      <c r="AD279">
        <f>IF(AND('4 Ope'!F279&gt;Tmin, NOT('4 Ope'!$I279="")),'4 Ope'!$I279,0)</f>
        <v>0</v>
      </c>
      <c r="AE279">
        <f>IF(AND('4 Ope'!C279&lt;Tmax, NOT('4 Ope'!$H279="")),'4 Ope'!$H279,4)</f>
        <v>3</v>
      </c>
      <c r="AF279">
        <f>IF(AND('4 Ope'!D279&lt;Tmax, NOT('4 Ope'!$H279="")),'4 Ope'!$H279,4)</f>
        <v>3</v>
      </c>
      <c r="AG279">
        <f>IF(AND('4 Ope'!E279&lt;Tmax, NOT('4 Ope'!$H279="")),'4 Ope'!$H279,4)</f>
        <v>3</v>
      </c>
      <c r="AH279">
        <f>IF(AND('4 Ope'!F279&lt;Tmax, NOT('4 Ope'!$H279="")),'4 Ope'!$H279,4)</f>
        <v>3</v>
      </c>
      <c r="AI279"/>
      <c r="AJ279" s="229"/>
      <c r="AK279" s="229"/>
      <c r="AL279" s="229"/>
      <c r="AM279" s="229"/>
      <c r="AN279" s="229"/>
      <c r="AO279" s="229"/>
      <c r="AP279" s="229"/>
      <c r="AQ279" s="229"/>
      <c r="AR279" s="229"/>
      <c r="AS279" s="229"/>
      <c r="AT279" s="229"/>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row>
    <row r="280" spans="1:80" s="228" customFormat="1" x14ac:dyDescent="0.25">
      <c r="A280" s="128" t="s">
        <v>754</v>
      </c>
      <c r="B280" s="128" t="s">
        <v>6693</v>
      </c>
      <c r="C280" s="136"/>
      <c r="D280" s="136"/>
      <c r="E280" s="136"/>
      <c r="F280" s="136"/>
      <c r="G280" s="133"/>
      <c r="H280" s="133"/>
      <c r="I280" s="133"/>
      <c r="J280" s="133"/>
      <c r="K280" s="229"/>
      <c r="L280" s="229"/>
      <c r="M280" s="229"/>
      <c r="N280" s="229"/>
      <c r="O280" s="229"/>
      <c r="P280" s="229"/>
      <c r="Q280" s="229"/>
      <c r="R280" s="229"/>
      <c r="S280" s="229"/>
      <c r="T280" s="229"/>
      <c r="U280" s="229"/>
      <c r="V280" s="229"/>
      <c r="W280" s="229"/>
      <c r="X280" s="229"/>
      <c r="Y280" s="229"/>
      <c r="Z280"/>
      <c r="AA280"/>
      <c r="AB280"/>
      <c r="AC280"/>
      <c r="AD280"/>
      <c r="AE280"/>
      <c r="AF280"/>
      <c r="AG280"/>
      <c r="AH280"/>
      <c r="AI280"/>
      <c r="AJ280" s="229"/>
      <c r="AK280" s="229"/>
      <c r="AL280" s="229"/>
      <c r="AM280" s="229"/>
      <c r="AN280" s="229"/>
      <c r="AO280" s="229"/>
      <c r="AP280" s="229"/>
      <c r="AQ280" s="229"/>
      <c r="AR280" s="229"/>
      <c r="AS280" s="229"/>
      <c r="AT280" s="229"/>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row>
    <row r="281" spans="1:80" s="228" customFormat="1" ht="20.399999999999999" x14ac:dyDescent="0.25">
      <c r="A281" s="128" t="s">
        <v>1206</v>
      </c>
      <c r="B281" s="128" t="s">
        <v>6276</v>
      </c>
      <c r="C281" s="136"/>
      <c r="D281" s="136"/>
      <c r="E281" s="136"/>
      <c r="F281" s="136"/>
      <c r="G281" s="133">
        <v>4</v>
      </c>
      <c r="H281" s="133"/>
      <c r="I281" s="133"/>
      <c r="J281" s="133" t="s">
        <v>7079</v>
      </c>
      <c r="K281" s="229"/>
      <c r="L281" s="229"/>
      <c r="M281" s="229"/>
      <c r="N281" s="229"/>
      <c r="O281" s="229"/>
      <c r="P281" s="229"/>
      <c r="Q281" s="229"/>
      <c r="R281" s="229"/>
      <c r="S281" s="229"/>
      <c r="T281" s="229"/>
      <c r="U281" s="229"/>
      <c r="V281" s="229"/>
      <c r="W281" s="229"/>
      <c r="X281" s="229"/>
      <c r="Y281" s="229"/>
      <c r="Z281">
        <f>IF(AND('4 Ope'!C281&gt;Tmin, NOT('4 Ope'!$I281="")),'4 Ope'!$I281,0)</f>
        <v>0</v>
      </c>
      <c r="AA281">
        <f>IF(AND('4 Ope'!C281&gt;Tmin, NOT('4 Ope'!$I281="")),'4 Ope'!$I281,0)</f>
        <v>0</v>
      </c>
      <c r="AB281">
        <f>IF(AND('4 Ope'!D281&gt;Tmin, NOT('4 Ope'!$I281="")),'4 Ope'!$I281,0)</f>
        <v>0</v>
      </c>
      <c r="AC281">
        <f>IF(AND('4 Ope'!E281&gt;Tmin, NOT('4 Ope'!$I281="")),'4 Ope'!$I281,0)</f>
        <v>0</v>
      </c>
      <c r="AD281">
        <f>IF(AND('4 Ope'!F281&gt;Tmin, NOT('4 Ope'!$I281="")),'4 Ope'!$I281,0)</f>
        <v>0</v>
      </c>
      <c r="AE281">
        <f>IF(AND('4 Ope'!C281&lt;Tmax, NOT('4 Ope'!$H281="")),'4 Ope'!$H281,4)</f>
        <v>4</v>
      </c>
      <c r="AF281">
        <f>IF(AND('4 Ope'!D281&lt;Tmax, NOT('4 Ope'!$H281="")),'4 Ope'!$H281,4)</f>
        <v>4</v>
      </c>
      <c r="AG281">
        <f>IF(AND('4 Ope'!E281&lt;Tmax, NOT('4 Ope'!$H281="")),'4 Ope'!$H281,4)</f>
        <v>4</v>
      </c>
      <c r="AH281">
        <f>IF(AND('4 Ope'!F281&lt;Tmax, NOT('4 Ope'!$H281="")),'4 Ope'!$H281,4)</f>
        <v>4</v>
      </c>
      <c r="AI281"/>
      <c r="AJ281" s="229"/>
      <c r="AK281" s="229"/>
      <c r="AL281" s="229"/>
      <c r="AM281" s="229"/>
      <c r="AN281" s="229"/>
      <c r="AO281" s="229"/>
      <c r="AP281" s="229"/>
      <c r="AQ281" s="229"/>
      <c r="AR281" s="229"/>
      <c r="AS281" s="229"/>
      <c r="AT281" s="229"/>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row>
    <row r="282" spans="1:80" s="228" customFormat="1" ht="20.399999999999999" x14ac:dyDescent="0.25">
      <c r="A282" s="128" t="s">
        <v>1208</v>
      </c>
      <c r="B282" s="128" t="s">
        <v>7384</v>
      </c>
      <c r="C282" s="136"/>
      <c r="D282" s="136"/>
      <c r="E282" s="136"/>
      <c r="F282" s="136"/>
      <c r="G282" s="133">
        <v>2</v>
      </c>
      <c r="H282" s="133">
        <v>2</v>
      </c>
      <c r="I282" s="133"/>
      <c r="J282" s="133"/>
      <c r="K282" s="229"/>
      <c r="L282" s="229"/>
      <c r="M282" s="229"/>
      <c r="N282" s="229"/>
      <c r="O282" s="229"/>
      <c r="P282" s="229"/>
      <c r="Q282" s="229"/>
      <c r="R282" s="229"/>
      <c r="S282" s="229"/>
      <c r="T282" s="229"/>
      <c r="U282" s="229"/>
      <c r="V282" s="229"/>
      <c r="W282" s="229"/>
      <c r="X282" s="229"/>
      <c r="Y282" s="229"/>
      <c r="Z282">
        <f>IF(AND('4 Ope'!C282&gt;Tmin, NOT('4 Ope'!$I282="")),'4 Ope'!$I282,0)</f>
        <v>0</v>
      </c>
      <c r="AA282">
        <f>IF(AND('4 Ope'!C282&gt;Tmin, NOT('4 Ope'!$I282="")),'4 Ope'!$I282,0)</f>
        <v>0</v>
      </c>
      <c r="AB282">
        <f>IF(AND('4 Ope'!D282&gt;Tmin, NOT('4 Ope'!$I282="")),'4 Ope'!$I282,0)</f>
        <v>0</v>
      </c>
      <c r="AC282">
        <f>IF(AND('4 Ope'!E282&gt;Tmin, NOT('4 Ope'!$I282="")),'4 Ope'!$I282,0)</f>
        <v>0</v>
      </c>
      <c r="AD282">
        <f>IF(AND('4 Ope'!F282&gt;Tmin, NOT('4 Ope'!$I282="")),'4 Ope'!$I282,0)</f>
        <v>0</v>
      </c>
      <c r="AE282">
        <f>IF(AND('4 Ope'!C282&lt;Tmax, NOT('4 Ope'!$H282="")),'4 Ope'!$H282,4)</f>
        <v>2</v>
      </c>
      <c r="AF282">
        <f>IF(AND('4 Ope'!D282&lt;Tmax, NOT('4 Ope'!$H282="")),'4 Ope'!$H282,4)</f>
        <v>2</v>
      </c>
      <c r="AG282">
        <f>IF(AND('4 Ope'!E282&lt;Tmax, NOT('4 Ope'!$H282="")),'4 Ope'!$H282,4)</f>
        <v>2</v>
      </c>
      <c r="AH282">
        <f>IF(AND('4 Ope'!F282&lt;Tmax, NOT('4 Ope'!$H282="")),'4 Ope'!$H282,4)</f>
        <v>2</v>
      </c>
      <c r="AI282"/>
      <c r="AJ282" s="229"/>
      <c r="AK282" s="229"/>
      <c r="AL282" s="229"/>
      <c r="AM282" s="229"/>
      <c r="AN282" s="229"/>
      <c r="AO282" s="229"/>
      <c r="AP282" s="229"/>
      <c r="AQ282" s="229"/>
      <c r="AR282" s="229"/>
      <c r="AS282" s="229"/>
      <c r="AT282" s="229"/>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row>
    <row r="283" spans="1:80" s="228" customFormat="1" ht="20.399999999999999" x14ac:dyDescent="0.25">
      <c r="A283" s="128" t="s">
        <v>1210</v>
      </c>
      <c r="B283" s="128" t="s">
        <v>1204</v>
      </c>
      <c r="C283" s="136"/>
      <c r="D283" s="136"/>
      <c r="E283" s="136"/>
      <c r="F283" s="136"/>
      <c r="G283" s="133">
        <v>2</v>
      </c>
      <c r="H283" s="133"/>
      <c r="I283" s="133"/>
      <c r="J283" s="133"/>
      <c r="K283" s="229"/>
      <c r="L283" s="229"/>
      <c r="M283" s="229"/>
      <c r="N283" s="229"/>
      <c r="O283" s="229"/>
      <c r="P283" s="229"/>
      <c r="Q283" s="229"/>
      <c r="R283" s="229"/>
      <c r="S283" s="229"/>
      <c r="T283" s="229"/>
      <c r="U283" s="229"/>
      <c r="V283" s="229"/>
      <c r="W283" s="229"/>
      <c r="X283" s="229"/>
      <c r="Y283" s="229"/>
      <c r="Z283">
        <f>IF(AND('4 Ope'!C283&gt;Tmin, NOT('4 Ope'!$I283="")),'4 Ope'!$I283,0)</f>
        <v>0</v>
      </c>
      <c r="AA283">
        <f>IF(AND('4 Ope'!C283&gt;Tmin, NOT('4 Ope'!$I283="")),'4 Ope'!$I283,0)</f>
        <v>0</v>
      </c>
      <c r="AB283">
        <f>IF(AND('4 Ope'!D283&gt;Tmin, NOT('4 Ope'!$I283="")),'4 Ope'!$I283,0)</f>
        <v>0</v>
      </c>
      <c r="AC283">
        <f>IF(AND('4 Ope'!E283&gt;Tmin, NOT('4 Ope'!$I283="")),'4 Ope'!$I283,0)</f>
        <v>0</v>
      </c>
      <c r="AD283">
        <f>IF(AND('4 Ope'!F283&gt;Tmin, NOT('4 Ope'!$I283="")),'4 Ope'!$I283,0)</f>
        <v>0</v>
      </c>
      <c r="AE283">
        <f>IF(AND('4 Ope'!C283&lt;Tmax, NOT('4 Ope'!$H283="")),'4 Ope'!$H283,4)</f>
        <v>4</v>
      </c>
      <c r="AF283">
        <f>IF(AND('4 Ope'!D283&lt;Tmax, NOT('4 Ope'!$H283="")),'4 Ope'!$H283,4)</f>
        <v>4</v>
      </c>
      <c r="AG283">
        <f>IF(AND('4 Ope'!E283&lt;Tmax, NOT('4 Ope'!$H283="")),'4 Ope'!$H283,4)</f>
        <v>4</v>
      </c>
      <c r="AH283">
        <f>IF(AND('4 Ope'!F283&lt;Tmax, NOT('4 Ope'!$H283="")),'4 Ope'!$H283,4)</f>
        <v>4</v>
      </c>
      <c r="AI283"/>
      <c r="AJ283" s="229"/>
      <c r="AK283" s="229"/>
      <c r="AL283" s="229"/>
      <c r="AM283" s="229"/>
      <c r="AN283" s="229"/>
      <c r="AO283" s="229"/>
      <c r="AP283" s="229"/>
      <c r="AQ283" s="229"/>
      <c r="AR283" s="229"/>
      <c r="AS283" s="229"/>
      <c r="AT283" s="229"/>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row>
    <row r="284" spans="1:80" s="228" customFormat="1" x14ac:dyDescent="0.25">
      <c r="A284" s="128" t="s">
        <v>1212</v>
      </c>
      <c r="B284" s="128" t="s">
        <v>1205</v>
      </c>
      <c r="C284" s="136"/>
      <c r="D284" s="136"/>
      <c r="E284" s="136"/>
      <c r="F284" s="136"/>
      <c r="G284" s="133">
        <v>2</v>
      </c>
      <c r="H284" s="133"/>
      <c r="I284" s="133"/>
      <c r="J284" s="133"/>
      <c r="K284" s="229"/>
      <c r="L284" s="229"/>
      <c r="M284" s="229"/>
      <c r="N284" s="229"/>
      <c r="O284" s="229"/>
      <c r="P284" s="229"/>
      <c r="Q284" s="229"/>
      <c r="R284" s="229"/>
      <c r="S284" s="229"/>
      <c r="T284" s="229"/>
      <c r="U284" s="229"/>
      <c r="V284" s="229"/>
      <c r="W284" s="229"/>
      <c r="X284" s="229"/>
      <c r="Y284" s="229"/>
      <c r="Z284">
        <f>IF(AND('4 Ope'!C284&gt;Tmin, NOT('4 Ope'!$I284="")),'4 Ope'!$I284,0)</f>
        <v>0</v>
      </c>
      <c r="AA284">
        <f>IF(AND('4 Ope'!C284&gt;Tmin, NOT('4 Ope'!$I284="")),'4 Ope'!$I284,0)</f>
        <v>0</v>
      </c>
      <c r="AB284">
        <f>IF(AND('4 Ope'!D284&gt;Tmin, NOT('4 Ope'!$I284="")),'4 Ope'!$I284,0)</f>
        <v>0</v>
      </c>
      <c r="AC284">
        <f>IF(AND('4 Ope'!E284&gt;Tmin, NOT('4 Ope'!$I284="")),'4 Ope'!$I284,0)</f>
        <v>0</v>
      </c>
      <c r="AD284">
        <f>IF(AND('4 Ope'!F284&gt;Tmin, NOT('4 Ope'!$I284="")),'4 Ope'!$I284,0)</f>
        <v>0</v>
      </c>
      <c r="AE284">
        <f>IF(AND('4 Ope'!C284&lt;Tmax, NOT('4 Ope'!$H284="")),'4 Ope'!$H284,4)</f>
        <v>4</v>
      </c>
      <c r="AF284">
        <f>IF(AND('4 Ope'!D284&lt;Tmax, NOT('4 Ope'!$H284="")),'4 Ope'!$H284,4)</f>
        <v>4</v>
      </c>
      <c r="AG284">
        <f>IF(AND('4 Ope'!E284&lt;Tmax, NOT('4 Ope'!$H284="")),'4 Ope'!$H284,4)</f>
        <v>4</v>
      </c>
      <c r="AH284">
        <f>IF(AND('4 Ope'!F284&lt;Tmax, NOT('4 Ope'!$H284="")),'4 Ope'!$H284,4)</f>
        <v>4</v>
      </c>
      <c r="AI284"/>
      <c r="AJ284" s="229"/>
      <c r="AK284" s="229"/>
      <c r="AL284" s="229"/>
      <c r="AM284" s="229"/>
      <c r="AN284" s="229"/>
      <c r="AO284" s="229"/>
      <c r="AP284" s="229"/>
      <c r="AQ284" s="229"/>
      <c r="AR284" s="229"/>
      <c r="AS284" s="229"/>
      <c r="AT284" s="229"/>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row>
    <row r="285" spans="1:80" s="229" customFormat="1" ht="20.399999999999999" x14ac:dyDescent="0.25">
      <c r="A285" s="128" t="s">
        <v>7362</v>
      </c>
      <c r="B285" s="128" t="s">
        <v>7363</v>
      </c>
      <c r="C285" s="136"/>
      <c r="D285" s="136"/>
      <c r="E285" s="136"/>
      <c r="F285" s="136"/>
      <c r="G285" s="133">
        <v>2</v>
      </c>
      <c r="H285" s="133"/>
      <c r="I285" s="133"/>
      <c r="J285" s="133" t="s">
        <v>7079</v>
      </c>
      <c r="Z285">
        <f>IF(AND('4 Ope'!C285&gt;Tmin, NOT('4 Ope'!$I285="")),'4 Ope'!$I285,0)</f>
        <v>0</v>
      </c>
      <c r="AA285">
        <f>IF(AND('4 Ope'!C285&gt;Tmin, NOT('4 Ope'!$I285="")),'4 Ope'!$I285,0)</f>
        <v>0</v>
      </c>
      <c r="AB285">
        <f>IF(AND('4 Ope'!D285&gt;Tmin, NOT('4 Ope'!$I285="")),'4 Ope'!$I285,0)</f>
        <v>0</v>
      </c>
      <c r="AC285">
        <f>IF(AND('4 Ope'!E285&gt;Tmin, NOT('4 Ope'!$I285="")),'4 Ope'!$I285,0)</f>
        <v>0</v>
      </c>
      <c r="AD285">
        <f>IF(AND('4 Ope'!F285&gt;Tmin, NOT('4 Ope'!$I285="")),'4 Ope'!$I285,0)</f>
        <v>0</v>
      </c>
      <c r="AE285">
        <f>IF(AND('4 Ope'!C285&lt;Tmax, NOT('4 Ope'!$H285="")),'4 Ope'!$H285,4)</f>
        <v>4</v>
      </c>
      <c r="AF285">
        <f>IF(AND('4 Ope'!D285&lt;Tmax, NOT('4 Ope'!$H285="")),'4 Ope'!$H285,4)</f>
        <v>4</v>
      </c>
      <c r="AG285">
        <f>IF(AND('4 Ope'!E285&lt;Tmax, NOT('4 Ope'!$H285="")),'4 Ope'!$H285,4)</f>
        <v>4</v>
      </c>
      <c r="AH285">
        <f>IF(AND('4 Ope'!F285&lt;Tmax, NOT('4 Ope'!$H285="")),'4 Ope'!$H285,4)</f>
        <v>4</v>
      </c>
      <c r="AI285"/>
      <c r="AU285" s="50"/>
      <c r="AV285" s="50"/>
      <c r="AW285" s="50"/>
      <c r="AX285" s="50"/>
      <c r="AY285" s="50"/>
      <c r="AZ285" s="50"/>
      <c r="BA285" s="50"/>
      <c r="BB285" s="50"/>
      <c r="BC285" s="50"/>
      <c r="BD285" s="50"/>
      <c r="BE285" s="50"/>
      <c r="BF285" s="50"/>
      <c r="BG285" s="50"/>
      <c r="BH285" s="50"/>
      <c r="BI285" s="50"/>
      <c r="BJ285" s="50"/>
      <c r="BK285" s="50"/>
      <c r="BL285" s="50"/>
      <c r="BM285" s="50"/>
      <c r="BN285" s="50"/>
      <c r="BO285" s="50"/>
      <c r="BP285" s="50"/>
      <c r="BQ285" s="50"/>
      <c r="BR285" s="50"/>
      <c r="BS285" s="50"/>
      <c r="BT285" s="50"/>
      <c r="BU285" s="50"/>
      <c r="BV285" s="50"/>
      <c r="BW285" s="50"/>
      <c r="BX285" s="50"/>
      <c r="BY285" s="50"/>
      <c r="BZ285" s="50"/>
      <c r="CA285" s="50"/>
      <c r="CB285" s="50"/>
    </row>
    <row r="286" spans="1:80" s="229" customFormat="1" x14ac:dyDescent="0.25">
      <c r="A286" s="128" t="s">
        <v>753</v>
      </c>
      <c r="B286" s="128" t="s">
        <v>481</v>
      </c>
      <c r="C286" s="136"/>
      <c r="D286" s="136"/>
      <c r="E286" s="136"/>
      <c r="F286" s="136"/>
      <c r="G286" s="133"/>
      <c r="H286" s="133"/>
      <c r="I286" s="133"/>
      <c r="J286" s="133"/>
      <c r="Z286"/>
      <c r="AA286"/>
      <c r="AB286"/>
      <c r="AC286"/>
      <c r="AD286"/>
      <c r="AE286"/>
      <c r="AF286"/>
      <c r="AG286"/>
      <c r="AH286"/>
      <c r="AI286"/>
      <c r="AU286" s="50"/>
      <c r="AV286" s="50"/>
      <c r="AW286" s="50"/>
      <c r="AX286" s="50"/>
      <c r="AY286" s="50"/>
      <c r="AZ286" s="50"/>
      <c r="BA286" s="50"/>
      <c r="BB286" s="50"/>
      <c r="BC286" s="50"/>
      <c r="BD286" s="50"/>
      <c r="BE286" s="50"/>
      <c r="BF286" s="50"/>
      <c r="BG286" s="50"/>
      <c r="BH286" s="50"/>
      <c r="BI286" s="50"/>
      <c r="BJ286" s="50"/>
      <c r="BK286" s="50"/>
      <c r="BL286" s="50"/>
      <c r="BM286" s="50"/>
      <c r="BN286" s="50"/>
      <c r="BO286" s="50"/>
      <c r="BP286" s="50"/>
      <c r="BQ286" s="50"/>
      <c r="BR286" s="50"/>
      <c r="BS286" s="50"/>
      <c r="BT286" s="50"/>
      <c r="BU286" s="50"/>
      <c r="BV286" s="50"/>
      <c r="BW286" s="50"/>
      <c r="BX286" s="50"/>
      <c r="BY286" s="50"/>
      <c r="BZ286" s="50"/>
      <c r="CA286" s="50"/>
      <c r="CB286" s="50"/>
    </row>
    <row r="287" spans="1:80" s="229" customFormat="1" ht="20.399999999999999" x14ac:dyDescent="0.25">
      <c r="A287" s="128" t="s">
        <v>1214</v>
      </c>
      <c r="B287" s="128" t="s">
        <v>1207</v>
      </c>
      <c r="C287" s="136"/>
      <c r="D287" s="136"/>
      <c r="E287" s="136"/>
      <c r="F287" s="136"/>
      <c r="G287" s="133">
        <v>4</v>
      </c>
      <c r="H287" s="133"/>
      <c r="I287" s="133"/>
      <c r="J287" s="133" t="s">
        <v>7079</v>
      </c>
      <c r="Z287">
        <f>IF(AND('4 Ope'!C287&gt;Tmin, NOT('4 Ope'!$I287="")),'4 Ope'!$I287,0)</f>
        <v>0</v>
      </c>
      <c r="AA287">
        <f>IF(AND('4 Ope'!C287&gt;Tmin, NOT('4 Ope'!$I287="")),'4 Ope'!$I287,0)</f>
        <v>0</v>
      </c>
      <c r="AB287">
        <f>IF(AND('4 Ope'!D287&gt;Tmin, NOT('4 Ope'!$I287="")),'4 Ope'!$I287,0)</f>
        <v>0</v>
      </c>
      <c r="AC287">
        <f>IF(AND('4 Ope'!E287&gt;Tmin, NOT('4 Ope'!$I287="")),'4 Ope'!$I287,0)</f>
        <v>0</v>
      </c>
      <c r="AD287">
        <f>IF(AND('4 Ope'!F287&gt;Tmin, NOT('4 Ope'!$I287="")),'4 Ope'!$I287,0)</f>
        <v>0</v>
      </c>
      <c r="AE287">
        <f>IF(AND('4 Ope'!C287&lt;Tmax, NOT('4 Ope'!$H287="")),'4 Ope'!$H287,4)</f>
        <v>4</v>
      </c>
      <c r="AF287">
        <f>IF(AND('4 Ope'!D287&lt;Tmax, NOT('4 Ope'!$H287="")),'4 Ope'!$H287,4)</f>
        <v>4</v>
      </c>
      <c r="AG287">
        <f>IF(AND('4 Ope'!E287&lt;Tmax, NOT('4 Ope'!$H287="")),'4 Ope'!$H287,4)</f>
        <v>4</v>
      </c>
      <c r="AH287">
        <f>IF(AND('4 Ope'!F287&lt;Tmax, NOT('4 Ope'!$H287="")),'4 Ope'!$H287,4)</f>
        <v>4</v>
      </c>
      <c r="AI287"/>
      <c r="AU287" s="50"/>
      <c r="AV287" s="50"/>
      <c r="AW287" s="50"/>
      <c r="AX287" s="50"/>
      <c r="AY287" s="50"/>
      <c r="AZ287" s="50"/>
      <c r="BA287" s="50"/>
      <c r="BB287" s="50"/>
      <c r="BC287" s="50"/>
      <c r="BD287" s="50"/>
      <c r="BE287" s="50"/>
      <c r="BF287" s="50"/>
      <c r="BG287" s="50"/>
      <c r="BH287" s="50"/>
      <c r="BI287" s="50"/>
      <c r="BJ287" s="50"/>
      <c r="BK287" s="50"/>
      <c r="BL287" s="50"/>
      <c r="BM287" s="50"/>
      <c r="BN287" s="50"/>
      <c r="BO287" s="50"/>
      <c r="BP287" s="50"/>
      <c r="BQ287" s="50"/>
      <c r="BR287" s="50"/>
      <c r="BS287" s="50"/>
      <c r="BT287" s="50"/>
      <c r="BU287" s="50"/>
      <c r="BV287" s="50"/>
      <c r="BW287" s="50"/>
      <c r="BX287" s="50"/>
      <c r="BY287" s="50"/>
      <c r="BZ287" s="50"/>
      <c r="CA287" s="50"/>
      <c r="CB287" s="50"/>
    </row>
    <row r="288" spans="1:80" s="229" customFormat="1" x14ac:dyDescent="0.25">
      <c r="A288" s="128" t="s">
        <v>1216</v>
      </c>
      <c r="B288" s="128" t="s">
        <v>1209</v>
      </c>
      <c r="C288" s="136"/>
      <c r="D288" s="136"/>
      <c r="E288" s="136"/>
      <c r="F288" s="136"/>
      <c r="G288" s="133">
        <v>2</v>
      </c>
      <c r="H288" s="133"/>
      <c r="I288" s="133"/>
      <c r="J288" s="133"/>
      <c r="Z288">
        <f>IF(AND('4 Ope'!C288&gt;Tmin, NOT('4 Ope'!$I288="")),'4 Ope'!$I288,0)</f>
        <v>0</v>
      </c>
      <c r="AA288">
        <f>IF(AND('4 Ope'!C288&gt;Tmin, NOT('4 Ope'!$I288="")),'4 Ope'!$I288,0)</f>
        <v>0</v>
      </c>
      <c r="AB288">
        <f>IF(AND('4 Ope'!D288&gt;Tmin, NOT('4 Ope'!$I288="")),'4 Ope'!$I288,0)</f>
        <v>0</v>
      </c>
      <c r="AC288">
        <f>IF(AND('4 Ope'!E288&gt;Tmin, NOT('4 Ope'!$I288="")),'4 Ope'!$I288,0)</f>
        <v>0</v>
      </c>
      <c r="AD288">
        <f>IF(AND('4 Ope'!F288&gt;Tmin, NOT('4 Ope'!$I288="")),'4 Ope'!$I288,0)</f>
        <v>0</v>
      </c>
      <c r="AE288">
        <f>IF(AND('4 Ope'!C288&lt;Tmax, NOT('4 Ope'!$H288="")),'4 Ope'!$H288,4)</f>
        <v>4</v>
      </c>
      <c r="AF288">
        <f>IF(AND('4 Ope'!D288&lt;Tmax, NOT('4 Ope'!$H288="")),'4 Ope'!$H288,4)</f>
        <v>4</v>
      </c>
      <c r="AG288">
        <f>IF(AND('4 Ope'!E288&lt;Tmax, NOT('4 Ope'!$H288="")),'4 Ope'!$H288,4)</f>
        <v>4</v>
      </c>
      <c r="AH288">
        <f>IF(AND('4 Ope'!F288&lt;Tmax, NOT('4 Ope'!$H288="")),'4 Ope'!$H288,4)</f>
        <v>4</v>
      </c>
      <c r="AI288"/>
      <c r="AU288" s="50"/>
      <c r="AV288" s="50"/>
      <c r="AW288" s="50"/>
      <c r="AX288" s="50"/>
      <c r="AY288" s="50"/>
      <c r="AZ288" s="50"/>
      <c r="BA288" s="50"/>
      <c r="BB288" s="50"/>
      <c r="BC288" s="50"/>
      <c r="BD288" s="50"/>
      <c r="BE288" s="50"/>
      <c r="BF288" s="50"/>
      <c r="BG288" s="50"/>
      <c r="BH288" s="50"/>
      <c r="BI288" s="50"/>
      <c r="BJ288" s="50"/>
      <c r="BK288" s="50"/>
      <c r="BL288" s="50"/>
      <c r="BM288" s="50"/>
      <c r="BN288" s="50"/>
      <c r="BO288" s="50"/>
      <c r="BP288" s="50"/>
      <c r="BQ288" s="50"/>
      <c r="BR288" s="50"/>
      <c r="BS288" s="50"/>
      <c r="BT288" s="50"/>
      <c r="BU288" s="50"/>
      <c r="BV288" s="50"/>
      <c r="BW288" s="50"/>
      <c r="BX288" s="50"/>
      <c r="BY288" s="50"/>
      <c r="BZ288" s="50"/>
      <c r="CA288" s="50"/>
      <c r="CB288" s="50"/>
    </row>
    <row r="289" spans="1:80" s="229" customFormat="1" x14ac:dyDescent="0.25">
      <c r="A289" s="128" t="s">
        <v>1217</v>
      </c>
      <c r="B289" s="128" t="s">
        <v>1211</v>
      </c>
      <c r="C289" s="136"/>
      <c r="D289" s="136"/>
      <c r="E289" s="136"/>
      <c r="F289" s="136"/>
      <c r="G289" s="133">
        <v>2</v>
      </c>
      <c r="H289" s="133"/>
      <c r="I289" s="133"/>
      <c r="J289" s="133"/>
      <c r="Z289">
        <f>IF(AND('4 Ope'!C289&gt;Tmin, NOT('4 Ope'!$I289="")),'4 Ope'!$I289,0)</f>
        <v>0</v>
      </c>
      <c r="AA289">
        <f>IF(AND('4 Ope'!C289&gt;Tmin, NOT('4 Ope'!$I289="")),'4 Ope'!$I289,0)</f>
        <v>0</v>
      </c>
      <c r="AB289">
        <f>IF(AND('4 Ope'!D289&gt;Tmin, NOT('4 Ope'!$I289="")),'4 Ope'!$I289,0)</f>
        <v>0</v>
      </c>
      <c r="AC289">
        <f>IF(AND('4 Ope'!E289&gt;Tmin, NOT('4 Ope'!$I289="")),'4 Ope'!$I289,0)</f>
        <v>0</v>
      </c>
      <c r="AD289">
        <f>IF(AND('4 Ope'!F289&gt;Tmin, NOT('4 Ope'!$I289="")),'4 Ope'!$I289,0)</f>
        <v>0</v>
      </c>
      <c r="AE289">
        <f>IF(AND('4 Ope'!C289&lt;Tmax, NOT('4 Ope'!$H289="")),'4 Ope'!$H289,4)</f>
        <v>4</v>
      </c>
      <c r="AF289">
        <f>IF(AND('4 Ope'!D289&lt;Tmax, NOT('4 Ope'!$H289="")),'4 Ope'!$H289,4)</f>
        <v>4</v>
      </c>
      <c r="AG289">
        <f>IF(AND('4 Ope'!E289&lt;Tmax, NOT('4 Ope'!$H289="")),'4 Ope'!$H289,4)</f>
        <v>4</v>
      </c>
      <c r="AH289">
        <f>IF(AND('4 Ope'!F289&lt;Tmax, NOT('4 Ope'!$H289="")),'4 Ope'!$H289,4)</f>
        <v>4</v>
      </c>
      <c r="AI289"/>
      <c r="AU289" s="50"/>
      <c r="AV289" s="50"/>
      <c r="AW289" s="50"/>
      <c r="AX289" s="50"/>
      <c r="AY289" s="50"/>
      <c r="AZ289" s="50"/>
      <c r="BA289" s="50"/>
      <c r="BB289" s="50"/>
      <c r="BC289" s="50"/>
      <c r="BD289" s="50"/>
      <c r="BE289" s="50"/>
      <c r="BF289" s="50"/>
      <c r="BG289" s="50"/>
      <c r="BH289" s="50"/>
      <c r="BI289" s="50"/>
      <c r="BJ289" s="50"/>
      <c r="BK289" s="50"/>
      <c r="BL289" s="50"/>
      <c r="BM289" s="50"/>
      <c r="BN289" s="50"/>
      <c r="BO289" s="50"/>
      <c r="BP289" s="50"/>
      <c r="BQ289" s="50"/>
      <c r="BR289" s="50"/>
      <c r="BS289" s="50"/>
      <c r="BT289" s="50"/>
      <c r="BU289" s="50"/>
      <c r="BV289" s="50"/>
      <c r="BW289" s="50"/>
      <c r="BX289" s="50"/>
      <c r="BY289" s="50"/>
      <c r="BZ289" s="50"/>
      <c r="CA289" s="50"/>
      <c r="CB289" s="50"/>
    </row>
    <row r="290" spans="1:80" s="229" customFormat="1" x14ac:dyDescent="0.25">
      <c r="A290" s="128" t="s">
        <v>1218</v>
      </c>
      <c r="B290" s="128" t="s">
        <v>1213</v>
      </c>
      <c r="C290" s="136"/>
      <c r="D290" s="136"/>
      <c r="E290" s="136"/>
      <c r="F290" s="136"/>
      <c r="G290" s="133">
        <v>2</v>
      </c>
      <c r="H290" s="133"/>
      <c r="I290" s="133"/>
      <c r="J290" s="133"/>
      <c r="Z290">
        <f>IF(AND('4 Ope'!C290&gt;Tmin, NOT('4 Ope'!$I290="")),'4 Ope'!$I290,0)</f>
        <v>0</v>
      </c>
      <c r="AA290">
        <f>IF(AND('4 Ope'!C290&gt;Tmin, NOT('4 Ope'!$I290="")),'4 Ope'!$I290,0)</f>
        <v>0</v>
      </c>
      <c r="AB290">
        <f>IF(AND('4 Ope'!D290&gt;Tmin, NOT('4 Ope'!$I290="")),'4 Ope'!$I290,0)</f>
        <v>0</v>
      </c>
      <c r="AC290">
        <f>IF(AND('4 Ope'!E290&gt;Tmin, NOT('4 Ope'!$I290="")),'4 Ope'!$I290,0)</f>
        <v>0</v>
      </c>
      <c r="AD290">
        <f>IF(AND('4 Ope'!F290&gt;Tmin, NOT('4 Ope'!$I290="")),'4 Ope'!$I290,0)</f>
        <v>0</v>
      </c>
      <c r="AE290">
        <f>IF(AND('4 Ope'!C290&lt;Tmax, NOT('4 Ope'!$H290="")),'4 Ope'!$H290,4)</f>
        <v>4</v>
      </c>
      <c r="AF290">
        <f>IF(AND('4 Ope'!D290&lt;Tmax, NOT('4 Ope'!$H290="")),'4 Ope'!$H290,4)</f>
        <v>4</v>
      </c>
      <c r="AG290">
        <f>IF(AND('4 Ope'!E290&lt;Tmax, NOT('4 Ope'!$H290="")),'4 Ope'!$H290,4)</f>
        <v>4</v>
      </c>
      <c r="AH290">
        <f>IF(AND('4 Ope'!F290&lt;Tmax, NOT('4 Ope'!$H290="")),'4 Ope'!$H290,4)</f>
        <v>4</v>
      </c>
      <c r="AI290"/>
      <c r="AU290" s="50"/>
      <c r="AV290" s="50"/>
      <c r="AW290" s="50"/>
      <c r="AX290" s="50"/>
      <c r="AY290" s="50"/>
      <c r="AZ290" s="50"/>
      <c r="BA290" s="50"/>
      <c r="BB290" s="50"/>
      <c r="BC290" s="50"/>
      <c r="BD290" s="50"/>
      <c r="BE290" s="50"/>
      <c r="BF290" s="50"/>
      <c r="BG290" s="50"/>
      <c r="BH290" s="50"/>
      <c r="BI290" s="50"/>
      <c r="BJ290" s="50"/>
      <c r="BK290" s="50"/>
      <c r="BL290" s="50"/>
      <c r="BM290" s="50"/>
      <c r="BN290" s="50"/>
      <c r="BO290" s="50"/>
      <c r="BP290" s="50"/>
      <c r="BQ290" s="50"/>
      <c r="BR290" s="50"/>
      <c r="BS290" s="50"/>
      <c r="BT290" s="50"/>
      <c r="BU290" s="50"/>
      <c r="BV290" s="50"/>
      <c r="BW290" s="50"/>
      <c r="BX290" s="50"/>
      <c r="BY290" s="50"/>
      <c r="BZ290" s="50"/>
      <c r="CA290" s="50"/>
      <c r="CB290" s="50"/>
    </row>
    <row r="291" spans="1:80" s="229" customFormat="1" ht="20.399999999999999" x14ac:dyDescent="0.25">
      <c r="A291" s="128" t="s">
        <v>7364</v>
      </c>
      <c r="B291" s="128" t="s">
        <v>7365</v>
      </c>
      <c r="C291" s="136"/>
      <c r="D291" s="136"/>
      <c r="E291" s="136"/>
      <c r="F291" s="136"/>
      <c r="G291" s="133">
        <v>2</v>
      </c>
      <c r="H291" s="133"/>
      <c r="I291" s="133"/>
      <c r="J291" s="133" t="s">
        <v>7079</v>
      </c>
      <c r="Z291">
        <f>IF(AND('4 Ope'!C291&gt;Tmin, NOT('4 Ope'!$I291="")),'4 Ope'!$I291,0)</f>
        <v>0</v>
      </c>
      <c r="AA291">
        <f>IF(AND('4 Ope'!C291&gt;Tmin, NOT('4 Ope'!$I291="")),'4 Ope'!$I291,0)</f>
        <v>0</v>
      </c>
      <c r="AB291">
        <f>IF(AND('4 Ope'!D291&gt;Tmin, NOT('4 Ope'!$I291="")),'4 Ope'!$I291,0)</f>
        <v>0</v>
      </c>
      <c r="AC291">
        <f>IF(AND('4 Ope'!E291&gt;Tmin, NOT('4 Ope'!$I291="")),'4 Ope'!$I291,0)</f>
        <v>0</v>
      </c>
      <c r="AD291">
        <f>IF(AND('4 Ope'!F291&gt;Tmin, NOT('4 Ope'!$I291="")),'4 Ope'!$I291,0)</f>
        <v>0</v>
      </c>
      <c r="AE291">
        <f>IF(AND('4 Ope'!C291&lt;Tmax, NOT('4 Ope'!$H291="")),'4 Ope'!$H291,4)</f>
        <v>4</v>
      </c>
      <c r="AF291">
        <f>IF(AND('4 Ope'!D291&lt;Tmax, NOT('4 Ope'!$H291="")),'4 Ope'!$H291,4)</f>
        <v>4</v>
      </c>
      <c r="AG291">
        <f>IF(AND('4 Ope'!E291&lt;Tmax, NOT('4 Ope'!$H291="")),'4 Ope'!$H291,4)</f>
        <v>4</v>
      </c>
      <c r="AH291">
        <f>IF(AND('4 Ope'!F291&lt;Tmax, NOT('4 Ope'!$H291="")),'4 Ope'!$H291,4)</f>
        <v>4</v>
      </c>
      <c r="AI291"/>
      <c r="AU291" s="50"/>
      <c r="AV291" s="50"/>
      <c r="AW291" s="50"/>
      <c r="AX291" s="50"/>
      <c r="AY291" s="50"/>
      <c r="AZ291" s="50"/>
      <c r="BA291" s="50"/>
      <c r="BB291" s="50"/>
      <c r="BC291" s="50"/>
      <c r="BD291" s="50"/>
      <c r="BE291" s="50"/>
      <c r="BF291" s="50"/>
      <c r="BG291" s="50"/>
      <c r="BH291" s="50"/>
      <c r="BI291" s="50"/>
      <c r="BJ291" s="50"/>
      <c r="BK291" s="50"/>
      <c r="BL291" s="50"/>
      <c r="BM291" s="50"/>
      <c r="BN291" s="50"/>
      <c r="BO291" s="50"/>
      <c r="BP291" s="50"/>
      <c r="BQ291" s="50"/>
      <c r="BR291" s="50"/>
      <c r="BS291" s="50"/>
      <c r="BT291" s="50"/>
      <c r="BU291" s="50"/>
      <c r="BV291" s="50"/>
      <c r="BW291" s="50"/>
      <c r="BX291" s="50"/>
      <c r="BY291" s="50"/>
      <c r="BZ291" s="50"/>
      <c r="CA291" s="50"/>
      <c r="CB291" s="50"/>
    </row>
    <row r="292" spans="1:80" s="229" customFormat="1" x14ac:dyDescent="0.25">
      <c r="A292" s="128" t="s">
        <v>1398</v>
      </c>
      <c r="B292" s="128" t="s">
        <v>152</v>
      </c>
      <c r="C292" s="136"/>
      <c r="D292" s="136"/>
      <c r="E292" s="136"/>
      <c r="F292" s="136"/>
      <c r="G292" s="133"/>
      <c r="H292" s="133"/>
      <c r="I292" s="133"/>
      <c r="J292" s="133"/>
      <c r="Z292"/>
      <c r="AA292"/>
      <c r="AB292"/>
      <c r="AC292"/>
      <c r="AD292"/>
      <c r="AE292"/>
      <c r="AF292"/>
      <c r="AG292"/>
      <c r="AH292"/>
      <c r="AI292"/>
      <c r="AU292" s="50"/>
      <c r="AV292" s="50"/>
      <c r="AW292" s="50"/>
      <c r="AX292" s="50"/>
      <c r="AY292" s="50"/>
      <c r="AZ292" s="50"/>
      <c r="BA292" s="50"/>
      <c r="BB292" s="50"/>
      <c r="BC292" s="50"/>
      <c r="BD292" s="50"/>
      <c r="BE292" s="50"/>
      <c r="BF292" s="50"/>
      <c r="BG292" s="50"/>
      <c r="BH292" s="50"/>
      <c r="BI292" s="50"/>
      <c r="BJ292" s="50"/>
      <c r="BK292" s="50"/>
      <c r="BL292" s="50"/>
      <c r="BM292" s="50"/>
      <c r="BN292" s="50"/>
      <c r="BO292" s="50"/>
      <c r="BP292" s="50"/>
      <c r="BQ292" s="50"/>
      <c r="BR292" s="50"/>
      <c r="BS292" s="50"/>
      <c r="BT292" s="50"/>
      <c r="BU292" s="50"/>
      <c r="BV292" s="50"/>
      <c r="BW292" s="50"/>
      <c r="BX292" s="50"/>
      <c r="BY292" s="50"/>
      <c r="BZ292" s="50"/>
      <c r="CA292" s="50"/>
      <c r="CB292" s="50"/>
    </row>
    <row r="293" spans="1:80" s="229" customFormat="1" x14ac:dyDescent="0.25">
      <c r="A293" s="128" t="s">
        <v>1525</v>
      </c>
      <c r="B293" s="128" t="s">
        <v>1215</v>
      </c>
      <c r="C293" s="136"/>
      <c r="D293" s="136"/>
      <c r="E293" s="136"/>
      <c r="F293" s="136"/>
      <c r="G293" s="133">
        <v>4</v>
      </c>
      <c r="H293" s="133"/>
      <c r="I293" s="133"/>
      <c r="J293" s="133"/>
      <c r="Z293">
        <f>IF(AND('4 Ope'!C293&gt;Tmin, NOT('4 Ope'!$I293="")),'4 Ope'!$I293,0)</f>
        <v>0</v>
      </c>
      <c r="AA293">
        <f>IF(AND('4 Ope'!C293&gt;Tmin, NOT('4 Ope'!$I293="")),'4 Ope'!$I293,0)</f>
        <v>0</v>
      </c>
      <c r="AB293">
        <f>IF(AND('4 Ope'!D293&gt;Tmin, NOT('4 Ope'!$I293="")),'4 Ope'!$I293,0)</f>
        <v>0</v>
      </c>
      <c r="AC293">
        <f>IF(AND('4 Ope'!E293&gt;Tmin, NOT('4 Ope'!$I293="")),'4 Ope'!$I293,0)</f>
        <v>0</v>
      </c>
      <c r="AD293">
        <f>IF(AND('4 Ope'!F293&gt;Tmin, NOT('4 Ope'!$I293="")),'4 Ope'!$I293,0)</f>
        <v>0</v>
      </c>
      <c r="AE293">
        <f>IF(AND('4 Ope'!C293&lt;Tmax, NOT('4 Ope'!$H293="")),'4 Ope'!$H293,4)</f>
        <v>4</v>
      </c>
      <c r="AF293">
        <f>IF(AND('4 Ope'!D293&lt;Tmax, NOT('4 Ope'!$H293="")),'4 Ope'!$H293,4)</f>
        <v>4</v>
      </c>
      <c r="AG293">
        <f>IF(AND('4 Ope'!E293&lt;Tmax, NOT('4 Ope'!$H293="")),'4 Ope'!$H293,4)</f>
        <v>4</v>
      </c>
      <c r="AH293">
        <f>IF(AND('4 Ope'!F293&lt;Tmax, NOT('4 Ope'!$H293="")),'4 Ope'!$H293,4)</f>
        <v>4</v>
      </c>
      <c r="AI293"/>
      <c r="AU293" s="50"/>
      <c r="AV293" s="50"/>
      <c r="AW293" s="50"/>
      <c r="AX293" s="50"/>
      <c r="AY293" s="50"/>
      <c r="AZ293" s="50"/>
      <c r="BA293" s="50"/>
      <c r="BB293" s="50"/>
      <c r="BC293" s="50"/>
      <c r="BD293" s="50"/>
      <c r="BE293" s="50"/>
      <c r="BF293" s="50"/>
      <c r="BG293" s="50"/>
      <c r="BH293" s="50"/>
      <c r="BI293" s="50"/>
      <c r="BJ293" s="50"/>
      <c r="BK293" s="50"/>
      <c r="BL293" s="50"/>
      <c r="BM293" s="50"/>
      <c r="BN293" s="50"/>
      <c r="BO293" s="50"/>
      <c r="BP293" s="50"/>
      <c r="BQ293" s="50"/>
      <c r="BR293" s="50"/>
      <c r="BS293" s="50"/>
      <c r="BT293" s="50"/>
      <c r="BU293" s="50"/>
      <c r="BV293" s="50"/>
      <c r="BW293" s="50"/>
      <c r="BX293" s="50"/>
      <c r="BY293" s="50"/>
      <c r="BZ293" s="50"/>
      <c r="CA293" s="50"/>
      <c r="CB293" s="50"/>
    </row>
    <row r="294" spans="1:80" s="229" customFormat="1" ht="20.399999999999999" x14ac:dyDescent="0.25">
      <c r="A294" s="128" t="s">
        <v>1526</v>
      </c>
      <c r="B294" s="128" t="s">
        <v>321</v>
      </c>
      <c r="C294" s="136"/>
      <c r="D294" s="136"/>
      <c r="E294" s="136"/>
      <c r="F294" s="136"/>
      <c r="G294" s="133">
        <v>4</v>
      </c>
      <c r="H294" s="133">
        <v>2</v>
      </c>
      <c r="I294" s="133"/>
      <c r="J294" s="133"/>
      <c r="Z294">
        <f>IF(AND('4 Ope'!C294&gt;Tmin, NOT('4 Ope'!$I294="")),'4 Ope'!$I294,0)</f>
        <v>0</v>
      </c>
      <c r="AA294">
        <f>IF(AND('4 Ope'!C294&gt;Tmin, NOT('4 Ope'!$I294="")),'4 Ope'!$I294,0)</f>
        <v>0</v>
      </c>
      <c r="AB294">
        <f>IF(AND('4 Ope'!D294&gt;Tmin, NOT('4 Ope'!$I294="")),'4 Ope'!$I294,0)</f>
        <v>0</v>
      </c>
      <c r="AC294">
        <f>IF(AND('4 Ope'!E294&gt;Tmin, NOT('4 Ope'!$I294="")),'4 Ope'!$I294,0)</f>
        <v>0</v>
      </c>
      <c r="AD294">
        <f>IF(AND('4 Ope'!F294&gt;Tmin, NOT('4 Ope'!$I294="")),'4 Ope'!$I294,0)</f>
        <v>0</v>
      </c>
      <c r="AE294">
        <f>IF(AND('4 Ope'!C294&lt;Tmax, NOT('4 Ope'!$H294="")),'4 Ope'!$H294,4)</f>
        <v>2</v>
      </c>
      <c r="AF294">
        <f>IF(AND('4 Ope'!D294&lt;Tmax, NOT('4 Ope'!$H294="")),'4 Ope'!$H294,4)</f>
        <v>2</v>
      </c>
      <c r="AG294">
        <f>IF(AND('4 Ope'!E294&lt;Tmax, NOT('4 Ope'!$H294="")),'4 Ope'!$H294,4)</f>
        <v>2</v>
      </c>
      <c r="AH294">
        <f>IF(AND('4 Ope'!F294&lt;Tmax, NOT('4 Ope'!$H294="")),'4 Ope'!$H294,4)</f>
        <v>2</v>
      </c>
      <c r="AI294"/>
      <c r="AU294" s="50"/>
      <c r="AV294" s="50"/>
      <c r="AW294" s="50"/>
      <c r="AX294" s="50"/>
      <c r="AY294" s="50"/>
      <c r="AZ294" s="50"/>
      <c r="BA294" s="50"/>
      <c r="BB294" s="50"/>
      <c r="BC294" s="50"/>
      <c r="BD294" s="50"/>
      <c r="BE294" s="50"/>
      <c r="BF294" s="50"/>
      <c r="BG294" s="50"/>
      <c r="BH294" s="50"/>
      <c r="BI294" s="50"/>
      <c r="BJ294" s="50"/>
      <c r="BK294" s="50"/>
      <c r="BL294" s="50"/>
      <c r="BM294" s="50"/>
      <c r="BN294" s="50"/>
      <c r="BO294" s="50"/>
      <c r="BP294" s="50"/>
      <c r="BQ294" s="50"/>
      <c r="BR294" s="50"/>
      <c r="BS294" s="50"/>
      <c r="BT294" s="50"/>
      <c r="BU294" s="50"/>
      <c r="BV294" s="50"/>
      <c r="BW294" s="50"/>
      <c r="BX294" s="50"/>
      <c r="BY294" s="50"/>
      <c r="BZ294" s="50"/>
      <c r="CA294" s="50"/>
      <c r="CB294" s="50"/>
    </row>
    <row r="295" spans="1:80" s="229" customFormat="1" ht="20.399999999999999" x14ac:dyDescent="0.25">
      <c r="A295" s="128" t="s">
        <v>1527</v>
      </c>
      <c r="B295" s="128" t="s">
        <v>162</v>
      </c>
      <c r="C295" s="136"/>
      <c r="D295" s="136"/>
      <c r="E295" s="136"/>
      <c r="F295" s="136"/>
      <c r="G295" s="133">
        <v>4</v>
      </c>
      <c r="H295" s="133">
        <v>3</v>
      </c>
      <c r="I295" s="133"/>
      <c r="J295" s="133"/>
      <c r="Z295">
        <f>IF(AND('4 Ope'!C295&gt;Tmin, NOT('4 Ope'!$I295="")),'4 Ope'!$I295,0)</f>
        <v>0</v>
      </c>
      <c r="AA295">
        <f>IF(AND('4 Ope'!C295&gt;Tmin, NOT('4 Ope'!$I295="")),'4 Ope'!$I295,0)</f>
        <v>0</v>
      </c>
      <c r="AB295">
        <f>IF(AND('4 Ope'!D295&gt;Tmin, NOT('4 Ope'!$I295="")),'4 Ope'!$I295,0)</f>
        <v>0</v>
      </c>
      <c r="AC295">
        <f>IF(AND('4 Ope'!E295&gt;Tmin, NOT('4 Ope'!$I295="")),'4 Ope'!$I295,0)</f>
        <v>0</v>
      </c>
      <c r="AD295">
        <f>IF(AND('4 Ope'!F295&gt;Tmin, NOT('4 Ope'!$I295="")),'4 Ope'!$I295,0)</f>
        <v>0</v>
      </c>
      <c r="AE295">
        <f>IF(AND('4 Ope'!C295&lt;Tmax, NOT('4 Ope'!$H295="")),'4 Ope'!$H295,4)</f>
        <v>3</v>
      </c>
      <c r="AF295">
        <f>IF(AND('4 Ope'!D295&lt;Tmax, NOT('4 Ope'!$H295="")),'4 Ope'!$H295,4)</f>
        <v>3</v>
      </c>
      <c r="AG295">
        <f>IF(AND('4 Ope'!E295&lt;Tmax, NOT('4 Ope'!$H295="")),'4 Ope'!$H295,4)</f>
        <v>3</v>
      </c>
      <c r="AH295">
        <f>IF(AND('4 Ope'!F295&lt;Tmax, NOT('4 Ope'!$H295="")),'4 Ope'!$H295,4)</f>
        <v>3</v>
      </c>
      <c r="AI295"/>
      <c r="AU295" s="50"/>
      <c r="AV295" s="50"/>
      <c r="AW295" s="50"/>
      <c r="AX295" s="50"/>
      <c r="AY295" s="50"/>
      <c r="AZ295" s="50"/>
      <c r="BA295" s="50"/>
      <c r="BB295" s="50"/>
      <c r="BC295" s="50"/>
      <c r="BD295" s="50"/>
      <c r="BE295" s="50"/>
      <c r="BF295" s="50"/>
      <c r="BG295" s="50"/>
      <c r="BH295" s="50"/>
      <c r="BI295" s="50"/>
      <c r="BJ295" s="50"/>
      <c r="BK295" s="50"/>
      <c r="BL295" s="50"/>
      <c r="BM295" s="50"/>
      <c r="BN295" s="50"/>
      <c r="BO295" s="50"/>
      <c r="BP295" s="50"/>
      <c r="BQ295" s="50"/>
      <c r="BR295" s="50"/>
      <c r="BS295" s="50"/>
      <c r="BT295" s="50"/>
      <c r="BU295" s="50"/>
      <c r="BV295" s="50"/>
      <c r="BW295" s="50"/>
      <c r="BX295" s="50"/>
      <c r="BY295" s="50"/>
      <c r="BZ295" s="50"/>
      <c r="CA295" s="50"/>
      <c r="CB295" s="50"/>
    </row>
    <row r="296" spans="1:80" s="229" customFormat="1" x14ac:dyDescent="0.25">
      <c r="A296" s="128" t="s">
        <v>1528</v>
      </c>
      <c r="B296" s="128" t="s">
        <v>322</v>
      </c>
      <c r="C296" s="136"/>
      <c r="D296" s="136"/>
      <c r="E296" s="136"/>
      <c r="F296" s="136"/>
      <c r="G296" s="133">
        <v>2</v>
      </c>
      <c r="H296" s="133"/>
      <c r="I296" s="133"/>
      <c r="J296" s="133"/>
      <c r="Z296">
        <f>IF(AND('4 Ope'!C296&gt;Tmin, NOT('4 Ope'!$I296="")),'4 Ope'!$I296,0)</f>
        <v>0</v>
      </c>
      <c r="AA296">
        <f>IF(AND('4 Ope'!C296&gt;Tmin, NOT('4 Ope'!$I296="")),'4 Ope'!$I296,0)</f>
        <v>0</v>
      </c>
      <c r="AB296">
        <f>IF(AND('4 Ope'!D296&gt;Tmin, NOT('4 Ope'!$I296="")),'4 Ope'!$I296,0)</f>
        <v>0</v>
      </c>
      <c r="AC296">
        <f>IF(AND('4 Ope'!E296&gt;Tmin, NOT('4 Ope'!$I296="")),'4 Ope'!$I296,0)</f>
        <v>0</v>
      </c>
      <c r="AD296">
        <f>IF(AND('4 Ope'!F296&gt;Tmin, NOT('4 Ope'!$I296="")),'4 Ope'!$I296,0)</f>
        <v>0</v>
      </c>
      <c r="AE296">
        <f>IF(AND('4 Ope'!C296&lt;Tmax, NOT('4 Ope'!$H296="")),'4 Ope'!$H296,4)</f>
        <v>4</v>
      </c>
      <c r="AF296">
        <f>IF(AND('4 Ope'!D296&lt;Tmax, NOT('4 Ope'!$H296="")),'4 Ope'!$H296,4)</f>
        <v>4</v>
      </c>
      <c r="AG296">
        <f>IF(AND('4 Ope'!E296&lt;Tmax, NOT('4 Ope'!$H296="")),'4 Ope'!$H296,4)</f>
        <v>4</v>
      </c>
      <c r="AH296">
        <f>IF(AND('4 Ope'!F296&lt;Tmax, NOT('4 Ope'!$H296="")),'4 Ope'!$H296,4)</f>
        <v>4</v>
      </c>
      <c r="AI296"/>
      <c r="AU296" s="50"/>
      <c r="AV296" s="50"/>
      <c r="AW296" s="50"/>
      <c r="AX296" s="50"/>
      <c r="AY296" s="50"/>
      <c r="AZ296" s="50"/>
      <c r="BA296" s="50"/>
      <c r="BB296" s="50"/>
      <c r="BC296" s="50"/>
      <c r="BD296" s="50"/>
      <c r="BE296" s="50"/>
      <c r="BF296" s="50"/>
      <c r="BG296" s="50"/>
      <c r="BH296" s="50"/>
      <c r="BI296" s="50"/>
      <c r="BJ296" s="50"/>
      <c r="BK296" s="50"/>
      <c r="BL296" s="50"/>
      <c r="BM296" s="50"/>
      <c r="BN296" s="50"/>
      <c r="BO296" s="50"/>
      <c r="BP296" s="50"/>
      <c r="BQ296" s="50"/>
      <c r="BR296" s="50"/>
      <c r="BS296" s="50"/>
      <c r="BT296" s="50"/>
      <c r="BU296" s="50"/>
      <c r="BV296" s="50"/>
      <c r="BW296" s="50"/>
      <c r="BX296" s="50"/>
      <c r="BY296" s="50"/>
      <c r="BZ296" s="50"/>
      <c r="CA296" s="50"/>
      <c r="CB296" s="50"/>
    </row>
    <row r="297" spans="1:80" s="229" customFormat="1" x14ac:dyDescent="0.25">
      <c r="A297" s="128" t="s">
        <v>1529</v>
      </c>
      <c r="B297" s="128" t="s">
        <v>163</v>
      </c>
      <c r="C297" s="136"/>
      <c r="D297" s="136"/>
      <c r="E297" s="136"/>
      <c r="F297" s="136"/>
      <c r="G297" s="133">
        <v>4</v>
      </c>
      <c r="H297" s="133"/>
      <c r="I297" s="133">
        <v>3</v>
      </c>
      <c r="J297" s="133"/>
      <c r="Z297">
        <f>IF(AND('4 Ope'!C297&gt;Tmin, NOT('4 Ope'!$I297="")),'4 Ope'!$I297,0)</f>
        <v>0</v>
      </c>
      <c r="AA297">
        <f>IF(AND('4 Ope'!C297&gt;Tmin, NOT('4 Ope'!$I297="")),'4 Ope'!$I297,0)</f>
        <v>0</v>
      </c>
      <c r="AB297">
        <f>IF(AND('4 Ope'!D297&gt;Tmin, NOT('4 Ope'!$I297="")),'4 Ope'!$I297,0)</f>
        <v>0</v>
      </c>
      <c r="AC297">
        <f>IF(AND('4 Ope'!E297&gt;Tmin, NOT('4 Ope'!$I297="")),'4 Ope'!$I297,0)</f>
        <v>0</v>
      </c>
      <c r="AD297">
        <f>IF(AND('4 Ope'!F297&gt;Tmin, NOT('4 Ope'!$I297="")),'4 Ope'!$I297,0)</f>
        <v>0</v>
      </c>
      <c r="AE297">
        <f>IF(AND('4 Ope'!C297&lt;Tmax, NOT('4 Ope'!$H297="")),'4 Ope'!$H297,4)</f>
        <v>4</v>
      </c>
      <c r="AF297">
        <f>IF(AND('4 Ope'!D297&lt;Tmax, NOT('4 Ope'!$H297="")),'4 Ope'!$H297,4)</f>
        <v>4</v>
      </c>
      <c r="AG297">
        <f>IF(AND('4 Ope'!E297&lt;Tmax, NOT('4 Ope'!$H297="")),'4 Ope'!$H297,4)</f>
        <v>4</v>
      </c>
      <c r="AH297">
        <f>IF(AND('4 Ope'!F297&lt;Tmax, NOT('4 Ope'!$H297="")),'4 Ope'!$H297,4)</f>
        <v>4</v>
      </c>
      <c r="AI297"/>
      <c r="AU297" s="50"/>
      <c r="AV297" s="50"/>
      <c r="AW297" s="50"/>
      <c r="AX297" s="50"/>
      <c r="AY297" s="50"/>
      <c r="AZ297" s="50"/>
      <c r="BA297" s="50"/>
      <c r="BB297" s="50"/>
      <c r="BC297" s="50"/>
      <c r="BD297" s="50"/>
      <c r="BE297" s="50"/>
      <c r="BF297" s="50"/>
      <c r="BG297" s="50"/>
      <c r="BH297" s="50"/>
      <c r="BI297" s="50"/>
      <c r="BJ297" s="50"/>
      <c r="BK297" s="50"/>
      <c r="BL297" s="50"/>
      <c r="BM297" s="50"/>
      <c r="BN297" s="50"/>
      <c r="BO297" s="50"/>
      <c r="BP297" s="50"/>
      <c r="BQ297" s="50"/>
      <c r="BR297" s="50"/>
      <c r="BS297" s="50"/>
      <c r="BT297" s="50"/>
      <c r="BU297" s="50"/>
      <c r="BV297" s="50"/>
      <c r="BW297" s="50"/>
      <c r="BX297" s="50"/>
      <c r="BY297" s="50"/>
      <c r="BZ297" s="50"/>
      <c r="CA297" s="50"/>
      <c r="CB297" s="50"/>
    </row>
    <row r="298" spans="1:80" s="229" customFormat="1" ht="51" x14ac:dyDescent="0.25">
      <c r="A298" s="128" t="s">
        <v>1530</v>
      </c>
      <c r="B298" s="128" t="s">
        <v>164</v>
      </c>
      <c r="C298" s="136"/>
      <c r="D298" s="136"/>
      <c r="E298" s="136"/>
      <c r="F298" s="136"/>
      <c r="G298" s="133">
        <v>2</v>
      </c>
      <c r="H298" s="133">
        <v>2</v>
      </c>
      <c r="I298" s="133"/>
      <c r="J298" s="133"/>
      <c r="Z298">
        <f>IF(AND('4 Ope'!C298&gt;Tmin, NOT('4 Ope'!$I298="")),'4 Ope'!$I298,0)</f>
        <v>0</v>
      </c>
      <c r="AA298">
        <f>IF(AND('4 Ope'!C298&gt;Tmin, NOT('4 Ope'!$I298="")),'4 Ope'!$I298,0)</f>
        <v>0</v>
      </c>
      <c r="AB298">
        <f>IF(AND('4 Ope'!D298&gt;Tmin, NOT('4 Ope'!$I298="")),'4 Ope'!$I298,0)</f>
        <v>0</v>
      </c>
      <c r="AC298">
        <f>IF(AND('4 Ope'!E298&gt;Tmin, NOT('4 Ope'!$I298="")),'4 Ope'!$I298,0)</f>
        <v>0</v>
      </c>
      <c r="AD298">
        <f>IF(AND('4 Ope'!F298&gt;Tmin, NOT('4 Ope'!$I298="")),'4 Ope'!$I298,0)</f>
        <v>0</v>
      </c>
      <c r="AE298">
        <f>IF(AND('4 Ope'!C298&lt;Tmax, NOT('4 Ope'!$H298="")),'4 Ope'!$H298,4)</f>
        <v>2</v>
      </c>
      <c r="AF298">
        <f>IF(AND('4 Ope'!D298&lt;Tmax, NOT('4 Ope'!$H298="")),'4 Ope'!$H298,4)</f>
        <v>2</v>
      </c>
      <c r="AG298">
        <f>IF(AND('4 Ope'!E298&lt;Tmax, NOT('4 Ope'!$H298="")),'4 Ope'!$H298,4)</f>
        <v>2</v>
      </c>
      <c r="AH298">
        <f>IF(AND('4 Ope'!F298&lt;Tmax, NOT('4 Ope'!$H298="")),'4 Ope'!$H298,4)</f>
        <v>2</v>
      </c>
      <c r="AI298"/>
      <c r="AU298" s="50"/>
      <c r="AV298" s="50"/>
      <c r="AW298" s="50"/>
      <c r="AX298" s="50"/>
      <c r="AY298" s="50"/>
      <c r="AZ298" s="50"/>
      <c r="BA298" s="50"/>
      <c r="BB298" s="50"/>
      <c r="BC298" s="50"/>
      <c r="BD298" s="50"/>
      <c r="BE298" s="50"/>
      <c r="BF298" s="50"/>
      <c r="BG298" s="50"/>
      <c r="BH298" s="50"/>
      <c r="BI298" s="50"/>
      <c r="BJ298" s="50"/>
      <c r="BK298" s="50"/>
      <c r="BL298" s="50"/>
      <c r="BM298" s="50"/>
      <c r="BN298" s="50"/>
      <c r="BO298" s="50"/>
      <c r="BP298" s="50"/>
      <c r="BQ298" s="50"/>
      <c r="BR298" s="50"/>
      <c r="BS298" s="50"/>
      <c r="BT298" s="50"/>
      <c r="BU298" s="50"/>
      <c r="BV298" s="50"/>
      <c r="BW298" s="50"/>
      <c r="BX298" s="50"/>
      <c r="BY298" s="50"/>
      <c r="BZ298" s="50"/>
      <c r="CA298" s="50"/>
      <c r="CB298" s="50"/>
    </row>
    <row r="299" spans="1:80" s="229" customFormat="1" ht="20.399999999999999" x14ac:dyDescent="0.25">
      <c r="A299" s="128" t="s">
        <v>1531</v>
      </c>
      <c r="B299" s="128" t="s">
        <v>474</v>
      </c>
      <c r="C299" s="136"/>
      <c r="D299" s="136"/>
      <c r="E299" s="136"/>
      <c r="F299" s="136"/>
      <c r="G299" s="133">
        <v>4</v>
      </c>
      <c r="H299" s="133">
        <v>3</v>
      </c>
      <c r="I299" s="133"/>
      <c r="J299" s="133"/>
      <c r="Z299">
        <f>IF(AND('4 Ope'!C299&gt;Tmin, NOT('4 Ope'!$I299="")),'4 Ope'!$I299,0)</f>
        <v>0</v>
      </c>
      <c r="AA299">
        <f>IF(AND('4 Ope'!C299&gt;Tmin, NOT('4 Ope'!$I299="")),'4 Ope'!$I299,0)</f>
        <v>0</v>
      </c>
      <c r="AB299">
        <f>IF(AND('4 Ope'!D299&gt;Tmin, NOT('4 Ope'!$I299="")),'4 Ope'!$I299,0)</f>
        <v>0</v>
      </c>
      <c r="AC299">
        <f>IF(AND('4 Ope'!E299&gt;Tmin, NOT('4 Ope'!$I299="")),'4 Ope'!$I299,0)</f>
        <v>0</v>
      </c>
      <c r="AD299">
        <f>IF(AND('4 Ope'!F299&gt;Tmin, NOT('4 Ope'!$I299="")),'4 Ope'!$I299,0)</f>
        <v>0</v>
      </c>
      <c r="AE299">
        <f>IF(AND('4 Ope'!C299&lt;Tmax, NOT('4 Ope'!$H299="")),'4 Ope'!$H299,4)</f>
        <v>3</v>
      </c>
      <c r="AF299">
        <f>IF(AND('4 Ope'!D299&lt;Tmax, NOT('4 Ope'!$H299="")),'4 Ope'!$H299,4)</f>
        <v>3</v>
      </c>
      <c r="AG299">
        <f>IF(AND('4 Ope'!E299&lt;Tmax, NOT('4 Ope'!$H299="")),'4 Ope'!$H299,4)</f>
        <v>3</v>
      </c>
      <c r="AH299">
        <f>IF(AND('4 Ope'!F299&lt;Tmax, NOT('4 Ope'!$H299="")),'4 Ope'!$H299,4)</f>
        <v>3</v>
      </c>
      <c r="AI299"/>
      <c r="AU299" s="50"/>
      <c r="AV299" s="50"/>
      <c r="AW299" s="50"/>
      <c r="AX299" s="50"/>
      <c r="AY299" s="50"/>
      <c r="AZ299" s="50"/>
      <c r="BA299" s="50"/>
      <c r="BB299" s="50"/>
      <c r="BC299" s="50"/>
      <c r="BD299" s="50"/>
      <c r="BE299" s="50"/>
      <c r="BF299" s="50"/>
      <c r="BG299" s="50"/>
      <c r="BH299" s="50"/>
      <c r="BI299" s="50"/>
      <c r="BJ299" s="50"/>
      <c r="BK299" s="50"/>
      <c r="BL299" s="50"/>
      <c r="BM299" s="50"/>
      <c r="BN299" s="50"/>
      <c r="BO299" s="50"/>
      <c r="BP299" s="50"/>
      <c r="BQ299" s="50"/>
      <c r="BR299" s="50"/>
      <c r="BS299" s="50"/>
      <c r="BT299" s="50"/>
      <c r="BU299" s="50"/>
      <c r="BV299" s="50"/>
      <c r="BW299" s="50"/>
      <c r="BX299" s="50"/>
      <c r="BY299" s="50"/>
      <c r="BZ299" s="50"/>
      <c r="CA299" s="50"/>
      <c r="CB299" s="50"/>
    </row>
    <row r="300" spans="1:80" s="229" customFormat="1" ht="20.399999999999999" x14ac:dyDescent="0.25">
      <c r="A300" s="128" t="s">
        <v>1532</v>
      </c>
      <c r="B300" s="128" t="s">
        <v>57</v>
      </c>
      <c r="C300" s="136"/>
      <c r="D300" s="136"/>
      <c r="E300" s="136"/>
      <c r="F300" s="136"/>
      <c r="G300" s="133">
        <v>4</v>
      </c>
      <c r="H300" s="133">
        <v>2</v>
      </c>
      <c r="I300" s="133"/>
      <c r="J300" s="133"/>
      <c r="Z300">
        <f>IF(AND('4 Ope'!C300&gt;Tmin, NOT('4 Ope'!$I300="")),'4 Ope'!$I300,0)</f>
        <v>0</v>
      </c>
      <c r="AA300">
        <f>IF(AND('4 Ope'!C300&gt;Tmin, NOT('4 Ope'!$I300="")),'4 Ope'!$I300,0)</f>
        <v>0</v>
      </c>
      <c r="AB300">
        <f>IF(AND('4 Ope'!D300&gt;Tmin, NOT('4 Ope'!$I300="")),'4 Ope'!$I300,0)</f>
        <v>0</v>
      </c>
      <c r="AC300">
        <f>IF(AND('4 Ope'!E300&gt;Tmin, NOT('4 Ope'!$I300="")),'4 Ope'!$I300,0)</f>
        <v>0</v>
      </c>
      <c r="AD300">
        <f>IF(AND('4 Ope'!F300&gt;Tmin, NOT('4 Ope'!$I300="")),'4 Ope'!$I300,0)</f>
        <v>0</v>
      </c>
      <c r="AE300">
        <f>IF(AND('4 Ope'!C300&lt;Tmax, NOT('4 Ope'!$H300="")),'4 Ope'!$H300,4)</f>
        <v>2</v>
      </c>
      <c r="AF300">
        <f>IF(AND('4 Ope'!D300&lt;Tmax, NOT('4 Ope'!$H300="")),'4 Ope'!$H300,4)</f>
        <v>2</v>
      </c>
      <c r="AG300">
        <f>IF(AND('4 Ope'!E300&lt;Tmax, NOT('4 Ope'!$H300="")),'4 Ope'!$H300,4)</f>
        <v>2</v>
      </c>
      <c r="AH300">
        <f>IF(AND('4 Ope'!F300&lt;Tmax, NOT('4 Ope'!$H300="")),'4 Ope'!$H300,4)</f>
        <v>2</v>
      </c>
      <c r="AI300"/>
      <c r="AU300" s="50"/>
      <c r="AV300" s="50"/>
      <c r="AW300" s="50"/>
      <c r="AX300" s="50"/>
      <c r="AY300" s="50"/>
      <c r="AZ300" s="50"/>
      <c r="BA300" s="50"/>
      <c r="BB300" s="50"/>
      <c r="BC300" s="50"/>
      <c r="BD300" s="50"/>
      <c r="BE300" s="50"/>
      <c r="BF300" s="50"/>
      <c r="BG300" s="50"/>
      <c r="BH300" s="50"/>
      <c r="BI300" s="50"/>
      <c r="BJ300" s="50"/>
      <c r="BK300" s="50"/>
      <c r="BL300" s="50"/>
      <c r="BM300" s="50"/>
      <c r="BN300" s="50"/>
      <c r="BO300" s="50"/>
      <c r="BP300" s="50"/>
      <c r="BQ300" s="50"/>
      <c r="BR300" s="50"/>
      <c r="BS300" s="50"/>
      <c r="BT300" s="50"/>
      <c r="BU300" s="50"/>
      <c r="BV300" s="50"/>
      <c r="BW300" s="50"/>
      <c r="BX300" s="50"/>
      <c r="BY300" s="50"/>
      <c r="BZ300" s="50"/>
      <c r="CA300" s="50"/>
      <c r="CB300" s="50"/>
    </row>
    <row r="301" spans="1:80" s="228" customFormat="1" x14ac:dyDescent="0.25">
      <c r="A301" s="128" t="s">
        <v>1533</v>
      </c>
      <c r="B301" s="128" t="s">
        <v>58</v>
      </c>
      <c r="C301" s="136"/>
      <c r="D301" s="136"/>
      <c r="E301" s="136"/>
      <c r="F301" s="136"/>
      <c r="G301" s="133">
        <v>4</v>
      </c>
      <c r="H301" s="133">
        <v>2</v>
      </c>
      <c r="I301" s="133"/>
      <c r="J301" s="133"/>
      <c r="K301" s="229"/>
      <c r="L301" s="229"/>
      <c r="M301" s="229"/>
      <c r="N301" s="229"/>
      <c r="O301" s="229"/>
      <c r="P301" s="229"/>
      <c r="Q301" s="229"/>
      <c r="R301" s="229"/>
      <c r="S301" s="229"/>
      <c r="T301" s="229"/>
      <c r="U301" s="229"/>
      <c r="V301" s="229"/>
      <c r="W301" s="229"/>
      <c r="X301" s="229"/>
      <c r="Y301" s="229"/>
      <c r="Z301">
        <f>IF(AND('4 Ope'!C301&gt;Tmin, NOT('4 Ope'!$I301="")),'4 Ope'!$I301,0)</f>
        <v>0</v>
      </c>
      <c r="AA301">
        <f>IF(AND('4 Ope'!C301&gt;Tmin, NOT('4 Ope'!$I301="")),'4 Ope'!$I301,0)</f>
        <v>0</v>
      </c>
      <c r="AB301">
        <f>IF(AND('4 Ope'!D301&gt;Tmin, NOT('4 Ope'!$I301="")),'4 Ope'!$I301,0)</f>
        <v>0</v>
      </c>
      <c r="AC301">
        <f>IF(AND('4 Ope'!E301&gt;Tmin, NOT('4 Ope'!$I301="")),'4 Ope'!$I301,0)</f>
        <v>0</v>
      </c>
      <c r="AD301">
        <f>IF(AND('4 Ope'!F301&gt;Tmin, NOT('4 Ope'!$I301="")),'4 Ope'!$I301,0)</f>
        <v>0</v>
      </c>
      <c r="AE301">
        <f>IF(AND('4 Ope'!C301&lt;Tmax, NOT('4 Ope'!$H301="")),'4 Ope'!$H301,4)</f>
        <v>2</v>
      </c>
      <c r="AF301">
        <f>IF(AND('4 Ope'!D301&lt;Tmax, NOT('4 Ope'!$H301="")),'4 Ope'!$H301,4)</f>
        <v>2</v>
      </c>
      <c r="AG301">
        <f>IF(AND('4 Ope'!E301&lt;Tmax, NOT('4 Ope'!$H301="")),'4 Ope'!$H301,4)</f>
        <v>2</v>
      </c>
      <c r="AH301">
        <f>IF(AND('4 Ope'!F301&lt;Tmax, NOT('4 Ope'!$H301="")),'4 Ope'!$H301,4)</f>
        <v>2</v>
      </c>
      <c r="AI301"/>
      <c r="AJ301" s="229"/>
      <c r="AK301" s="229"/>
      <c r="AL301" s="229"/>
      <c r="AM301" s="229"/>
      <c r="AN301" s="229"/>
      <c r="AO301" s="229"/>
      <c r="AP301" s="229"/>
      <c r="AQ301" s="229"/>
      <c r="AR301" s="229"/>
      <c r="AS301" s="229"/>
      <c r="AT301" s="229"/>
      <c r="AU301" s="50"/>
      <c r="AV301" s="50"/>
      <c r="AW301" s="50"/>
      <c r="AX301" s="50"/>
      <c r="AY301" s="50"/>
      <c r="AZ301" s="50"/>
      <c r="BA301" s="50"/>
      <c r="BB301" s="50"/>
      <c r="BC301" s="50"/>
      <c r="BD301" s="50"/>
      <c r="BE301" s="50"/>
      <c r="BF301" s="50"/>
      <c r="BG301" s="50"/>
      <c r="BH301" s="50"/>
      <c r="BI301" s="50"/>
      <c r="BJ301" s="50"/>
      <c r="BK301" s="50"/>
      <c r="BL301" s="50"/>
      <c r="BM301" s="50"/>
      <c r="BN301" s="50"/>
      <c r="BO301" s="50"/>
      <c r="BP301" s="50"/>
      <c r="BQ301" s="50"/>
      <c r="BR301" s="50"/>
      <c r="BS301" s="50"/>
      <c r="BT301" s="50"/>
      <c r="BU301" s="50"/>
      <c r="BV301" s="50"/>
      <c r="BW301" s="50"/>
      <c r="BX301" s="50"/>
      <c r="BY301" s="50"/>
      <c r="BZ301" s="50"/>
      <c r="CA301" s="50"/>
      <c r="CB301" s="50"/>
    </row>
    <row r="302" spans="1:80" s="228" customFormat="1" x14ac:dyDescent="0.25">
      <c r="A302" s="128" t="s">
        <v>1534</v>
      </c>
      <c r="B302" s="128" t="s">
        <v>325</v>
      </c>
      <c r="C302" s="136"/>
      <c r="D302" s="136"/>
      <c r="E302" s="136"/>
      <c r="F302" s="136"/>
      <c r="G302" s="133">
        <v>3</v>
      </c>
      <c r="H302" s="133"/>
      <c r="I302" s="133"/>
      <c r="J302" s="133"/>
      <c r="K302" s="229"/>
      <c r="L302" s="229"/>
      <c r="M302" s="229"/>
      <c r="N302" s="229"/>
      <c r="O302" s="229"/>
      <c r="P302" s="229"/>
      <c r="Q302" s="229"/>
      <c r="R302" s="229"/>
      <c r="S302" s="229"/>
      <c r="T302" s="229"/>
      <c r="U302" s="229"/>
      <c r="V302" s="229"/>
      <c r="W302" s="229"/>
      <c r="X302" s="229"/>
      <c r="Y302" s="229"/>
      <c r="Z302">
        <f>IF(AND('4 Ope'!C302&gt;Tmin, NOT('4 Ope'!$I302="")),'4 Ope'!$I302,0)</f>
        <v>0</v>
      </c>
      <c r="AA302">
        <f>IF(AND('4 Ope'!C302&gt;Tmin, NOT('4 Ope'!$I302="")),'4 Ope'!$I302,0)</f>
        <v>0</v>
      </c>
      <c r="AB302">
        <f>IF(AND('4 Ope'!D302&gt;Tmin, NOT('4 Ope'!$I302="")),'4 Ope'!$I302,0)</f>
        <v>0</v>
      </c>
      <c r="AC302">
        <f>IF(AND('4 Ope'!E302&gt;Tmin, NOT('4 Ope'!$I302="")),'4 Ope'!$I302,0)</f>
        <v>0</v>
      </c>
      <c r="AD302">
        <f>IF(AND('4 Ope'!F302&gt;Tmin, NOT('4 Ope'!$I302="")),'4 Ope'!$I302,0)</f>
        <v>0</v>
      </c>
      <c r="AE302">
        <f>IF(AND('4 Ope'!C302&lt;Tmax, NOT('4 Ope'!$H302="")),'4 Ope'!$H302,4)</f>
        <v>4</v>
      </c>
      <c r="AF302">
        <f>IF(AND('4 Ope'!D302&lt;Tmax, NOT('4 Ope'!$H302="")),'4 Ope'!$H302,4)</f>
        <v>4</v>
      </c>
      <c r="AG302">
        <f>IF(AND('4 Ope'!E302&lt;Tmax, NOT('4 Ope'!$H302="")),'4 Ope'!$H302,4)</f>
        <v>4</v>
      </c>
      <c r="AH302">
        <f>IF(AND('4 Ope'!F302&lt;Tmax, NOT('4 Ope'!$H302="")),'4 Ope'!$H302,4)</f>
        <v>4</v>
      </c>
      <c r="AI302"/>
      <c r="AJ302" s="229"/>
      <c r="AK302" s="229"/>
      <c r="AL302" s="229"/>
      <c r="AM302" s="229"/>
      <c r="AN302" s="229"/>
      <c r="AO302" s="229"/>
      <c r="AP302" s="229"/>
      <c r="AQ302" s="229"/>
      <c r="AR302" s="229"/>
      <c r="AS302" s="229"/>
      <c r="AT302" s="229"/>
      <c r="AU302" s="50"/>
      <c r="AV302" s="50"/>
      <c r="AW302" s="50"/>
      <c r="AX302" s="50"/>
      <c r="AY302" s="50"/>
      <c r="AZ302" s="50"/>
      <c r="BA302" s="50"/>
      <c r="BB302" s="50"/>
      <c r="BC302" s="50"/>
      <c r="BD302" s="50"/>
      <c r="BE302" s="50"/>
      <c r="BF302" s="50"/>
      <c r="BG302" s="50"/>
      <c r="BH302" s="50"/>
      <c r="BI302" s="50"/>
      <c r="BJ302" s="50"/>
      <c r="BK302" s="50"/>
      <c r="BL302" s="50"/>
      <c r="BM302" s="50"/>
      <c r="BN302" s="50"/>
      <c r="BO302" s="50"/>
      <c r="BP302" s="50"/>
      <c r="BQ302" s="50"/>
      <c r="BR302" s="50"/>
      <c r="BS302" s="50"/>
      <c r="BT302" s="50"/>
      <c r="BU302" s="50"/>
      <c r="BV302" s="50"/>
      <c r="BW302" s="50"/>
      <c r="BX302" s="50"/>
      <c r="BY302" s="50"/>
      <c r="BZ302" s="50"/>
      <c r="CA302" s="50"/>
      <c r="CB302" s="50"/>
    </row>
    <row r="303" spans="1:80" s="228" customFormat="1" x14ac:dyDescent="0.25">
      <c r="A303" s="128" t="s">
        <v>2144</v>
      </c>
      <c r="B303" s="128" t="s">
        <v>2145</v>
      </c>
      <c r="C303" s="136"/>
      <c r="D303" s="136"/>
      <c r="E303" s="136"/>
      <c r="F303" s="136"/>
      <c r="G303" s="133"/>
      <c r="H303" s="133"/>
      <c r="I303" s="133"/>
      <c r="J303" s="133"/>
      <c r="K303" s="229"/>
      <c r="L303" s="229"/>
      <c r="M303" s="229"/>
      <c r="N303" s="229"/>
      <c r="O303" s="229"/>
      <c r="P303" s="229"/>
      <c r="Q303" s="229"/>
      <c r="R303" s="229"/>
      <c r="S303" s="229"/>
      <c r="T303" s="229"/>
      <c r="U303" s="229"/>
      <c r="V303" s="229"/>
      <c r="W303" s="229"/>
      <c r="X303" s="229"/>
      <c r="Y303" s="229"/>
      <c r="Z303"/>
      <c r="AA303"/>
      <c r="AB303"/>
      <c r="AC303"/>
      <c r="AD303"/>
      <c r="AE303"/>
      <c r="AF303"/>
      <c r="AG303"/>
      <c r="AH303"/>
      <c r="AI303"/>
      <c r="AJ303" s="229"/>
      <c r="AK303" s="229"/>
      <c r="AL303" s="229"/>
      <c r="AM303" s="229"/>
      <c r="AN303" s="229"/>
      <c r="AO303" s="229"/>
      <c r="AP303" s="229"/>
      <c r="AQ303" s="229"/>
      <c r="AR303" s="229"/>
      <c r="AS303" s="229"/>
      <c r="AT303" s="229"/>
      <c r="AU303" s="50"/>
      <c r="AV303" s="50"/>
      <c r="AW303" s="50"/>
      <c r="AX303" s="50"/>
      <c r="AY303" s="50"/>
      <c r="AZ303" s="50"/>
      <c r="BA303" s="50"/>
      <c r="BB303" s="50"/>
      <c r="BC303" s="50"/>
      <c r="BD303" s="50"/>
      <c r="BE303" s="50"/>
      <c r="BF303" s="50"/>
      <c r="BG303" s="50"/>
      <c r="BH303" s="50"/>
      <c r="BI303" s="50"/>
      <c r="BJ303" s="50"/>
      <c r="BK303" s="50"/>
      <c r="BL303" s="50"/>
      <c r="BM303" s="50"/>
      <c r="BN303" s="50"/>
      <c r="BO303" s="50"/>
      <c r="BP303" s="50"/>
      <c r="BQ303" s="50"/>
      <c r="BR303" s="50"/>
      <c r="BS303" s="50"/>
      <c r="BT303" s="50"/>
      <c r="BU303" s="50"/>
      <c r="BV303" s="50"/>
      <c r="BW303" s="50"/>
      <c r="BX303" s="50"/>
      <c r="BY303" s="50"/>
      <c r="BZ303" s="50"/>
      <c r="CA303" s="50"/>
      <c r="CB303" s="50"/>
    </row>
    <row r="304" spans="1:80" s="228" customFormat="1" x14ac:dyDescent="0.25">
      <c r="A304" s="128" t="s">
        <v>637</v>
      </c>
      <c r="B304" s="128" t="s">
        <v>53</v>
      </c>
      <c r="C304" s="136"/>
      <c r="D304" s="136"/>
      <c r="E304" s="136"/>
      <c r="F304" s="136"/>
      <c r="G304" s="133"/>
      <c r="H304" s="133"/>
      <c r="I304" s="133"/>
      <c r="J304" s="133"/>
      <c r="K304" s="229"/>
      <c r="L304" s="229"/>
      <c r="M304" s="229"/>
      <c r="N304" s="229"/>
      <c r="O304" s="229"/>
      <c r="P304" s="229"/>
      <c r="Q304" s="229"/>
      <c r="R304" s="229"/>
      <c r="S304" s="229"/>
      <c r="T304" s="229"/>
      <c r="U304" s="229"/>
      <c r="V304" s="229"/>
      <c r="W304" s="229"/>
      <c r="X304" s="229"/>
      <c r="Y304" s="229"/>
      <c r="Z304"/>
      <c r="AA304"/>
      <c r="AB304"/>
      <c r="AC304"/>
      <c r="AD304"/>
      <c r="AE304"/>
      <c r="AF304"/>
      <c r="AG304"/>
      <c r="AH304"/>
      <c r="AI304"/>
      <c r="AJ304" s="229"/>
      <c r="AK304" s="229"/>
      <c r="AL304" s="229"/>
      <c r="AM304" s="229"/>
      <c r="AN304" s="229"/>
      <c r="AO304" s="229"/>
      <c r="AP304" s="229"/>
      <c r="AQ304" s="229"/>
      <c r="AR304" s="229"/>
      <c r="AS304" s="229"/>
      <c r="AT304" s="229"/>
      <c r="AU304" s="50"/>
      <c r="AV304" s="50"/>
      <c r="AW304" s="50"/>
      <c r="AX304" s="50"/>
      <c r="AY304" s="50"/>
      <c r="AZ304" s="50"/>
      <c r="BA304" s="50"/>
      <c r="BB304" s="50"/>
      <c r="BC304" s="50"/>
      <c r="BD304" s="50"/>
      <c r="BE304" s="50"/>
      <c r="BF304" s="50"/>
      <c r="BG304" s="50"/>
      <c r="BH304" s="50"/>
      <c r="BI304" s="50"/>
      <c r="BJ304" s="50"/>
      <c r="BK304" s="50"/>
      <c r="BL304" s="50"/>
      <c r="BM304" s="50"/>
      <c r="BN304" s="50"/>
      <c r="BO304" s="50"/>
      <c r="BP304" s="50"/>
      <c r="BQ304" s="50"/>
      <c r="BR304" s="50"/>
      <c r="BS304" s="50"/>
      <c r="BT304" s="50"/>
      <c r="BU304" s="50"/>
      <c r="BV304" s="50"/>
      <c r="BW304" s="50"/>
      <c r="BX304" s="50"/>
      <c r="BY304" s="50"/>
      <c r="BZ304" s="50"/>
      <c r="CA304" s="50"/>
      <c r="CB304" s="50"/>
    </row>
    <row r="305" spans="1:80" s="228" customFormat="1" x14ac:dyDescent="0.25">
      <c r="A305" s="128" t="s">
        <v>1219</v>
      </c>
      <c r="B305" s="128" t="s">
        <v>368</v>
      </c>
      <c r="C305" s="136"/>
      <c r="D305" s="136"/>
      <c r="E305" s="136"/>
      <c r="F305" s="136"/>
      <c r="G305" s="133">
        <v>4</v>
      </c>
      <c r="H305" s="133"/>
      <c r="I305" s="133"/>
      <c r="J305" s="133"/>
      <c r="K305" s="229"/>
      <c r="L305" s="229"/>
      <c r="M305" s="229"/>
      <c r="N305" s="229"/>
      <c r="O305" s="229"/>
      <c r="P305" s="229"/>
      <c r="Q305" s="229"/>
      <c r="R305" s="229"/>
      <c r="S305" s="229"/>
      <c r="T305" s="229"/>
      <c r="U305" s="229"/>
      <c r="V305" s="229"/>
      <c r="W305" s="229"/>
      <c r="X305" s="229"/>
      <c r="Y305" s="229"/>
      <c r="Z305">
        <f>IF(AND('4 Ope'!C305&gt;Tmin, NOT('4 Ope'!$I305="")),'4 Ope'!$I305,0)</f>
        <v>0</v>
      </c>
      <c r="AA305">
        <f>IF(AND('4 Ope'!C305&gt;Tmin, NOT('4 Ope'!$I305="")),'4 Ope'!$I305,0)</f>
        <v>0</v>
      </c>
      <c r="AB305">
        <f>IF(AND('4 Ope'!D305&gt;Tmin, NOT('4 Ope'!$I305="")),'4 Ope'!$I305,0)</f>
        <v>0</v>
      </c>
      <c r="AC305">
        <f>IF(AND('4 Ope'!E305&gt;Tmin, NOT('4 Ope'!$I305="")),'4 Ope'!$I305,0)</f>
        <v>0</v>
      </c>
      <c r="AD305">
        <f>IF(AND('4 Ope'!F305&gt;Tmin, NOT('4 Ope'!$I305="")),'4 Ope'!$I305,0)</f>
        <v>0</v>
      </c>
      <c r="AE305">
        <f>IF(AND('4 Ope'!C305&lt;Tmax, NOT('4 Ope'!$H305="")),'4 Ope'!$H305,4)</f>
        <v>4</v>
      </c>
      <c r="AF305">
        <f>IF(AND('4 Ope'!D305&lt;Tmax, NOT('4 Ope'!$H305="")),'4 Ope'!$H305,4)</f>
        <v>4</v>
      </c>
      <c r="AG305">
        <f>IF(AND('4 Ope'!E305&lt;Tmax, NOT('4 Ope'!$H305="")),'4 Ope'!$H305,4)</f>
        <v>4</v>
      </c>
      <c r="AH305">
        <f>IF(AND('4 Ope'!F305&lt;Tmax, NOT('4 Ope'!$H305="")),'4 Ope'!$H305,4)</f>
        <v>4</v>
      </c>
      <c r="AI305"/>
      <c r="AJ305" s="229"/>
      <c r="AK305" s="229"/>
      <c r="AL305" s="229"/>
      <c r="AM305" s="229"/>
      <c r="AN305" s="229"/>
      <c r="AO305" s="229"/>
      <c r="AP305" s="229"/>
      <c r="AQ305" s="229"/>
      <c r="AR305" s="229"/>
      <c r="AS305" s="229"/>
      <c r="AT305" s="229"/>
      <c r="AU305" s="50"/>
      <c r="AV305" s="50"/>
      <c r="AW305" s="50"/>
      <c r="AX305" s="50"/>
      <c r="AY305" s="50"/>
      <c r="AZ305" s="50"/>
      <c r="BA305" s="50"/>
      <c r="BB305" s="50"/>
      <c r="BC305" s="50"/>
      <c r="BD305" s="50"/>
      <c r="BE305" s="50"/>
      <c r="BF305" s="50"/>
      <c r="BG305" s="50"/>
      <c r="BH305" s="50"/>
      <c r="BI305" s="50"/>
      <c r="BJ305" s="50"/>
      <c r="BK305" s="50"/>
      <c r="BL305" s="50"/>
      <c r="BM305" s="50"/>
      <c r="BN305" s="50"/>
      <c r="BO305" s="50"/>
      <c r="BP305" s="50"/>
      <c r="BQ305" s="50"/>
      <c r="BR305" s="50"/>
      <c r="BS305" s="50"/>
      <c r="BT305" s="50"/>
      <c r="BU305" s="50"/>
      <c r="BV305" s="50"/>
      <c r="BW305" s="50"/>
      <c r="BX305" s="50"/>
      <c r="BY305" s="50"/>
      <c r="BZ305" s="50"/>
      <c r="CA305" s="50"/>
      <c r="CB305" s="50"/>
    </row>
    <row r="306" spans="1:80" s="228" customFormat="1" ht="20.399999999999999" x14ac:dyDescent="0.25">
      <c r="A306" s="128" t="s">
        <v>1220</v>
      </c>
      <c r="B306" s="128" t="s">
        <v>439</v>
      </c>
      <c r="C306" s="136"/>
      <c r="D306" s="136"/>
      <c r="E306" s="136"/>
      <c r="F306" s="136"/>
      <c r="G306" s="133">
        <v>4</v>
      </c>
      <c r="H306" s="133"/>
      <c r="I306" s="133"/>
      <c r="J306" s="133"/>
      <c r="K306" s="229"/>
      <c r="L306" s="229"/>
      <c r="M306" s="229"/>
      <c r="N306" s="229"/>
      <c r="O306" s="229"/>
      <c r="P306" s="229"/>
      <c r="Q306" s="229"/>
      <c r="R306" s="229"/>
      <c r="S306" s="229"/>
      <c r="T306" s="229"/>
      <c r="U306" s="229"/>
      <c r="V306" s="229"/>
      <c r="W306" s="229"/>
      <c r="X306" s="229"/>
      <c r="Y306" s="229"/>
      <c r="Z306">
        <f>IF(AND('4 Ope'!C306&gt;Tmin, NOT('4 Ope'!$I306="")),'4 Ope'!$I306,0)</f>
        <v>0</v>
      </c>
      <c r="AA306">
        <f>IF(AND('4 Ope'!C306&gt;Tmin, NOT('4 Ope'!$I306="")),'4 Ope'!$I306,0)</f>
        <v>0</v>
      </c>
      <c r="AB306">
        <f>IF(AND('4 Ope'!D306&gt;Tmin, NOT('4 Ope'!$I306="")),'4 Ope'!$I306,0)</f>
        <v>0</v>
      </c>
      <c r="AC306">
        <f>IF(AND('4 Ope'!E306&gt;Tmin, NOT('4 Ope'!$I306="")),'4 Ope'!$I306,0)</f>
        <v>0</v>
      </c>
      <c r="AD306">
        <f>IF(AND('4 Ope'!F306&gt;Tmin, NOT('4 Ope'!$I306="")),'4 Ope'!$I306,0)</f>
        <v>0</v>
      </c>
      <c r="AE306">
        <f>IF(AND('4 Ope'!C306&lt;Tmax, NOT('4 Ope'!$H306="")),'4 Ope'!$H306,4)</f>
        <v>4</v>
      </c>
      <c r="AF306">
        <f>IF(AND('4 Ope'!D306&lt;Tmax, NOT('4 Ope'!$H306="")),'4 Ope'!$H306,4)</f>
        <v>4</v>
      </c>
      <c r="AG306">
        <f>IF(AND('4 Ope'!E306&lt;Tmax, NOT('4 Ope'!$H306="")),'4 Ope'!$H306,4)</f>
        <v>4</v>
      </c>
      <c r="AH306">
        <f>IF(AND('4 Ope'!F306&lt;Tmax, NOT('4 Ope'!$H306="")),'4 Ope'!$H306,4)</f>
        <v>4</v>
      </c>
      <c r="AI306"/>
      <c r="AJ306" s="229"/>
      <c r="AK306" s="229"/>
      <c r="AL306" s="229"/>
      <c r="AM306" s="229"/>
      <c r="AN306" s="229"/>
      <c r="AO306" s="229"/>
      <c r="AP306" s="229"/>
      <c r="AQ306" s="229"/>
      <c r="AR306" s="229"/>
      <c r="AS306" s="229"/>
      <c r="AT306" s="229"/>
      <c r="AU306" s="50"/>
      <c r="AV306" s="50"/>
      <c r="AW306" s="50"/>
      <c r="AX306" s="50"/>
      <c r="AY306" s="50"/>
      <c r="AZ306" s="50"/>
      <c r="BA306" s="50"/>
      <c r="BB306" s="50"/>
      <c r="BC306" s="50"/>
      <c r="BD306" s="50"/>
      <c r="BE306" s="50"/>
      <c r="BF306" s="50"/>
      <c r="BG306" s="50"/>
      <c r="BH306" s="50"/>
      <c r="BI306" s="50"/>
      <c r="BJ306" s="50"/>
      <c r="BK306" s="50"/>
      <c r="BL306" s="50"/>
      <c r="BM306" s="50"/>
      <c r="BN306" s="50"/>
      <c r="BO306" s="50"/>
      <c r="BP306" s="50"/>
      <c r="BQ306" s="50"/>
      <c r="BR306" s="50"/>
      <c r="BS306" s="50"/>
      <c r="BT306" s="50"/>
      <c r="BU306" s="50"/>
      <c r="BV306" s="50"/>
      <c r="BW306" s="50"/>
      <c r="BX306" s="50"/>
      <c r="BY306" s="50"/>
      <c r="BZ306" s="50"/>
      <c r="CA306" s="50"/>
      <c r="CB306" s="50"/>
    </row>
    <row r="307" spans="1:80" s="228" customFormat="1" ht="20.399999999999999" x14ac:dyDescent="0.25">
      <c r="A307" s="128" t="s">
        <v>1221</v>
      </c>
      <c r="B307" s="128" t="s">
        <v>29</v>
      </c>
      <c r="C307" s="136"/>
      <c r="D307" s="136"/>
      <c r="E307" s="136"/>
      <c r="F307" s="136"/>
      <c r="G307" s="133">
        <v>4</v>
      </c>
      <c r="H307" s="133">
        <v>1</v>
      </c>
      <c r="I307" s="133"/>
      <c r="J307" s="133"/>
      <c r="K307" s="229"/>
      <c r="L307" s="229"/>
      <c r="M307" s="229"/>
      <c r="N307" s="229"/>
      <c r="O307" s="229"/>
      <c r="P307" s="229"/>
      <c r="Q307" s="229"/>
      <c r="R307" s="229"/>
      <c r="S307" s="229"/>
      <c r="T307" s="229"/>
      <c r="U307" s="229"/>
      <c r="V307" s="229"/>
      <c r="W307" s="229"/>
      <c r="X307" s="229"/>
      <c r="Y307" s="229"/>
      <c r="Z307">
        <f>IF(AND('4 Ope'!C307&gt;Tmin, NOT('4 Ope'!$I307="")),'4 Ope'!$I307,0)</f>
        <v>0</v>
      </c>
      <c r="AA307">
        <f>IF(AND('4 Ope'!C307&gt;Tmin, NOT('4 Ope'!$I307="")),'4 Ope'!$I307,0)</f>
        <v>0</v>
      </c>
      <c r="AB307">
        <f>IF(AND('4 Ope'!D307&gt;Tmin, NOT('4 Ope'!$I307="")),'4 Ope'!$I307,0)</f>
        <v>0</v>
      </c>
      <c r="AC307">
        <f>IF(AND('4 Ope'!E307&gt;Tmin, NOT('4 Ope'!$I307="")),'4 Ope'!$I307,0)</f>
        <v>0</v>
      </c>
      <c r="AD307">
        <f>IF(AND('4 Ope'!F307&gt;Tmin, NOT('4 Ope'!$I307="")),'4 Ope'!$I307,0)</f>
        <v>0</v>
      </c>
      <c r="AE307">
        <f>IF(AND('4 Ope'!C307&lt;Tmax, NOT('4 Ope'!$H307="")),'4 Ope'!$H307,4)</f>
        <v>1</v>
      </c>
      <c r="AF307">
        <f>IF(AND('4 Ope'!D307&lt;Tmax, NOT('4 Ope'!$H307="")),'4 Ope'!$H307,4)</f>
        <v>1</v>
      </c>
      <c r="AG307">
        <f>IF(AND('4 Ope'!E307&lt;Tmax, NOT('4 Ope'!$H307="")),'4 Ope'!$H307,4)</f>
        <v>1</v>
      </c>
      <c r="AH307">
        <f>IF(AND('4 Ope'!F307&lt;Tmax, NOT('4 Ope'!$H307="")),'4 Ope'!$H307,4)</f>
        <v>1</v>
      </c>
      <c r="AI307"/>
      <c r="AJ307" s="229"/>
      <c r="AK307" s="229"/>
      <c r="AL307" s="229"/>
      <c r="AM307" s="229"/>
      <c r="AN307" s="229"/>
      <c r="AO307" s="229"/>
      <c r="AP307" s="229"/>
      <c r="AQ307" s="229"/>
      <c r="AR307" s="229"/>
      <c r="AS307" s="229"/>
      <c r="AT307" s="229"/>
      <c r="AU307" s="50"/>
      <c r="AV307" s="50"/>
      <c r="AW307" s="50"/>
      <c r="AX307" s="50"/>
      <c r="AY307" s="50"/>
      <c r="AZ307" s="50"/>
      <c r="BA307" s="50"/>
      <c r="BB307" s="50"/>
      <c r="BC307" s="50"/>
      <c r="BD307" s="50"/>
      <c r="BE307" s="50"/>
      <c r="BF307" s="50"/>
      <c r="BG307" s="50"/>
      <c r="BH307" s="50"/>
      <c r="BI307" s="50"/>
      <c r="BJ307" s="50"/>
      <c r="BK307" s="50"/>
      <c r="BL307" s="50"/>
      <c r="BM307" s="50"/>
      <c r="BN307" s="50"/>
      <c r="BO307" s="50"/>
      <c r="BP307" s="50"/>
      <c r="BQ307" s="50"/>
      <c r="BR307" s="50"/>
      <c r="BS307" s="50"/>
      <c r="BT307" s="50"/>
      <c r="BU307" s="50"/>
      <c r="BV307" s="50"/>
      <c r="BW307" s="50"/>
      <c r="BX307" s="50"/>
      <c r="BY307" s="50"/>
      <c r="BZ307" s="50"/>
      <c r="CA307" s="50"/>
      <c r="CB307" s="50"/>
    </row>
    <row r="308" spans="1:80" s="228" customFormat="1" ht="40.799999999999997" x14ac:dyDescent="0.25">
      <c r="A308" s="128" t="s">
        <v>1222</v>
      </c>
      <c r="B308" s="128" t="s">
        <v>8</v>
      </c>
      <c r="C308" s="136"/>
      <c r="D308" s="136"/>
      <c r="E308" s="136"/>
      <c r="F308" s="136"/>
      <c r="G308" s="133">
        <v>4</v>
      </c>
      <c r="H308" s="133"/>
      <c r="I308" s="133"/>
      <c r="J308" s="133"/>
      <c r="K308" s="229"/>
      <c r="L308" s="229"/>
      <c r="M308" s="229"/>
      <c r="N308" s="229"/>
      <c r="O308" s="229"/>
      <c r="P308" s="229"/>
      <c r="Q308" s="229"/>
      <c r="R308" s="229"/>
      <c r="S308" s="229"/>
      <c r="T308" s="229"/>
      <c r="U308" s="229"/>
      <c r="V308" s="229"/>
      <c r="W308" s="229"/>
      <c r="X308" s="229"/>
      <c r="Y308" s="229"/>
      <c r="Z308">
        <f>IF(AND('4 Ope'!C308&gt;Tmin, NOT('4 Ope'!$I308="")),'4 Ope'!$I308,0)</f>
        <v>0</v>
      </c>
      <c r="AA308">
        <f>IF(AND('4 Ope'!C308&gt;Tmin, NOT('4 Ope'!$I308="")),'4 Ope'!$I308,0)</f>
        <v>0</v>
      </c>
      <c r="AB308">
        <f>IF(AND('4 Ope'!D308&gt;Tmin, NOT('4 Ope'!$I308="")),'4 Ope'!$I308,0)</f>
        <v>0</v>
      </c>
      <c r="AC308">
        <f>IF(AND('4 Ope'!E308&gt;Tmin, NOT('4 Ope'!$I308="")),'4 Ope'!$I308,0)</f>
        <v>0</v>
      </c>
      <c r="AD308">
        <f>IF(AND('4 Ope'!F308&gt;Tmin, NOT('4 Ope'!$I308="")),'4 Ope'!$I308,0)</f>
        <v>0</v>
      </c>
      <c r="AE308">
        <f>IF(AND('4 Ope'!C308&lt;Tmax, NOT('4 Ope'!$H308="")),'4 Ope'!$H308,4)</f>
        <v>4</v>
      </c>
      <c r="AF308">
        <f>IF(AND('4 Ope'!D308&lt;Tmax, NOT('4 Ope'!$H308="")),'4 Ope'!$H308,4)</f>
        <v>4</v>
      </c>
      <c r="AG308">
        <f>IF(AND('4 Ope'!E308&lt;Tmax, NOT('4 Ope'!$H308="")),'4 Ope'!$H308,4)</f>
        <v>4</v>
      </c>
      <c r="AH308">
        <f>IF(AND('4 Ope'!F308&lt;Tmax, NOT('4 Ope'!$H308="")),'4 Ope'!$H308,4)</f>
        <v>4</v>
      </c>
      <c r="AI308"/>
      <c r="AJ308" s="229"/>
      <c r="AK308" s="229"/>
      <c r="AL308" s="229"/>
      <c r="AM308" s="229"/>
      <c r="AN308" s="229"/>
      <c r="AO308" s="229"/>
      <c r="AP308" s="229"/>
      <c r="AQ308" s="229"/>
      <c r="AR308" s="229"/>
      <c r="AS308" s="229"/>
      <c r="AT308" s="229"/>
      <c r="AU308" s="50"/>
      <c r="AV308" s="50"/>
      <c r="AW308" s="50"/>
      <c r="AX308" s="50"/>
      <c r="AY308" s="50"/>
      <c r="AZ308" s="50"/>
      <c r="BA308" s="50"/>
      <c r="BB308" s="50"/>
      <c r="BC308" s="50"/>
      <c r="BD308" s="50"/>
      <c r="BE308" s="50"/>
      <c r="BF308" s="50"/>
      <c r="BG308" s="50"/>
      <c r="BH308" s="50"/>
      <c r="BI308" s="50"/>
      <c r="BJ308" s="50"/>
      <c r="BK308" s="50"/>
      <c r="BL308" s="50"/>
      <c r="BM308" s="50"/>
      <c r="BN308" s="50"/>
      <c r="BO308" s="50"/>
      <c r="BP308" s="50"/>
      <c r="BQ308" s="50"/>
      <c r="BR308" s="50"/>
      <c r="BS308" s="50"/>
      <c r="BT308" s="50"/>
      <c r="BU308" s="50"/>
      <c r="BV308" s="50"/>
      <c r="BW308" s="50"/>
      <c r="BX308" s="50"/>
      <c r="BY308" s="50"/>
      <c r="BZ308" s="50"/>
      <c r="CA308" s="50"/>
      <c r="CB308" s="50"/>
    </row>
    <row r="309" spans="1:80" s="228" customFormat="1" ht="51" x14ac:dyDescent="0.25">
      <c r="A309" s="128" t="s">
        <v>1223</v>
      </c>
      <c r="B309" s="128" t="s">
        <v>39</v>
      </c>
      <c r="C309" s="136"/>
      <c r="D309" s="136"/>
      <c r="E309" s="136"/>
      <c r="F309" s="136"/>
      <c r="G309" s="133">
        <v>4</v>
      </c>
      <c r="H309" s="133">
        <v>1</v>
      </c>
      <c r="I309" s="133"/>
      <c r="J309" s="133"/>
      <c r="K309" s="229"/>
      <c r="L309" s="229"/>
      <c r="M309" s="229"/>
      <c r="N309" s="229"/>
      <c r="O309" s="229"/>
      <c r="P309" s="229"/>
      <c r="Q309" s="229"/>
      <c r="R309" s="229"/>
      <c r="S309" s="229"/>
      <c r="T309" s="229"/>
      <c r="U309" s="229"/>
      <c r="V309" s="229"/>
      <c r="W309" s="229"/>
      <c r="X309" s="229"/>
      <c r="Y309" s="229"/>
      <c r="Z309">
        <f>IF(AND('4 Ope'!C309&gt;Tmin, NOT('4 Ope'!$I309="")),'4 Ope'!$I309,0)</f>
        <v>0</v>
      </c>
      <c r="AA309">
        <f>IF(AND('4 Ope'!C309&gt;Tmin, NOT('4 Ope'!$I309="")),'4 Ope'!$I309,0)</f>
        <v>0</v>
      </c>
      <c r="AB309">
        <f>IF(AND('4 Ope'!D309&gt;Tmin, NOT('4 Ope'!$I309="")),'4 Ope'!$I309,0)</f>
        <v>0</v>
      </c>
      <c r="AC309">
        <f>IF(AND('4 Ope'!E309&gt;Tmin, NOT('4 Ope'!$I309="")),'4 Ope'!$I309,0)</f>
        <v>0</v>
      </c>
      <c r="AD309">
        <f>IF(AND('4 Ope'!F309&gt;Tmin, NOT('4 Ope'!$I309="")),'4 Ope'!$I309,0)</f>
        <v>0</v>
      </c>
      <c r="AE309">
        <f>IF(AND('4 Ope'!C309&lt;Tmax, NOT('4 Ope'!$H309="")),'4 Ope'!$H309,4)</f>
        <v>1</v>
      </c>
      <c r="AF309">
        <f>IF(AND('4 Ope'!D309&lt;Tmax, NOT('4 Ope'!$H309="")),'4 Ope'!$H309,4)</f>
        <v>1</v>
      </c>
      <c r="AG309">
        <f>IF(AND('4 Ope'!E309&lt;Tmax, NOT('4 Ope'!$H309="")),'4 Ope'!$H309,4)</f>
        <v>1</v>
      </c>
      <c r="AH309">
        <f>IF(AND('4 Ope'!F309&lt;Tmax, NOT('4 Ope'!$H309="")),'4 Ope'!$H309,4)</f>
        <v>1</v>
      </c>
      <c r="AI309"/>
      <c r="AJ309" s="229"/>
      <c r="AK309" s="229"/>
      <c r="AL309" s="229"/>
      <c r="AM309" s="229"/>
      <c r="AN309" s="229"/>
      <c r="AO309" s="229"/>
      <c r="AP309" s="229"/>
      <c r="AQ309" s="229"/>
      <c r="AR309" s="229"/>
      <c r="AS309" s="229"/>
      <c r="AT309" s="229"/>
      <c r="AU309" s="50"/>
      <c r="AV309" s="50"/>
      <c r="AW309" s="50"/>
      <c r="AX309" s="50"/>
      <c r="AY309" s="50"/>
      <c r="AZ309" s="50"/>
      <c r="BA309" s="50"/>
      <c r="BB309" s="50"/>
      <c r="BC309" s="50"/>
      <c r="BD309" s="50"/>
      <c r="BE309" s="50"/>
      <c r="BF309" s="50"/>
      <c r="BG309" s="50"/>
      <c r="BH309" s="50"/>
      <c r="BI309" s="50"/>
      <c r="BJ309" s="50"/>
      <c r="BK309" s="50"/>
      <c r="BL309" s="50"/>
      <c r="BM309" s="50"/>
      <c r="BN309" s="50"/>
      <c r="BO309" s="50"/>
      <c r="BP309" s="50"/>
      <c r="BQ309" s="50"/>
      <c r="BR309" s="50"/>
      <c r="BS309" s="50"/>
      <c r="BT309" s="50"/>
      <c r="BU309" s="50"/>
      <c r="BV309" s="50"/>
      <c r="BW309" s="50"/>
      <c r="BX309" s="50"/>
      <c r="BY309" s="50"/>
      <c r="BZ309" s="50"/>
      <c r="CA309" s="50"/>
      <c r="CB309" s="50"/>
    </row>
    <row r="310" spans="1:80" s="228" customFormat="1" x14ac:dyDescent="0.25">
      <c r="A310" s="128" t="s">
        <v>1224</v>
      </c>
      <c r="B310" s="128" t="s">
        <v>299</v>
      </c>
      <c r="C310" s="136"/>
      <c r="D310" s="136"/>
      <c r="E310" s="136"/>
      <c r="F310" s="136"/>
      <c r="G310" s="133">
        <v>2</v>
      </c>
      <c r="H310" s="133">
        <v>1</v>
      </c>
      <c r="I310" s="133"/>
      <c r="J310" s="133"/>
      <c r="K310" s="229"/>
      <c r="L310" s="229"/>
      <c r="M310" s="229"/>
      <c r="N310" s="229"/>
      <c r="O310" s="229"/>
      <c r="P310" s="229"/>
      <c r="Q310" s="229"/>
      <c r="R310" s="229"/>
      <c r="S310" s="229"/>
      <c r="T310" s="229"/>
      <c r="U310" s="229"/>
      <c r="V310" s="229"/>
      <c r="W310" s="229"/>
      <c r="X310" s="229"/>
      <c r="Y310" s="229"/>
      <c r="Z310">
        <f>IF(AND('4 Ope'!C310&gt;Tmin, NOT('4 Ope'!$I310="")),'4 Ope'!$I310,0)</f>
        <v>0</v>
      </c>
      <c r="AA310">
        <f>IF(AND('4 Ope'!C310&gt;Tmin, NOT('4 Ope'!$I310="")),'4 Ope'!$I310,0)</f>
        <v>0</v>
      </c>
      <c r="AB310">
        <f>IF(AND('4 Ope'!D310&gt;Tmin, NOT('4 Ope'!$I310="")),'4 Ope'!$I310,0)</f>
        <v>0</v>
      </c>
      <c r="AC310">
        <f>IF(AND('4 Ope'!E310&gt;Tmin, NOT('4 Ope'!$I310="")),'4 Ope'!$I310,0)</f>
        <v>0</v>
      </c>
      <c r="AD310">
        <f>IF(AND('4 Ope'!F310&gt;Tmin, NOT('4 Ope'!$I310="")),'4 Ope'!$I310,0)</f>
        <v>0</v>
      </c>
      <c r="AE310">
        <f>IF(AND('4 Ope'!C310&lt;Tmax, NOT('4 Ope'!$H310="")),'4 Ope'!$H310,4)</f>
        <v>1</v>
      </c>
      <c r="AF310">
        <f>IF(AND('4 Ope'!D310&lt;Tmax, NOT('4 Ope'!$H310="")),'4 Ope'!$H310,4)</f>
        <v>1</v>
      </c>
      <c r="AG310">
        <f>IF(AND('4 Ope'!E310&lt;Tmax, NOT('4 Ope'!$H310="")),'4 Ope'!$H310,4)</f>
        <v>1</v>
      </c>
      <c r="AH310">
        <f>IF(AND('4 Ope'!F310&lt;Tmax, NOT('4 Ope'!$H310="")),'4 Ope'!$H310,4)</f>
        <v>1</v>
      </c>
      <c r="AI310"/>
      <c r="AJ310" s="229"/>
      <c r="AK310" s="229"/>
      <c r="AL310" s="229"/>
      <c r="AM310" s="229"/>
      <c r="AN310" s="229"/>
      <c r="AO310" s="229"/>
      <c r="AP310" s="229"/>
      <c r="AQ310" s="229"/>
      <c r="AR310" s="229"/>
      <c r="AS310" s="229"/>
      <c r="AT310" s="229"/>
      <c r="AU310" s="50"/>
      <c r="AV310" s="50"/>
      <c r="AW310" s="50"/>
      <c r="AX310" s="50"/>
      <c r="AY310" s="50"/>
      <c r="AZ310" s="50"/>
      <c r="BA310" s="50"/>
      <c r="BB310" s="50"/>
      <c r="BC310" s="50"/>
      <c r="BD310" s="50"/>
      <c r="BE310" s="50"/>
      <c r="BF310" s="50"/>
      <c r="BG310" s="50"/>
      <c r="BH310" s="50"/>
      <c r="BI310" s="50"/>
      <c r="BJ310" s="50"/>
      <c r="BK310" s="50"/>
      <c r="BL310" s="50"/>
      <c r="BM310" s="50"/>
      <c r="BN310" s="50"/>
      <c r="BO310" s="50"/>
      <c r="BP310" s="50"/>
      <c r="BQ310" s="50"/>
      <c r="BR310" s="50"/>
      <c r="BS310" s="50"/>
      <c r="BT310" s="50"/>
      <c r="BU310" s="50"/>
      <c r="BV310" s="50"/>
      <c r="BW310" s="50"/>
      <c r="BX310" s="50"/>
      <c r="BY310" s="50"/>
      <c r="BZ310" s="50"/>
      <c r="CA310" s="50"/>
      <c r="CB310" s="50"/>
    </row>
    <row r="311" spans="1:80" s="228" customFormat="1" x14ac:dyDescent="0.25">
      <c r="A311" s="128" t="s">
        <v>1225</v>
      </c>
      <c r="B311" s="128" t="s">
        <v>1226</v>
      </c>
      <c r="C311" s="136"/>
      <c r="D311" s="136"/>
      <c r="E311" s="136"/>
      <c r="F311" s="136"/>
      <c r="G311" s="133">
        <v>4</v>
      </c>
      <c r="H311" s="133">
        <v>3</v>
      </c>
      <c r="I311" s="133"/>
      <c r="J311" s="133"/>
      <c r="K311" s="229"/>
      <c r="L311" s="229"/>
      <c r="M311" s="229"/>
      <c r="N311" s="229"/>
      <c r="O311" s="229"/>
      <c r="P311" s="229"/>
      <c r="Q311" s="229"/>
      <c r="R311" s="229"/>
      <c r="S311" s="229"/>
      <c r="T311" s="229"/>
      <c r="U311" s="229"/>
      <c r="V311" s="229"/>
      <c r="W311" s="229"/>
      <c r="X311" s="229"/>
      <c r="Y311" s="229"/>
      <c r="Z311">
        <f>IF(AND('4 Ope'!C311&gt;Tmin, NOT('4 Ope'!$I311="")),'4 Ope'!$I311,0)</f>
        <v>0</v>
      </c>
      <c r="AA311">
        <f>IF(AND('4 Ope'!C311&gt;Tmin, NOT('4 Ope'!$I311="")),'4 Ope'!$I311,0)</f>
        <v>0</v>
      </c>
      <c r="AB311">
        <f>IF(AND('4 Ope'!D311&gt;Tmin, NOT('4 Ope'!$I311="")),'4 Ope'!$I311,0)</f>
        <v>0</v>
      </c>
      <c r="AC311">
        <f>IF(AND('4 Ope'!E311&gt;Tmin, NOT('4 Ope'!$I311="")),'4 Ope'!$I311,0)</f>
        <v>0</v>
      </c>
      <c r="AD311">
        <f>IF(AND('4 Ope'!F311&gt;Tmin, NOT('4 Ope'!$I311="")),'4 Ope'!$I311,0)</f>
        <v>0</v>
      </c>
      <c r="AE311">
        <f>IF(AND('4 Ope'!C311&lt;Tmax, NOT('4 Ope'!$H311="")),'4 Ope'!$H311,4)</f>
        <v>3</v>
      </c>
      <c r="AF311">
        <f>IF(AND('4 Ope'!D311&lt;Tmax, NOT('4 Ope'!$H311="")),'4 Ope'!$H311,4)</f>
        <v>3</v>
      </c>
      <c r="AG311">
        <f>IF(AND('4 Ope'!E311&lt;Tmax, NOT('4 Ope'!$H311="")),'4 Ope'!$H311,4)</f>
        <v>3</v>
      </c>
      <c r="AH311">
        <f>IF(AND('4 Ope'!F311&lt;Tmax, NOT('4 Ope'!$H311="")),'4 Ope'!$H311,4)</f>
        <v>3</v>
      </c>
      <c r="AI311"/>
      <c r="AJ311" s="229"/>
      <c r="AK311" s="229"/>
      <c r="AL311" s="229"/>
      <c r="AM311" s="229"/>
      <c r="AN311" s="229"/>
      <c r="AO311" s="229"/>
      <c r="AP311" s="229"/>
      <c r="AQ311" s="229"/>
      <c r="AR311" s="229"/>
      <c r="AS311" s="229"/>
      <c r="AT311" s="229"/>
      <c r="AU311" s="50"/>
      <c r="AV311" s="50"/>
      <c r="AW311" s="50"/>
      <c r="AX311" s="50"/>
      <c r="AY311" s="50"/>
      <c r="AZ311" s="50"/>
      <c r="BA311" s="50"/>
      <c r="BB311" s="50"/>
      <c r="BC311" s="50"/>
      <c r="BD311" s="50"/>
      <c r="BE311" s="50"/>
      <c r="BF311" s="50"/>
      <c r="BG311" s="50"/>
      <c r="BH311" s="50"/>
      <c r="BI311" s="50"/>
      <c r="BJ311" s="50"/>
      <c r="BK311" s="50"/>
      <c r="BL311" s="50"/>
      <c r="BM311" s="50"/>
      <c r="BN311" s="50"/>
      <c r="BO311" s="50"/>
      <c r="BP311" s="50"/>
      <c r="BQ311" s="50"/>
      <c r="BR311" s="50"/>
      <c r="BS311" s="50"/>
      <c r="BT311" s="50"/>
      <c r="BU311" s="50"/>
      <c r="BV311" s="50"/>
      <c r="BW311" s="50"/>
      <c r="BX311" s="50"/>
      <c r="BY311" s="50"/>
      <c r="BZ311" s="50"/>
      <c r="CA311" s="50"/>
      <c r="CB311" s="50"/>
    </row>
    <row r="312" spans="1:80" s="228" customFormat="1" ht="20.399999999999999" x14ac:dyDescent="0.25">
      <c r="A312" s="128" t="s">
        <v>1227</v>
      </c>
      <c r="B312" s="128" t="s">
        <v>6763</v>
      </c>
      <c r="C312" s="136"/>
      <c r="D312" s="136"/>
      <c r="E312" s="136"/>
      <c r="F312" s="136"/>
      <c r="G312" s="133">
        <v>4</v>
      </c>
      <c r="H312" s="133"/>
      <c r="I312" s="133"/>
      <c r="J312" s="133"/>
      <c r="K312" s="229"/>
      <c r="L312" s="229"/>
      <c r="M312" s="229"/>
      <c r="N312" s="229"/>
      <c r="O312" s="229"/>
      <c r="P312" s="229"/>
      <c r="Q312" s="229"/>
      <c r="R312" s="229"/>
      <c r="S312" s="229"/>
      <c r="T312" s="229"/>
      <c r="U312" s="229"/>
      <c r="V312" s="229"/>
      <c r="W312" s="229"/>
      <c r="X312" s="229"/>
      <c r="Y312" s="229"/>
      <c r="Z312">
        <f>IF(AND('4 Ope'!C312&gt;Tmin, NOT('4 Ope'!$I312="")),'4 Ope'!$I312,0)</f>
        <v>0</v>
      </c>
      <c r="AA312">
        <f>IF(AND('4 Ope'!C312&gt;Tmin, NOT('4 Ope'!$I312="")),'4 Ope'!$I312,0)</f>
        <v>0</v>
      </c>
      <c r="AB312">
        <f>IF(AND('4 Ope'!D312&gt;Tmin, NOT('4 Ope'!$I312="")),'4 Ope'!$I312,0)</f>
        <v>0</v>
      </c>
      <c r="AC312">
        <f>IF(AND('4 Ope'!E312&gt;Tmin, NOT('4 Ope'!$I312="")),'4 Ope'!$I312,0)</f>
        <v>0</v>
      </c>
      <c r="AD312">
        <f>IF(AND('4 Ope'!F312&gt;Tmin, NOT('4 Ope'!$I312="")),'4 Ope'!$I312,0)</f>
        <v>0</v>
      </c>
      <c r="AE312">
        <f>IF(AND('4 Ope'!C312&lt;Tmax, NOT('4 Ope'!$H312="")),'4 Ope'!$H312,4)</f>
        <v>4</v>
      </c>
      <c r="AF312">
        <f>IF(AND('4 Ope'!D312&lt;Tmax, NOT('4 Ope'!$H312="")),'4 Ope'!$H312,4)</f>
        <v>4</v>
      </c>
      <c r="AG312">
        <f>IF(AND('4 Ope'!E312&lt;Tmax, NOT('4 Ope'!$H312="")),'4 Ope'!$H312,4)</f>
        <v>4</v>
      </c>
      <c r="AH312">
        <f>IF(AND('4 Ope'!F312&lt;Tmax, NOT('4 Ope'!$H312="")),'4 Ope'!$H312,4)</f>
        <v>4</v>
      </c>
      <c r="AI312"/>
      <c r="AJ312" s="229"/>
      <c r="AK312" s="229"/>
      <c r="AL312" s="229"/>
      <c r="AM312" s="229"/>
      <c r="AN312" s="229"/>
      <c r="AO312" s="229"/>
      <c r="AP312" s="229"/>
      <c r="AQ312" s="229"/>
      <c r="AR312" s="229"/>
      <c r="AS312" s="229"/>
      <c r="AT312" s="229"/>
      <c r="AU312" s="50"/>
      <c r="AV312" s="50"/>
      <c r="AW312" s="50"/>
      <c r="AX312" s="50"/>
      <c r="AY312" s="50"/>
      <c r="AZ312" s="50"/>
      <c r="BA312" s="50"/>
      <c r="BB312" s="50"/>
      <c r="BC312" s="50"/>
      <c r="BD312" s="50"/>
      <c r="BE312" s="50"/>
      <c r="BF312" s="50"/>
      <c r="BG312" s="50"/>
      <c r="BH312" s="50"/>
      <c r="BI312" s="50"/>
      <c r="BJ312" s="50"/>
      <c r="BK312" s="50"/>
      <c r="BL312" s="50"/>
      <c r="BM312" s="50"/>
      <c r="BN312" s="50"/>
      <c r="BO312" s="50"/>
      <c r="BP312" s="50"/>
      <c r="BQ312" s="50"/>
      <c r="BR312" s="50"/>
      <c r="BS312" s="50"/>
      <c r="BT312" s="50"/>
      <c r="BU312" s="50"/>
      <c r="BV312" s="50"/>
      <c r="BW312" s="50"/>
      <c r="BX312" s="50"/>
      <c r="BY312" s="50"/>
      <c r="BZ312" s="50"/>
      <c r="CA312" s="50"/>
      <c r="CB312" s="50"/>
    </row>
    <row r="313" spans="1:80" s="228" customFormat="1" ht="40.799999999999997" x14ac:dyDescent="0.25">
      <c r="A313" s="128" t="s">
        <v>1228</v>
      </c>
      <c r="B313" s="128" t="s">
        <v>40</v>
      </c>
      <c r="C313" s="136"/>
      <c r="D313" s="136"/>
      <c r="E313" s="136"/>
      <c r="F313" s="136"/>
      <c r="G313" s="133">
        <v>4</v>
      </c>
      <c r="H313" s="133">
        <v>2</v>
      </c>
      <c r="I313" s="133"/>
      <c r="J313" s="133"/>
      <c r="K313" s="229"/>
      <c r="L313" s="229"/>
      <c r="M313" s="229"/>
      <c r="N313" s="229"/>
      <c r="O313" s="229"/>
      <c r="P313" s="229"/>
      <c r="Q313" s="229"/>
      <c r="R313" s="229"/>
      <c r="S313" s="229"/>
      <c r="T313" s="229"/>
      <c r="U313" s="229"/>
      <c r="V313" s="229"/>
      <c r="W313" s="229"/>
      <c r="X313" s="229"/>
      <c r="Y313" s="229"/>
      <c r="Z313">
        <f>IF(AND('4 Ope'!C313&gt;Tmin, NOT('4 Ope'!$I313="")),'4 Ope'!$I313,0)</f>
        <v>0</v>
      </c>
      <c r="AA313">
        <f>IF(AND('4 Ope'!C313&gt;Tmin, NOT('4 Ope'!$I313="")),'4 Ope'!$I313,0)</f>
        <v>0</v>
      </c>
      <c r="AB313">
        <f>IF(AND('4 Ope'!D313&gt;Tmin, NOT('4 Ope'!$I313="")),'4 Ope'!$I313,0)</f>
        <v>0</v>
      </c>
      <c r="AC313">
        <f>IF(AND('4 Ope'!E313&gt;Tmin, NOT('4 Ope'!$I313="")),'4 Ope'!$I313,0)</f>
        <v>0</v>
      </c>
      <c r="AD313">
        <f>IF(AND('4 Ope'!F313&gt;Tmin, NOT('4 Ope'!$I313="")),'4 Ope'!$I313,0)</f>
        <v>0</v>
      </c>
      <c r="AE313">
        <f>IF(AND('4 Ope'!C313&lt;Tmax, NOT('4 Ope'!$H313="")),'4 Ope'!$H313,4)</f>
        <v>2</v>
      </c>
      <c r="AF313">
        <f>IF(AND('4 Ope'!D313&lt;Tmax, NOT('4 Ope'!$H313="")),'4 Ope'!$H313,4)</f>
        <v>2</v>
      </c>
      <c r="AG313">
        <f>IF(AND('4 Ope'!E313&lt;Tmax, NOT('4 Ope'!$H313="")),'4 Ope'!$H313,4)</f>
        <v>2</v>
      </c>
      <c r="AH313">
        <f>IF(AND('4 Ope'!F313&lt;Tmax, NOT('4 Ope'!$H313="")),'4 Ope'!$H313,4)</f>
        <v>2</v>
      </c>
      <c r="AI313"/>
      <c r="AJ313" s="229"/>
      <c r="AK313" s="229"/>
      <c r="AL313" s="229"/>
      <c r="AM313" s="229"/>
      <c r="AN313" s="229"/>
      <c r="AO313" s="229"/>
      <c r="AP313" s="229"/>
      <c r="AQ313" s="229"/>
      <c r="AR313" s="229"/>
      <c r="AS313" s="229"/>
      <c r="AT313" s="229"/>
      <c r="AU313" s="50"/>
      <c r="AV313" s="50"/>
      <c r="AW313" s="50"/>
      <c r="AX313" s="50"/>
      <c r="AY313" s="50"/>
      <c r="AZ313" s="50"/>
      <c r="BA313" s="50"/>
      <c r="BB313" s="50"/>
      <c r="BC313" s="50"/>
      <c r="BD313" s="50"/>
      <c r="BE313" s="50"/>
      <c r="BF313" s="50"/>
      <c r="BG313" s="50"/>
      <c r="BH313" s="50"/>
      <c r="BI313" s="50"/>
      <c r="BJ313" s="50"/>
      <c r="BK313" s="50"/>
      <c r="BL313" s="50"/>
      <c r="BM313" s="50"/>
      <c r="BN313" s="50"/>
      <c r="BO313" s="50"/>
      <c r="BP313" s="50"/>
      <c r="BQ313" s="50"/>
      <c r="BR313" s="50"/>
      <c r="BS313" s="50"/>
      <c r="BT313" s="50"/>
      <c r="BU313" s="50"/>
      <c r="BV313" s="50"/>
      <c r="BW313" s="50"/>
      <c r="BX313" s="50"/>
      <c r="BY313" s="50"/>
      <c r="BZ313" s="50"/>
      <c r="CA313" s="50"/>
      <c r="CB313" s="50"/>
    </row>
    <row r="314" spans="1:80" s="228" customFormat="1" x14ac:dyDescent="0.25">
      <c r="A314" s="128" t="s">
        <v>1230</v>
      </c>
      <c r="B314" s="128" t="s">
        <v>1229</v>
      </c>
      <c r="C314" s="136"/>
      <c r="D314" s="136"/>
      <c r="E314" s="136"/>
      <c r="F314" s="136"/>
      <c r="G314" s="133">
        <v>2</v>
      </c>
      <c r="H314" s="133"/>
      <c r="I314" s="133"/>
      <c r="J314" s="133"/>
      <c r="K314" s="229"/>
      <c r="L314" s="229"/>
      <c r="M314" s="229"/>
      <c r="N314" s="229"/>
      <c r="O314" s="229"/>
      <c r="P314" s="229"/>
      <c r="Q314" s="229"/>
      <c r="R314" s="229"/>
      <c r="S314" s="229"/>
      <c r="T314" s="229"/>
      <c r="U314" s="229"/>
      <c r="V314" s="229"/>
      <c r="W314" s="229"/>
      <c r="X314" s="229"/>
      <c r="Y314" s="229"/>
      <c r="Z314">
        <f>IF(AND('4 Ope'!C314&gt;Tmin, NOT('4 Ope'!$I314="")),'4 Ope'!$I314,0)</f>
        <v>0</v>
      </c>
      <c r="AA314">
        <f>IF(AND('4 Ope'!C314&gt;Tmin, NOT('4 Ope'!$I314="")),'4 Ope'!$I314,0)</f>
        <v>0</v>
      </c>
      <c r="AB314">
        <f>IF(AND('4 Ope'!D314&gt;Tmin, NOT('4 Ope'!$I314="")),'4 Ope'!$I314,0)</f>
        <v>0</v>
      </c>
      <c r="AC314">
        <f>IF(AND('4 Ope'!E314&gt;Tmin, NOT('4 Ope'!$I314="")),'4 Ope'!$I314,0)</f>
        <v>0</v>
      </c>
      <c r="AD314">
        <f>IF(AND('4 Ope'!F314&gt;Tmin, NOT('4 Ope'!$I314="")),'4 Ope'!$I314,0)</f>
        <v>0</v>
      </c>
      <c r="AE314">
        <f>IF(AND('4 Ope'!C314&lt;Tmax, NOT('4 Ope'!$H314="")),'4 Ope'!$H314,4)</f>
        <v>4</v>
      </c>
      <c r="AF314">
        <f>IF(AND('4 Ope'!D314&lt;Tmax, NOT('4 Ope'!$H314="")),'4 Ope'!$H314,4)</f>
        <v>4</v>
      </c>
      <c r="AG314">
        <f>IF(AND('4 Ope'!E314&lt;Tmax, NOT('4 Ope'!$H314="")),'4 Ope'!$H314,4)</f>
        <v>4</v>
      </c>
      <c r="AH314">
        <f>IF(AND('4 Ope'!F314&lt;Tmax, NOT('4 Ope'!$H314="")),'4 Ope'!$H314,4)</f>
        <v>4</v>
      </c>
      <c r="AI314"/>
      <c r="AJ314" s="229"/>
      <c r="AK314" s="229"/>
      <c r="AL314" s="229"/>
      <c r="AM314" s="229"/>
      <c r="AN314" s="229"/>
      <c r="AO314" s="229"/>
      <c r="AP314" s="229"/>
      <c r="AQ314" s="229"/>
      <c r="AR314" s="229"/>
      <c r="AS314" s="229"/>
      <c r="AT314" s="229"/>
      <c r="AU314" s="50"/>
      <c r="AV314" s="50"/>
      <c r="AW314" s="50"/>
      <c r="AX314" s="50"/>
      <c r="AY314" s="50"/>
      <c r="AZ314" s="50"/>
      <c r="BA314" s="50"/>
      <c r="BB314" s="50"/>
      <c r="BC314" s="50"/>
      <c r="BD314" s="50"/>
      <c r="BE314" s="50"/>
      <c r="BF314" s="50"/>
      <c r="BG314" s="50"/>
      <c r="BH314" s="50"/>
      <c r="BI314" s="50"/>
      <c r="BJ314" s="50"/>
      <c r="BK314" s="50"/>
      <c r="BL314" s="50"/>
      <c r="BM314" s="50"/>
      <c r="BN314" s="50"/>
      <c r="BO314" s="50"/>
      <c r="BP314" s="50"/>
      <c r="BQ314" s="50"/>
      <c r="BR314" s="50"/>
      <c r="BS314" s="50"/>
      <c r="BT314" s="50"/>
      <c r="BU314" s="50"/>
      <c r="BV314" s="50"/>
      <c r="BW314" s="50"/>
      <c r="BX314" s="50"/>
      <c r="BY314" s="50"/>
      <c r="BZ314" s="50"/>
      <c r="CA314" s="50"/>
      <c r="CB314" s="50"/>
    </row>
    <row r="315" spans="1:80" s="228" customFormat="1" ht="40.799999999999997" x14ac:dyDescent="0.25">
      <c r="A315" s="128" t="s">
        <v>1231</v>
      </c>
      <c r="B315" s="128" t="s">
        <v>89</v>
      </c>
      <c r="C315" s="136"/>
      <c r="D315" s="136"/>
      <c r="E315" s="136"/>
      <c r="F315" s="136"/>
      <c r="G315" s="133">
        <v>4</v>
      </c>
      <c r="H315" s="133">
        <v>2</v>
      </c>
      <c r="I315" s="133"/>
      <c r="J315" s="133"/>
      <c r="K315" s="229"/>
      <c r="L315" s="229"/>
      <c r="M315" s="229"/>
      <c r="N315" s="229"/>
      <c r="O315" s="229"/>
      <c r="P315" s="229"/>
      <c r="Q315" s="229"/>
      <c r="R315" s="229"/>
      <c r="S315" s="229"/>
      <c r="T315" s="229"/>
      <c r="U315" s="229"/>
      <c r="V315" s="229"/>
      <c r="W315" s="229"/>
      <c r="X315" s="229"/>
      <c r="Y315" s="229"/>
      <c r="Z315">
        <f>IF(AND('4 Ope'!C315&gt;Tmin, NOT('4 Ope'!$I315="")),'4 Ope'!$I315,0)</f>
        <v>0</v>
      </c>
      <c r="AA315">
        <f>IF(AND('4 Ope'!C315&gt;Tmin, NOT('4 Ope'!$I315="")),'4 Ope'!$I315,0)</f>
        <v>0</v>
      </c>
      <c r="AB315">
        <f>IF(AND('4 Ope'!D315&gt;Tmin, NOT('4 Ope'!$I315="")),'4 Ope'!$I315,0)</f>
        <v>0</v>
      </c>
      <c r="AC315">
        <f>IF(AND('4 Ope'!E315&gt;Tmin, NOT('4 Ope'!$I315="")),'4 Ope'!$I315,0)</f>
        <v>0</v>
      </c>
      <c r="AD315">
        <f>IF(AND('4 Ope'!F315&gt;Tmin, NOT('4 Ope'!$I315="")),'4 Ope'!$I315,0)</f>
        <v>0</v>
      </c>
      <c r="AE315">
        <f>IF(AND('4 Ope'!C315&lt;Tmax, NOT('4 Ope'!$H315="")),'4 Ope'!$H315,4)</f>
        <v>2</v>
      </c>
      <c r="AF315">
        <f>IF(AND('4 Ope'!D315&lt;Tmax, NOT('4 Ope'!$H315="")),'4 Ope'!$H315,4)</f>
        <v>2</v>
      </c>
      <c r="AG315">
        <f>IF(AND('4 Ope'!E315&lt;Tmax, NOT('4 Ope'!$H315="")),'4 Ope'!$H315,4)</f>
        <v>2</v>
      </c>
      <c r="AH315">
        <f>IF(AND('4 Ope'!F315&lt;Tmax, NOT('4 Ope'!$H315="")),'4 Ope'!$H315,4)</f>
        <v>2</v>
      </c>
      <c r="AI315"/>
      <c r="AJ315" s="229"/>
      <c r="AK315" s="229"/>
      <c r="AL315" s="229"/>
      <c r="AM315" s="229"/>
      <c r="AN315" s="229"/>
      <c r="AO315" s="229"/>
      <c r="AP315" s="229"/>
      <c r="AQ315" s="229"/>
      <c r="AR315" s="229"/>
      <c r="AS315" s="229"/>
      <c r="AT315" s="229"/>
      <c r="AU315" s="50"/>
      <c r="AV315" s="50"/>
      <c r="AW315" s="50"/>
      <c r="AX315" s="50"/>
      <c r="AY315" s="50"/>
      <c r="AZ315" s="50"/>
      <c r="BA315" s="50"/>
      <c r="BB315" s="50"/>
      <c r="BC315" s="50"/>
      <c r="BD315" s="50"/>
      <c r="BE315" s="50"/>
      <c r="BF315" s="50"/>
      <c r="BG315" s="50"/>
      <c r="BH315" s="50"/>
      <c r="BI315" s="50"/>
      <c r="BJ315" s="50"/>
      <c r="BK315" s="50"/>
      <c r="BL315" s="50"/>
      <c r="BM315" s="50"/>
      <c r="BN315" s="50"/>
      <c r="BO315" s="50"/>
      <c r="BP315" s="50"/>
      <c r="BQ315" s="50"/>
      <c r="BR315" s="50"/>
      <c r="BS315" s="50"/>
      <c r="BT315" s="50"/>
      <c r="BU315" s="50"/>
      <c r="BV315" s="50"/>
      <c r="BW315" s="50"/>
      <c r="BX315" s="50"/>
      <c r="BY315" s="50"/>
      <c r="BZ315" s="50"/>
      <c r="CA315" s="50"/>
      <c r="CB315" s="50"/>
    </row>
    <row r="316" spans="1:80" s="228" customFormat="1" x14ac:dyDescent="0.25">
      <c r="A316" s="128" t="s">
        <v>4388</v>
      </c>
      <c r="B316" s="128" t="s">
        <v>30</v>
      </c>
      <c r="C316" s="136"/>
      <c r="D316" s="136"/>
      <c r="E316" s="136"/>
      <c r="F316" s="136"/>
      <c r="G316" s="133">
        <v>4</v>
      </c>
      <c r="H316" s="133">
        <v>3</v>
      </c>
      <c r="I316" s="133"/>
      <c r="J316" s="133"/>
      <c r="K316" s="229"/>
      <c r="L316" s="229"/>
      <c r="M316" s="229"/>
      <c r="N316" s="229"/>
      <c r="O316" s="229"/>
      <c r="P316" s="229"/>
      <c r="Q316" s="229"/>
      <c r="R316" s="229"/>
      <c r="S316" s="229"/>
      <c r="T316" s="229"/>
      <c r="U316" s="229"/>
      <c r="V316" s="229"/>
      <c r="W316" s="229"/>
      <c r="X316" s="229"/>
      <c r="Y316" s="229"/>
      <c r="Z316">
        <f>IF(AND('4 Ope'!C316&gt;Tmin, NOT('4 Ope'!$I316="")),'4 Ope'!$I316,0)</f>
        <v>0</v>
      </c>
      <c r="AA316">
        <f>IF(AND('4 Ope'!C316&gt;Tmin, NOT('4 Ope'!$I316="")),'4 Ope'!$I316,0)</f>
        <v>0</v>
      </c>
      <c r="AB316">
        <f>IF(AND('4 Ope'!D316&gt;Tmin, NOT('4 Ope'!$I316="")),'4 Ope'!$I316,0)</f>
        <v>0</v>
      </c>
      <c r="AC316">
        <f>IF(AND('4 Ope'!E316&gt;Tmin, NOT('4 Ope'!$I316="")),'4 Ope'!$I316,0)</f>
        <v>0</v>
      </c>
      <c r="AD316">
        <f>IF(AND('4 Ope'!F316&gt;Tmin, NOT('4 Ope'!$I316="")),'4 Ope'!$I316,0)</f>
        <v>0</v>
      </c>
      <c r="AE316">
        <f>IF(AND('4 Ope'!C316&lt;Tmax, NOT('4 Ope'!$H316="")),'4 Ope'!$H316,4)</f>
        <v>3</v>
      </c>
      <c r="AF316">
        <f>IF(AND('4 Ope'!D316&lt;Tmax, NOT('4 Ope'!$H316="")),'4 Ope'!$H316,4)</f>
        <v>3</v>
      </c>
      <c r="AG316">
        <f>IF(AND('4 Ope'!E316&lt;Tmax, NOT('4 Ope'!$H316="")),'4 Ope'!$H316,4)</f>
        <v>3</v>
      </c>
      <c r="AH316">
        <f>IF(AND('4 Ope'!F316&lt;Tmax, NOT('4 Ope'!$H316="")),'4 Ope'!$H316,4)</f>
        <v>3</v>
      </c>
      <c r="AI316"/>
      <c r="AJ316" s="229"/>
      <c r="AK316" s="229"/>
      <c r="AL316" s="229"/>
      <c r="AM316" s="229"/>
      <c r="AN316" s="229"/>
      <c r="AO316" s="229"/>
      <c r="AP316" s="229"/>
      <c r="AQ316" s="229"/>
      <c r="AR316" s="229"/>
      <c r="AS316" s="229"/>
      <c r="AT316" s="229"/>
      <c r="AU316" s="50"/>
      <c r="AV316" s="50"/>
      <c r="AW316" s="50"/>
      <c r="AX316" s="50"/>
      <c r="AY316" s="50"/>
      <c r="AZ316" s="50"/>
      <c r="BA316" s="50"/>
      <c r="BB316" s="50"/>
      <c r="BC316" s="50"/>
      <c r="BD316" s="50"/>
      <c r="BE316" s="50"/>
      <c r="BF316" s="50"/>
      <c r="BG316" s="50"/>
      <c r="BH316" s="50"/>
      <c r="BI316" s="50"/>
      <c r="BJ316" s="50"/>
      <c r="BK316" s="50"/>
      <c r="BL316" s="50"/>
      <c r="BM316" s="50"/>
      <c r="BN316" s="50"/>
      <c r="BO316" s="50"/>
      <c r="BP316" s="50"/>
      <c r="BQ316" s="50"/>
      <c r="BR316" s="50"/>
      <c r="BS316" s="50"/>
      <c r="BT316" s="50"/>
      <c r="BU316" s="50"/>
      <c r="BV316" s="50"/>
      <c r="BW316" s="50"/>
      <c r="BX316" s="50"/>
      <c r="BY316" s="50"/>
      <c r="BZ316" s="50"/>
      <c r="CA316" s="50"/>
      <c r="CB316" s="50"/>
    </row>
    <row r="317" spans="1:80" s="228" customFormat="1" x14ac:dyDescent="0.25">
      <c r="A317" s="128" t="s">
        <v>635</v>
      </c>
      <c r="B317" s="128" t="s">
        <v>116</v>
      </c>
      <c r="C317" s="136"/>
      <c r="D317" s="136"/>
      <c r="E317" s="136"/>
      <c r="F317" s="136"/>
      <c r="G317" s="133"/>
      <c r="H317" s="133"/>
      <c r="I317" s="133"/>
      <c r="J317" s="133"/>
      <c r="K317" s="229"/>
      <c r="L317" s="229"/>
      <c r="M317" s="229"/>
      <c r="N317" s="229"/>
      <c r="O317" s="229"/>
      <c r="P317" s="229"/>
      <c r="Q317" s="229"/>
      <c r="R317" s="229"/>
      <c r="S317" s="229"/>
      <c r="T317" s="229"/>
      <c r="U317" s="229"/>
      <c r="V317" s="229"/>
      <c r="W317" s="229"/>
      <c r="X317" s="229"/>
      <c r="Y317" s="229"/>
      <c r="Z317"/>
      <c r="AA317"/>
      <c r="AB317"/>
      <c r="AC317"/>
      <c r="AD317"/>
      <c r="AE317"/>
      <c r="AF317"/>
      <c r="AG317"/>
      <c r="AH317"/>
      <c r="AI317"/>
      <c r="AJ317" s="229"/>
      <c r="AK317" s="229"/>
      <c r="AL317" s="229"/>
      <c r="AM317" s="229"/>
      <c r="AN317" s="229"/>
      <c r="AO317" s="229"/>
      <c r="AP317" s="229"/>
      <c r="AQ317" s="229"/>
      <c r="AR317" s="229"/>
      <c r="AS317" s="229"/>
      <c r="AT317" s="229"/>
      <c r="AU317" s="50"/>
      <c r="AV317" s="50"/>
      <c r="AW317" s="50"/>
      <c r="AX317" s="50"/>
      <c r="AY317" s="50"/>
      <c r="AZ317" s="50"/>
      <c r="BA317" s="50"/>
      <c r="BB317" s="50"/>
      <c r="BC317" s="50"/>
      <c r="BD317" s="50"/>
      <c r="BE317" s="50"/>
      <c r="BF317" s="50"/>
      <c r="BG317" s="50"/>
      <c r="BH317" s="50"/>
      <c r="BI317" s="50"/>
      <c r="BJ317" s="50"/>
      <c r="BK317" s="50"/>
      <c r="BL317" s="50"/>
      <c r="BM317" s="50"/>
      <c r="BN317" s="50"/>
      <c r="BO317" s="50"/>
      <c r="BP317" s="50"/>
      <c r="BQ317" s="50"/>
      <c r="BR317" s="50"/>
      <c r="BS317" s="50"/>
      <c r="BT317" s="50"/>
      <c r="BU317" s="50"/>
      <c r="BV317" s="50"/>
      <c r="BW317" s="50"/>
      <c r="BX317" s="50"/>
      <c r="BY317" s="50"/>
      <c r="BZ317" s="50"/>
      <c r="CA317" s="50"/>
      <c r="CB317" s="50"/>
    </row>
    <row r="318" spans="1:80" s="228" customFormat="1" x14ac:dyDescent="0.25">
      <c r="A318" s="128" t="s">
        <v>1232</v>
      </c>
      <c r="B318" s="128" t="s">
        <v>440</v>
      </c>
      <c r="C318" s="136"/>
      <c r="D318" s="136"/>
      <c r="E318" s="136"/>
      <c r="F318" s="136"/>
      <c r="G318" s="133">
        <v>2</v>
      </c>
      <c r="H318" s="133"/>
      <c r="I318" s="133"/>
      <c r="J318" s="133"/>
      <c r="K318" s="229"/>
      <c r="L318" s="229"/>
      <c r="M318" s="229"/>
      <c r="N318" s="229"/>
      <c r="O318" s="229"/>
      <c r="P318" s="229"/>
      <c r="Q318" s="229"/>
      <c r="R318" s="229"/>
      <c r="S318" s="229"/>
      <c r="T318" s="229"/>
      <c r="U318" s="229"/>
      <c r="V318" s="229"/>
      <c r="W318" s="229"/>
      <c r="X318" s="229"/>
      <c r="Y318" s="229"/>
      <c r="Z318">
        <f>IF(AND('4 Ope'!C318&gt;Tmin, NOT('4 Ope'!$I318="")),'4 Ope'!$I318,0)</f>
        <v>0</v>
      </c>
      <c r="AA318">
        <f>IF(AND('4 Ope'!C318&gt;Tmin, NOT('4 Ope'!$I318="")),'4 Ope'!$I318,0)</f>
        <v>0</v>
      </c>
      <c r="AB318">
        <f>IF(AND('4 Ope'!D318&gt;Tmin, NOT('4 Ope'!$I318="")),'4 Ope'!$I318,0)</f>
        <v>0</v>
      </c>
      <c r="AC318">
        <f>IF(AND('4 Ope'!E318&gt;Tmin, NOT('4 Ope'!$I318="")),'4 Ope'!$I318,0)</f>
        <v>0</v>
      </c>
      <c r="AD318">
        <f>IF(AND('4 Ope'!F318&gt;Tmin, NOT('4 Ope'!$I318="")),'4 Ope'!$I318,0)</f>
        <v>0</v>
      </c>
      <c r="AE318">
        <f>IF(AND('4 Ope'!C318&lt;Tmax, NOT('4 Ope'!$H318="")),'4 Ope'!$H318,4)</f>
        <v>4</v>
      </c>
      <c r="AF318">
        <f>IF(AND('4 Ope'!D318&lt;Tmax, NOT('4 Ope'!$H318="")),'4 Ope'!$H318,4)</f>
        <v>4</v>
      </c>
      <c r="AG318">
        <f>IF(AND('4 Ope'!E318&lt;Tmax, NOT('4 Ope'!$H318="")),'4 Ope'!$H318,4)</f>
        <v>4</v>
      </c>
      <c r="AH318">
        <f>IF(AND('4 Ope'!F318&lt;Tmax, NOT('4 Ope'!$H318="")),'4 Ope'!$H318,4)</f>
        <v>4</v>
      </c>
      <c r="AI318"/>
      <c r="AJ318" s="229"/>
      <c r="AK318" s="229"/>
      <c r="AL318" s="229"/>
      <c r="AM318" s="229"/>
      <c r="AN318" s="229"/>
      <c r="AO318" s="229"/>
      <c r="AP318" s="229"/>
      <c r="AQ318" s="229"/>
      <c r="AR318" s="229"/>
      <c r="AS318" s="229"/>
      <c r="AT318" s="229"/>
      <c r="AU318" s="50"/>
      <c r="AV318" s="50"/>
      <c r="AW318" s="50"/>
      <c r="AX318" s="50"/>
      <c r="AY318" s="50"/>
      <c r="AZ318" s="50"/>
      <c r="BA318" s="50"/>
      <c r="BB318" s="50"/>
      <c r="BC318" s="50"/>
      <c r="BD318" s="50"/>
      <c r="BE318" s="50"/>
      <c r="BF318" s="50"/>
      <c r="BG318" s="50"/>
      <c r="BH318" s="50"/>
      <c r="BI318" s="50"/>
      <c r="BJ318" s="50"/>
      <c r="BK318" s="50"/>
      <c r="BL318" s="50"/>
      <c r="BM318" s="50"/>
      <c r="BN318" s="50"/>
      <c r="BO318" s="50"/>
      <c r="BP318" s="50"/>
      <c r="BQ318" s="50"/>
      <c r="BR318" s="50"/>
      <c r="BS318" s="50"/>
      <c r="BT318" s="50"/>
      <c r="BU318" s="50"/>
      <c r="BV318" s="50"/>
      <c r="BW318" s="50"/>
      <c r="BX318" s="50"/>
      <c r="BY318" s="50"/>
      <c r="BZ318" s="50"/>
      <c r="CA318" s="50"/>
      <c r="CB318" s="50"/>
    </row>
    <row r="319" spans="1:80" s="228" customFormat="1" x14ac:dyDescent="0.25">
      <c r="A319" s="128" t="s">
        <v>1233</v>
      </c>
      <c r="B319" s="128" t="s">
        <v>37</v>
      </c>
      <c r="C319" s="136"/>
      <c r="D319" s="136"/>
      <c r="E319" s="136"/>
      <c r="F319" s="136"/>
      <c r="G319" s="133">
        <v>4</v>
      </c>
      <c r="H319" s="133"/>
      <c r="I319" s="133"/>
      <c r="J319" s="133"/>
      <c r="K319" s="229"/>
      <c r="L319" s="229"/>
      <c r="M319" s="229"/>
      <c r="N319" s="229"/>
      <c r="O319" s="229"/>
      <c r="P319" s="229"/>
      <c r="Q319" s="229"/>
      <c r="R319" s="229"/>
      <c r="S319" s="229"/>
      <c r="T319" s="229"/>
      <c r="U319" s="229"/>
      <c r="V319" s="229"/>
      <c r="W319" s="229"/>
      <c r="X319" s="229"/>
      <c r="Y319" s="229"/>
      <c r="Z319">
        <f>IF(AND('4 Ope'!C319&gt;Tmin, NOT('4 Ope'!$I319="")),'4 Ope'!$I319,0)</f>
        <v>0</v>
      </c>
      <c r="AA319">
        <f>IF(AND('4 Ope'!C319&gt;Tmin, NOT('4 Ope'!$I319="")),'4 Ope'!$I319,0)</f>
        <v>0</v>
      </c>
      <c r="AB319">
        <f>IF(AND('4 Ope'!D319&gt;Tmin, NOT('4 Ope'!$I319="")),'4 Ope'!$I319,0)</f>
        <v>0</v>
      </c>
      <c r="AC319">
        <f>IF(AND('4 Ope'!E319&gt;Tmin, NOT('4 Ope'!$I319="")),'4 Ope'!$I319,0)</f>
        <v>0</v>
      </c>
      <c r="AD319">
        <f>IF(AND('4 Ope'!F319&gt;Tmin, NOT('4 Ope'!$I319="")),'4 Ope'!$I319,0)</f>
        <v>0</v>
      </c>
      <c r="AE319">
        <f>IF(AND('4 Ope'!C319&lt;Tmax, NOT('4 Ope'!$H319="")),'4 Ope'!$H319,4)</f>
        <v>4</v>
      </c>
      <c r="AF319">
        <f>IF(AND('4 Ope'!D319&lt;Tmax, NOT('4 Ope'!$H319="")),'4 Ope'!$H319,4)</f>
        <v>4</v>
      </c>
      <c r="AG319">
        <f>IF(AND('4 Ope'!E319&lt;Tmax, NOT('4 Ope'!$H319="")),'4 Ope'!$H319,4)</f>
        <v>4</v>
      </c>
      <c r="AH319">
        <f>IF(AND('4 Ope'!F319&lt;Tmax, NOT('4 Ope'!$H319="")),'4 Ope'!$H319,4)</f>
        <v>4</v>
      </c>
      <c r="AI319"/>
      <c r="AJ319" s="229"/>
      <c r="AK319" s="229"/>
      <c r="AL319" s="229"/>
      <c r="AM319" s="229"/>
      <c r="AN319" s="229"/>
      <c r="AO319" s="229"/>
      <c r="AP319" s="229"/>
      <c r="AQ319" s="229"/>
      <c r="AR319" s="229"/>
      <c r="AS319" s="229"/>
      <c r="AT319" s="229"/>
      <c r="AU319" s="50"/>
      <c r="AV319" s="50"/>
      <c r="AW319" s="50"/>
      <c r="AX319" s="50"/>
      <c r="AY319" s="50"/>
      <c r="AZ319" s="50"/>
      <c r="BA319" s="50"/>
      <c r="BB319" s="50"/>
      <c r="BC319" s="50"/>
      <c r="BD319" s="50"/>
      <c r="BE319" s="50"/>
      <c r="BF319" s="50"/>
      <c r="BG319" s="50"/>
      <c r="BH319" s="50"/>
      <c r="BI319" s="50"/>
      <c r="BJ319" s="50"/>
      <c r="BK319" s="50"/>
      <c r="BL319" s="50"/>
      <c r="BM319" s="50"/>
      <c r="BN319" s="50"/>
      <c r="BO319" s="50"/>
      <c r="BP319" s="50"/>
      <c r="BQ319" s="50"/>
      <c r="BR319" s="50"/>
      <c r="BS319" s="50"/>
      <c r="BT319" s="50"/>
      <c r="BU319" s="50"/>
      <c r="BV319" s="50"/>
      <c r="BW319" s="50"/>
      <c r="BX319" s="50"/>
      <c r="BY319" s="50"/>
      <c r="BZ319" s="50"/>
      <c r="CA319" s="50"/>
      <c r="CB319" s="50"/>
    </row>
    <row r="320" spans="1:80" s="228" customFormat="1" x14ac:dyDescent="0.25">
      <c r="A320" s="128" t="s">
        <v>1234</v>
      </c>
      <c r="B320" s="128" t="s">
        <v>176</v>
      </c>
      <c r="C320" s="136"/>
      <c r="D320" s="136"/>
      <c r="E320" s="136"/>
      <c r="F320" s="136"/>
      <c r="G320" s="133">
        <v>4</v>
      </c>
      <c r="H320" s="133">
        <v>2</v>
      </c>
      <c r="I320" s="133"/>
      <c r="J320" s="133"/>
      <c r="K320" s="229"/>
      <c r="L320" s="229"/>
      <c r="M320" s="229"/>
      <c r="N320" s="229"/>
      <c r="O320" s="229"/>
      <c r="P320" s="229"/>
      <c r="Q320" s="229"/>
      <c r="R320" s="229"/>
      <c r="S320" s="229"/>
      <c r="T320" s="229"/>
      <c r="U320" s="229"/>
      <c r="V320" s="229"/>
      <c r="W320" s="229"/>
      <c r="X320" s="229"/>
      <c r="Y320" s="229"/>
      <c r="Z320">
        <f>IF(AND('4 Ope'!C320&gt;Tmin, NOT('4 Ope'!$I320="")),'4 Ope'!$I320,0)</f>
        <v>0</v>
      </c>
      <c r="AA320">
        <f>IF(AND('4 Ope'!C320&gt;Tmin, NOT('4 Ope'!$I320="")),'4 Ope'!$I320,0)</f>
        <v>0</v>
      </c>
      <c r="AB320">
        <f>IF(AND('4 Ope'!D320&gt;Tmin, NOT('4 Ope'!$I320="")),'4 Ope'!$I320,0)</f>
        <v>0</v>
      </c>
      <c r="AC320">
        <f>IF(AND('4 Ope'!E320&gt;Tmin, NOT('4 Ope'!$I320="")),'4 Ope'!$I320,0)</f>
        <v>0</v>
      </c>
      <c r="AD320">
        <f>IF(AND('4 Ope'!F320&gt;Tmin, NOT('4 Ope'!$I320="")),'4 Ope'!$I320,0)</f>
        <v>0</v>
      </c>
      <c r="AE320">
        <f>IF(AND('4 Ope'!C320&lt;Tmax, NOT('4 Ope'!$H320="")),'4 Ope'!$H320,4)</f>
        <v>2</v>
      </c>
      <c r="AF320">
        <f>IF(AND('4 Ope'!D320&lt;Tmax, NOT('4 Ope'!$H320="")),'4 Ope'!$H320,4)</f>
        <v>2</v>
      </c>
      <c r="AG320">
        <f>IF(AND('4 Ope'!E320&lt;Tmax, NOT('4 Ope'!$H320="")),'4 Ope'!$H320,4)</f>
        <v>2</v>
      </c>
      <c r="AH320">
        <f>IF(AND('4 Ope'!F320&lt;Tmax, NOT('4 Ope'!$H320="")),'4 Ope'!$H320,4)</f>
        <v>2</v>
      </c>
      <c r="AI320"/>
      <c r="AJ320" s="229"/>
      <c r="AK320" s="229"/>
      <c r="AL320" s="229"/>
      <c r="AM320" s="229"/>
      <c r="AN320" s="229"/>
      <c r="AO320" s="229"/>
      <c r="AP320" s="229"/>
      <c r="AQ320" s="229"/>
      <c r="AR320" s="229"/>
      <c r="AS320" s="229"/>
      <c r="AT320" s="229"/>
      <c r="AU320" s="50"/>
      <c r="AV320" s="50"/>
      <c r="AW320" s="50"/>
      <c r="AX320" s="50"/>
      <c r="AY320" s="50"/>
      <c r="AZ320" s="50"/>
      <c r="BA320" s="50"/>
      <c r="BB320" s="50"/>
      <c r="BC320" s="50"/>
      <c r="BD320" s="50"/>
      <c r="BE320" s="50"/>
      <c r="BF320" s="50"/>
      <c r="BG320" s="50"/>
      <c r="BH320" s="50"/>
      <c r="BI320" s="50"/>
      <c r="BJ320" s="50"/>
      <c r="BK320" s="50"/>
      <c r="BL320" s="50"/>
      <c r="BM320" s="50"/>
      <c r="BN320" s="50"/>
      <c r="BO320" s="50"/>
      <c r="BP320" s="50"/>
      <c r="BQ320" s="50"/>
      <c r="BR320" s="50"/>
      <c r="BS320" s="50"/>
      <c r="BT320" s="50"/>
      <c r="BU320" s="50"/>
      <c r="BV320" s="50"/>
      <c r="BW320" s="50"/>
      <c r="BX320" s="50"/>
      <c r="BY320" s="50"/>
      <c r="BZ320" s="50"/>
      <c r="CA320" s="50"/>
      <c r="CB320" s="50"/>
    </row>
    <row r="321" spans="1:80" s="228" customFormat="1" x14ac:dyDescent="0.25">
      <c r="A321" s="128" t="s">
        <v>1235</v>
      </c>
      <c r="B321" s="128" t="s">
        <v>177</v>
      </c>
      <c r="C321" s="136"/>
      <c r="D321" s="136"/>
      <c r="E321" s="136"/>
      <c r="F321" s="136"/>
      <c r="G321" s="133">
        <v>4</v>
      </c>
      <c r="H321" s="133">
        <v>2</v>
      </c>
      <c r="I321" s="133"/>
      <c r="J321" s="133"/>
      <c r="K321" s="229"/>
      <c r="L321" s="229"/>
      <c r="M321" s="229"/>
      <c r="N321" s="229"/>
      <c r="O321" s="229"/>
      <c r="P321" s="229"/>
      <c r="Q321" s="229"/>
      <c r="R321" s="229"/>
      <c r="S321" s="229"/>
      <c r="T321" s="229"/>
      <c r="U321" s="229"/>
      <c r="V321" s="229"/>
      <c r="W321" s="229"/>
      <c r="X321" s="229"/>
      <c r="Y321" s="229"/>
      <c r="Z321">
        <f>IF(AND('4 Ope'!C321&gt;Tmin, NOT('4 Ope'!$I321="")),'4 Ope'!$I321,0)</f>
        <v>0</v>
      </c>
      <c r="AA321">
        <f>IF(AND('4 Ope'!C321&gt;Tmin, NOT('4 Ope'!$I321="")),'4 Ope'!$I321,0)</f>
        <v>0</v>
      </c>
      <c r="AB321">
        <f>IF(AND('4 Ope'!D321&gt;Tmin, NOT('4 Ope'!$I321="")),'4 Ope'!$I321,0)</f>
        <v>0</v>
      </c>
      <c r="AC321">
        <f>IF(AND('4 Ope'!E321&gt;Tmin, NOT('4 Ope'!$I321="")),'4 Ope'!$I321,0)</f>
        <v>0</v>
      </c>
      <c r="AD321">
        <f>IF(AND('4 Ope'!F321&gt;Tmin, NOT('4 Ope'!$I321="")),'4 Ope'!$I321,0)</f>
        <v>0</v>
      </c>
      <c r="AE321">
        <f>IF(AND('4 Ope'!C321&lt;Tmax, NOT('4 Ope'!$H321="")),'4 Ope'!$H321,4)</f>
        <v>2</v>
      </c>
      <c r="AF321">
        <f>IF(AND('4 Ope'!D321&lt;Tmax, NOT('4 Ope'!$H321="")),'4 Ope'!$H321,4)</f>
        <v>2</v>
      </c>
      <c r="AG321">
        <f>IF(AND('4 Ope'!E321&lt;Tmax, NOT('4 Ope'!$H321="")),'4 Ope'!$H321,4)</f>
        <v>2</v>
      </c>
      <c r="AH321">
        <f>IF(AND('4 Ope'!F321&lt;Tmax, NOT('4 Ope'!$H321="")),'4 Ope'!$H321,4)</f>
        <v>2</v>
      </c>
      <c r="AI321"/>
      <c r="AJ321" s="229"/>
      <c r="AK321" s="229"/>
      <c r="AL321" s="229"/>
      <c r="AM321" s="229"/>
      <c r="AN321" s="229"/>
      <c r="AO321" s="229"/>
      <c r="AP321" s="229"/>
      <c r="AQ321" s="229"/>
      <c r="AR321" s="229"/>
      <c r="AS321" s="229"/>
      <c r="AT321" s="229"/>
      <c r="AU321" s="50"/>
      <c r="AV321" s="50"/>
      <c r="AW321" s="50"/>
      <c r="AX321" s="50"/>
      <c r="AY321" s="50"/>
      <c r="AZ321" s="50"/>
      <c r="BA321" s="50"/>
      <c r="BB321" s="50"/>
      <c r="BC321" s="50"/>
      <c r="BD321" s="50"/>
      <c r="BE321" s="50"/>
      <c r="BF321" s="50"/>
      <c r="BG321" s="50"/>
      <c r="BH321" s="50"/>
      <c r="BI321" s="50"/>
      <c r="BJ321" s="50"/>
      <c r="BK321" s="50"/>
      <c r="BL321" s="50"/>
      <c r="BM321" s="50"/>
      <c r="BN321" s="50"/>
      <c r="BO321" s="50"/>
      <c r="BP321" s="50"/>
      <c r="BQ321" s="50"/>
      <c r="BR321" s="50"/>
      <c r="BS321" s="50"/>
      <c r="BT321" s="50"/>
      <c r="BU321" s="50"/>
      <c r="BV321" s="50"/>
      <c r="BW321" s="50"/>
      <c r="BX321" s="50"/>
      <c r="BY321" s="50"/>
      <c r="BZ321" s="50"/>
      <c r="CA321" s="50"/>
      <c r="CB321" s="50"/>
    </row>
    <row r="322" spans="1:80" s="228" customFormat="1" x14ac:dyDescent="0.25">
      <c r="A322" s="128" t="s">
        <v>1236</v>
      </c>
      <c r="B322" s="128" t="s">
        <v>178</v>
      </c>
      <c r="C322" s="136"/>
      <c r="D322" s="136"/>
      <c r="E322" s="136"/>
      <c r="F322" s="136"/>
      <c r="G322" s="133">
        <v>4</v>
      </c>
      <c r="H322" s="133">
        <v>3</v>
      </c>
      <c r="I322" s="133"/>
      <c r="J322" s="133"/>
      <c r="K322" s="229"/>
      <c r="L322" s="229"/>
      <c r="M322" s="229"/>
      <c r="N322" s="229"/>
      <c r="O322" s="229"/>
      <c r="P322" s="229"/>
      <c r="Q322" s="229"/>
      <c r="R322" s="229"/>
      <c r="S322" s="229"/>
      <c r="T322" s="229"/>
      <c r="U322" s="229"/>
      <c r="V322" s="229"/>
      <c r="W322" s="229"/>
      <c r="X322" s="229"/>
      <c r="Y322" s="229"/>
      <c r="Z322">
        <f>IF(AND('4 Ope'!C322&gt;Tmin, NOT('4 Ope'!$I322="")),'4 Ope'!$I322,0)</f>
        <v>0</v>
      </c>
      <c r="AA322">
        <f>IF(AND('4 Ope'!C322&gt;Tmin, NOT('4 Ope'!$I322="")),'4 Ope'!$I322,0)</f>
        <v>0</v>
      </c>
      <c r="AB322">
        <f>IF(AND('4 Ope'!D322&gt;Tmin, NOT('4 Ope'!$I322="")),'4 Ope'!$I322,0)</f>
        <v>0</v>
      </c>
      <c r="AC322">
        <f>IF(AND('4 Ope'!E322&gt;Tmin, NOT('4 Ope'!$I322="")),'4 Ope'!$I322,0)</f>
        <v>0</v>
      </c>
      <c r="AD322">
        <f>IF(AND('4 Ope'!F322&gt;Tmin, NOT('4 Ope'!$I322="")),'4 Ope'!$I322,0)</f>
        <v>0</v>
      </c>
      <c r="AE322">
        <f>IF(AND('4 Ope'!C322&lt;Tmax, NOT('4 Ope'!$H322="")),'4 Ope'!$H322,4)</f>
        <v>3</v>
      </c>
      <c r="AF322">
        <f>IF(AND('4 Ope'!D322&lt;Tmax, NOT('4 Ope'!$H322="")),'4 Ope'!$H322,4)</f>
        <v>3</v>
      </c>
      <c r="AG322">
        <f>IF(AND('4 Ope'!E322&lt;Tmax, NOT('4 Ope'!$H322="")),'4 Ope'!$H322,4)</f>
        <v>3</v>
      </c>
      <c r="AH322">
        <f>IF(AND('4 Ope'!F322&lt;Tmax, NOT('4 Ope'!$H322="")),'4 Ope'!$H322,4)</f>
        <v>3</v>
      </c>
      <c r="AI322"/>
      <c r="AJ322" s="229"/>
      <c r="AK322" s="229"/>
      <c r="AL322" s="229"/>
      <c r="AM322" s="229"/>
      <c r="AN322" s="229"/>
      <c r="AO322" s="229"/>
      <c r="AP322" s="229"/>
      <c r="AQ322" s="229"/>
      <c r="AR322" s="229"/>
      <c r="AS322" s="229"/>
      <c r="AT322" s="229"/>
      <c r="AU322" s="50"/>
      <c r="AV322" s="50"/>
      <c r="AW322" s="50"/>
      <c r="AX322" s="50"/>
      <c r="AY322" s="50"/>
      <c r="AZ322" s="50"/>
      <c r="BA322" s="50"/>
      <c r="BB322" s="50"/>
      <c r="BC322" s="50"/>
      <c r="BD322" s="50"/>
      <c r="BE322" s="50"/>
      <c r="BF322" s="50"/>
      <c r="BG322" s="50"/>
      <c r="BH322" s="50"/>
      <c r="BI322" s="50"/>
      <c r="BJ322" s="50"/>
      <c r="BK322" s="50"/>
      <c r="BL322" s="50"/>
      <c r="BM322" s="50"/>
      <c r="BN322" s="50"/>
      <c r="BO322" s="50"/>
      <c r="BP322" s="50"/>
      <c r="BQ322" s="50"/>
      <c r="BR322" s="50"/>
      <c r="BS322" s="50"/>
      <c r="BT322" s="50"/>
      <c r="BU322" s="50"/>
      <c r="BV322" s="50"/>
      <c r="BW322" s="50"/>
      <c r="BX322" s="50"/>
      <c r="BY322" s="50"/>
      <c r="BZ322" s="50"/>
      <c r="CA322" s="50"/>
      <c r="CB322" s="50"/>
    </row>
    <row r="323" spans="1:80" s="228" customFormat="1" ht="20.399999999999999" x14ac:dyDescent="0.25">
      <c r="A323" s="128" t="s">
        <v>1237</v>
      </c>
      <c r="B323" s="128" t="s">
        <v>209</v>
      </c>
      <c r="C323" s="136"/>
      <c r="D323" s="136"/>
      <c r="E323" s="136"/>
      <c r="F323" s="136"/>
      <c r="G323" s="133">
        <v>4</v>
      </c>
      <c r="H323" s="133">
        <v>3</v>
      </c>
      <c r="I323" s="133"/>
      <c r="J323" s="133"/>
      <c r="K323" s="229"/>
      <c r="L323" s="229"/>
      <c r="M323" s="229"/>
      <c r="N323" s="229"/>
      <c r="O323" s="229"/>
      <c r="P323" s="229"/>
      <c r="Q323" s="229"/>
      <c r="R323" s="229"/>
      <c r="S323" s="229"/>
      <c r="T323" s="229"/>
      <c r="U323" s="229"/>
      <c r="V323" s="229"/>
      <c r="W323" s="229"/>
      <c r="X323" s="229"/>
      <c r="Y323" s="229"/>
      <c r="Z323">
        <f>IF(AND('4 Ope'!C323&gt;Tmin, NOT('4 Ope'!$I323="")),'4 Ope'!$I323,0)</f>
        <v>0</v>
      </c>
      <c r="AA323">
        <f>IF(AND('4 Ope'!C323&gt;Tmin, NOT('4 Ope'!$I323="")),'4 Ope'!$I323,0)</f>
        <v>0</v>
      </c>
      <c r="AB323">
        <f>IF(AND('4 Ope'!D323&gt;Tmin, NOT('4 Ope'!$I323="")),'4 Ope'!$I323,0)</f>
        <v>0</v>
      </c>
      <c r="AC323">
        <f>IF(AND('4 Ope'!E323&gt;Tmin, NOT('4 Ope'!$I323="")),'4 Ope'!$I323,0)</f>
        <v>0</v>
      </c>
      <c r="AD323">
        <f>IF(AND('4 Ope'!F323&gt;Tmin, NOT('4 Ope'!$I323="")),'4 Ope'!$I323,0)</f>
        <v>0</v>
      </c>
      <c r="AE323">
        <f>IF(AND('4 Ope'!C323&lt;Tmax, NOT('4 Ope'!$H323="")),'4 Ope'!$H323,4)</f>
        <v>3</v>
      </c>
      <c r="AF323">
        <f>IF(AND('4 Ope'!D323&lt;Tmax, NOT('4 Ope'!$H323="")),'4 Ope'!$H323,4)</f>
        <v>3</v>
      </c>
      <c r="AG323">
        <f>IF(AND('4 Ope'!E323&lt;Tmax, NOT('4 Ope'!$H323="")),'4 Ope'!$H323,4)</f>
        <v>3</v>
      </c>
      <c r="AH323">
        <f>IF(AND('4 Ope'!F323&lt;Tmax, NOT('4 Ope'!$H323="")),'4 Ope'!$H323,4)</f>
        <v>3</v>
      </c>
      <c r="AI323"/>
      <c r="AJ323" s="229"/>
      <c r="AK323" s="229"/>
      <c r="AL323" s="229"/>
      <c r="AM323" s="229"/>
      <c r="AN323" s="229"/>
      <c r="AO323" s="229"/>
      <c r="AP323" s="229"/>
      <c r="AQ323" s="229"/>
      <c r="AR323" s="229"/>
      <c r="AS323" s="229"/>
      <c r="AT323" s="229"/>
      <c r="AU323" s="50"/>
      <c r="AV323" s="50"/>
      <c r="AW323" s="50"/>
      <c r="AX323" s="50"/>
      <c r="AY323" s="50"/>
      <c r="AZ323" s="50"/>
      <c r="BA323" s="50"/>
      <c r="BB323" s="50"/>
      <c r="BC323" s="50"/>
      <c r="BD323" s="50"/>
      <c r="BE323" s="50"/>
      <c r="BF323" s="50"/>
      <c r="BG323" s="50"/>
      <c r="BH323" s="50"/>
      <c r="BI323" s="50"/>
      <c r="BJ323" s="50"/>
      <c r="BK323" s="50"/>
      <c r="BL323" s="50"/>
      <c r="BM323" s="50"/>
      <c r="BN323" s="50"/>
      <c r="BO323" s="50"/>
      <c r="BP323" s="50"/>
      <c r="BQ323" s="50"/>
      <c r="BR323" s="50"/>
      <c r="BS323" s="50"/>
      <c r="BT323" s="50"/>
      <c r="BU323" s="50"/>
      <c r="BV323" s="50"/>
      <c r="BW323" s="50"/>
      <c r="BX323" s="50"/>
      <c r="BY323" s="50"/>
      <c r="BZ323" s="50"/>
      <c r="CA323" s="50"/>
      <c r="CB323" s="50"/>
    </row>
    <row r="324" spans="1:80" s="228" customFormat="1" x14ac:dyDescent="0.25">
      <c r="A324" s="128" t="s">
        <v>1238</v>
      </c>
      <c r="B324" s="128" t="s">
        <v>210</v>
      </c>
      <c r="C324" s="136"/>
      <c r="D324" s="136"/>
      <c r="E324" s="136"/>
      <c r="F324" s="136"/>
      <c r="G324" s="133">
        <v>4</v>
      </c>
      <c r="H324" s="133">
        <v>3</v>
      </c>
      <c r="I324" s="133"/>
      <c r="J324" s="133"/>
      <c r="K324" s="229"/>
      <c r="L324" s="229"/>
      <c r="M324" s="229"/>
      <c r="N324" s="229"/>
      <c r="O324" s="229"/>
      <c r="P324" s="229"/>
      <c r="Q324" s="229"/>
      <c r="R324" s="229"/>
      <c r="S324" s="229"/>
      <c r="T324" s="229"/>
      <c r="U324" s="229"/>
      <c r="V324" s="229"/>
      <c r="W324" s="229"/>
      <c r="X324" s="229"/>
      <c r="Y324" s="229"/>
      <c r="Z324">
        <f>IF(AND('4 Ope'!C324&gt;Tmin, NOT('4 Ope'!$I324="")),'4 Ope'!$I324,0)</f>
        <v>0</v>
      </c>
      <c r="AA324">
        <f>IF(AND('4 Ope'!C324&gt;Tmin, NOT('4 Ope'!$I324="")),'4 Ope'!$I324,0)</f>
        <v>0</v>
      </c>
      <c r="AB324">
        <f>IF(AND('4 Ope'!D324&gt;Tmin, NOT('4 Ope'!$I324="")),'4 Ope'!$I324,0)</f>
        <v>0</v>
      </c>
      <c r="AC324">
        <f>IF(AND('4 Ope'!E324&gt;Tmin, NOT('4 Ope'!$I324="")),'4 Ope'!$I324,0)</f>
        <v>0</v>
      </c>
      <c r="AD324">
        <f>IF(AND('4 Ope'!F324&gt;Tmin, NOT('4 Ope'!$I324="")),'4 Ope'!$I324,0)</f>
        <v>0</v>
      </c>
      <c r="AE324">
        <f>IF(AND('4 Ope'!C324&lt;Tmax, NOT('4 Ope'!$H324="")),'4 Ope'!$H324,4)</f>
        <v>3</v>
      </c>
      <c r="AF324">
        <f>IF(AND('4 Ope'!D324&lt;Tmax, NOT('4 Ope'!$H324="")),'4 Ope'!$H324,4)</f>
        <v>3</v>
      </c>
      <c r="AG324">
        <f>IF(AND('4 Ope'!E324&lt;Tmax, NOT('4 Ope'!$H324="")),'4 Ope'!$H324,4)</f>
        <v>3</v>
      </c>
      <c r="AH324">
        <f>IF(AND('4 Ope'!F324&lt;Tmax, NOT('4 Ope'!$H324="")),'4 Ope'!$H324,4)</f>
        <v>3</v>
      </c>
      <c r="AI324"/>
      <c r="AJ324" s="229"/>
      <c r="AK324" s="229"/>
      <c r="AL324" s="229"/>
      <c r="AM324" s="229"/>
      <c r="AN324" s="229"/>
      <c r="AO324" s="229"/>
      <c r="AP324" s="229"/>
      <c r="AQ324" s="229"/>
      <c r="AR324" s="229"/>
      <c r="AS324" s="229"/>
      <c r="AT324" s="229"/>
      <c r="AU324" s="50"/>
      <c r="AV324" s="50"/>
      <c r="AW324" s="50"/>
      <c r="AX324" s="50"/>
      <c r="AY324" s="50"/>
      <c r="AZ324" s="50"/>
      <c r="BA324" s="50"/>
      <c r="BB324" s="50"/>
      <c r="BC324" s="50"/>
      <c r="BD324" s="50"/>
      <c r="BE324" s="50"/>
      <c r="BF324" s="50"/>
      <c r="BG324" s="50"/>
      <c r="BH324" s="50"/>
      <c r="BI324" s="50"/>
      <c r="BJ324" s="50"/>
      <c r="BK324" s="50"/>
      <c r="BL324" s="50"/>
      <c r="BM324" s="50"/>
      <c r="BN324" s="50"/>
      <c r="BO324" s="50"/>
      <c r="BP324" s="50"/>
      <c r="BQ324" s="50"/>
      <c r="BR324" s="50"/>
      <c r="BS324" s="50"/>
      <c r="BT324" s="50"/>
      <c r="BU324" s="50"/>
      <c r="BV324" s="50"/>
      <c r="BW324" s="50"/>
      <c r="BX324" s="50"/>
      <c r="BY324" s="50"/>
      <c r="BZ324" s="50"/>
      <c r="CA324" s="50"/>
      <c r="CB324" s="50"/>
    </row>
    <row r="325" spans="1:80" s="228" customFormat="1" x14ac:dyDescent="0.25">
      <c r="A325" s="128" t="s">
        <v>1239</v>
      </c>
      <c r="B325" s="128" t="s">
        <v>496</v>
      </c>
      <c r="C325" s="136"/>
      <c r="D325" s="136"/>
      <c r="E325" s="136"/>
      <c r="F325" s="136"/>
      <c r="G325" s="133">
        <v>4</v>
      </c>
      <c r="H325" s="133">
        <v>3</v>
      </c>
      <c r="I325" s="133"/>
      <c r="J325" s="133"/>
      <c r="K325" s="229"/>
      <c r="L325" s="229"/>
      <c r="M325" s="229"/>
      <c r="N325" s="229"/>
      <c r="O325" s="229"/>
      <c r="P325" s="229"/>
      <c r="Q325" s="229"/>
      <c r="R325" s="229"/>
      <c r="S325" s="229"/>
      <c r="T325" s="229"/>
      <c r="U325" s="229"/>
      <c r="V325" s="229"/>
      <c r="W325" s="229"/>
      <c r="X325" s="229"/>
      <c r="Y325" s="229"/>
      <c r="Z325">
        <f>IF(AND('4 Ope'!C325&gt;Tmin, NOT('4 Ope'!$I325="")),'4 Ope'!$I325,0)</f>
        <v>0</v>
      </c>
      <c r="AA325">
        <f>IF(AND('4 Ope'!C325&gt;Tmin, NOT('4 Ope'!$I325="")),'4 Ope'!$I325,0)</f>
        <v>0</v>
      </c>
      <c r="AB325">
        <f>IF(AND('4 Ope'!D325&gt;Tmin, NOT('4 Ope'!$I325="")),'4 Ope'!$I325,0)</f>
        <v>0</v>
      </c>
      <c r="AC325">
        <f>IF(AND('4 Ope'!E325&gt;Tmin, NOT('4 Ope'!$I325="")),'4 Ope'!$I325,0)</f>
        <v>0</v>
      </c>
      <c r="AD325">
        <f>IF(AND('4 Ope'!F325&gt;Tmin, NOT('4 Ope'!$I325="")),'4 Ope'!$I325,0)</f>
        <v>0</v>
      </c>
      <c r="AE325">
        <f>IF(AND('4 Ope'!C325&lt;Tmax, NOT('4 Ope'!$H325="")),'4 Ope'!$H325,4)</f>
        <v>3</v>
      </c>
      <c r="AF325">
        <f>IF(AND('4 Ope'!D325&lt;Tmax, NOT('4 Ope'!$H325="")),'4 Ope'!$H325,4)</f>
        <v>3</v>
      </c>
      <c r="AG325">
        <f>IF(AND('4 Ope'!E325&lt;Tmax, NOT('4 Ope'!$H325="")),'4 Ope'!$H325,4)</f>
        <v>3</v>
      </c>
      <c r="AH325">
        <f>IF(AND('4 Ope'!F325&lt;Tmax, NOT('4 Ope'!$H325="")),'4 Ope'!$H325,4)</f>
        <v>3</v>
      </c>
      <c r="AI325"/>
      <c r="AJ325" s="229"/>
      <c r="AK325" s="229"/>
      <c r="AL325" s="229"/>
      <c r="AM325" s="229"/>
      <c r="AN325" s="229"/>
      <c r="AO325" s="229"/>
      <c r="AP325" s="229"/>
      <c r="AQ325" s="229"/>
      <c r="AR325" s="229"/>
      <c r="AS325" s="229"/>
      <c r="AT325" s="229"/>
      <c r="AU325" s="50"/>
      <c r="AV325" s="50"/>
      <c r="AW325" s="50"/>
      <c r="AX325" s="50"/>
      <c r="AY325" s="50"/>
      <c r="AZ325" s="50"/>
      <c r="BA325" s="50"/>
      <c r="BB325" s="50"/>
      <c r="BC325" s="50"/>
      <c r="BD325" s="50"/>
      <c r="BE325" s="50"/>
      <c r="BF325" s="50"/>
      <c r="BG325" s="50"/>
      <c r="BH325" s="50"/>
      <c r="BI325" s="50"/>
      <c r="BJ325" s="50"/>
      <c r="BK325" s="50"/>
      <c r="BL325" s="50"/>
      <c r="BM325" s="50"/>
      <c r="BN325" s="50"/>
      <c r="BO325" s="50"/>
      <c r="BP325" s="50"/>
      <c r="BQ325" s="50"/>
      <c r="BR325" s="50"/>
      <c r="BS325" s="50"/>
      <c r="BT325" s="50"/>
      <c r="BU325" s="50"/>
      <c r="BV325" s="50"/>
      <c r="BW325" s="50"/>
      <c r="BX325" s="50"/>
      <c r="BY325" s="50"/>
      <c r="BZ325" s="50"/>
      <c r="CA325" s="50"/>
      <c r="CB325" s="50"/>
    </row>
    <row r="326" spans="1:80" s="228" customFormat="1" x14ac:dyDescent="0.25">
      <c r="A326" s="128" t="s">
        <v>1240</v>
      </c>
      <c r="B326" s="128" t="s">
        <v>497</v>
      </c>
      <c r="C326" s="136"/>
      <c r="D326" s="136"/>
      <c r="E326" s="136"/>
      <c r="F326" s="136"/>
      <c r="G326" s="133">
        <v>4</v>
      </c>
      <c r="H326" s="133">
        <v>3</v>
      </c>
      <c r="I326" s="133"/>
      <c r="J326" s="133"/>
      <c r="K326" s="229"/>
      <c r="L326" s="229"/>
      <c r="M326" s="229"/>
      <c r="N326" s="229"/>
      <c r="O326" s="229"/>
      <c r="P326" s="229"/>
      <c r="Q326" s="229"/>
      <c r="R326" s="229"/>
      <c r="S326" s="229"/>
      <c r="T326" s="229"/>
      <c r="U326" s="229"/>
      <c r="V326" s="229"/>
      <c r="W326" s="229"/>
      <c r="X326" s="229"/>
      <c r="Y326" s="229"/>
      <c r="Z326">
        <f>IF(AND('4 Ope'!C326&gt;Tmin, NOT('4 Ope'!$I326="")),'4 Ope'!$I326,0)</f>
        <v>0</v>
      </c>
      <c r="AA326">
        <f>IF(AND('4 Ope'!C326&gt;Tmin, NOT('4 Ope'!$I326="")),'4 Ope'!$I326,0)</f>
        <v>0</v>
      </c>
      <c r="AB326">
        <f>IF(AND('4 Ope'!D326&gt;Tmin, NOT('4 Ope'!$I326="")),'4 Ope'!$I326,0)</f>
        <v>0</v>
      </c>
      <c r="AC326">
        <f>IF(AND('4 Ope'!E326&gt;Tmin, NOT('4 Ope'!$I326="")),'4 Ope'!$I326,0)</f>
        <v>0</v>
      </c>
      <c r="AD326">
        <f>IF(AND('4 Ope'!F326&gt;Tmin, NOT('4 Ope'!$I326="")),'4 Ope'!$I326,0)</f>
        <v>0</v>
      </c>
      <c r="AE326">
        <f>IF(AND('4 Ope'!C326&lt;Tmax, NOT('4 Ope'!$H326="")),'4 Ope'!$H326,4)</f>
        <v>3</v>
      </c>
      <c r="AF326">
        <f>IF(AND('4 Ope'!D326&lt;Tmax, NOT('4 Ope'!$H326="")),'4 Ope'!$H326,4)</f>
        <v>3</v>
      </c>
      <c r="AG326">
        <f>IF(AND('4 Ope'!E326&lt;Tmax, NOT('4 Ope'!$H326="")),'4 Ope'!$H326,4)</f>
        <v>3</v>
      </c>
      <c r="AH326">
        <f>IF(AND('4 Ope'!F326&lt;Tmax, NOT('4 Ope'!$H326="")),'4 Ope'!$H326,4)</f>
        <v>3</v>
      </c>
      <c r="AI326"/>
      <c r="AJ326" s="229"/>
      <c r="AK326" s="229"/>
      <c r="AL326" s="229"/>
      <c r="AM326" s="229"/>
      <c r="AN326" s="229"/>
      <c r="AO326" s="229"/>
      <c r="AP326" s="229"/>
      <c r="AQ326" s="229"/>
      <c r="AR326" s="229"/>
      <c r="AS326" s="229"/>
      <c r="AT326" s="229"/>
      <c r="AU326" s="50"/>
      <c r="AV326" s="50"/>
      <c r="AW326" s="50"/>
      <c r="AX326" s="50"/>
      <c r="AY326" s="50"/>
      <c r="AZ326" s="50"/>
      <c r="BA326" s="50"/>
      <c r="BB326" s="50"/>
      <c r="BC326" s="50"/>
      <c r="BD326" s="50"/>
      <c r="BE326" s="50"/>
      <c r="BF326" s="50"/>
      <c r="BG326" s="50"/>
      <c r="BH326" s="50"/>
      <c r="BI326" s="50"/>
      <c r="BJ326" s="50"/>
      <c r="BK326" s="50"/>
      <c r="BL326" s="50"/>
      <c r="BM326" s="50"/>
      <c r="BN326" s="50"/>
      <c r="BO326" s="50"/>
      <c r="BP326" s="50"/>
      <c r="BQ326" s="50"/>
      <c r="BR326" s="50"/>
      <c r="BS326" s="50"/>
      <c r="BT326" s="50"/>
      <c r="BU326" s="50"/>
      <c r="BV326" s="50"/>
      <c r="BW326" s="50"/>
      <c r="BX326" s="50"/>
      <c r="BY326" s="50"/>
      <c r="BZ326" s="50"/>
      <c r="CA326" s="50"/>
      <c r="CB326" s="50"/>
    </row>
    <row r="327" spans="1:80" s="228" customFormat="1" x14ac:dyDescent="0.25">
      <c r="A327" s="128" t="s">
        <v>1241</v>
      </c>
      <c r="B327" s="128" t="s">
        <v>498</v>
      </c>
      <c r="C327" s="136"/>
      <c r="D327" s="136"/>
      <c r="E327" s="136"/>
      <c r="F327" s="136"/>
      <c r="G327" s="133">
        <v>3</v>
      </c>
      <c r="H327" s="133">
        <v>2</v>
      </c>
      <c r="I327" s="133"/>
      <c r="J327" s="133"/>
      <c r="K327" s="229"/>
      <c r="L327" s="229"/>
      <c r="M327" s="229"/>
      <c r="N327" s="229"/>
      <c r="O327" s="229"/>
      <c r="P327" s="229"/>
      <c r="Q327" s="229"/>
      <c r="R327" s="229"/>
      <c r="S327" s="229"/>
      <c r="T327" s="229"/>
      <c r="U327" s="229"/>
      <c r="V327" s="229"/>
      <c r="W327" s="229"/>
      <c r="X327" s="229"/>
      <c r="Y327" s="229"/>
      <c r="Z327">
        <f>IF(AND('4 Ope'!C327&gt;Tmin, NOT('4 Ope'!$I327="")),'4 Ope'!$I327,0)</f>
        <v>0</v>
      </c>
      <c r="AA327">
        <f>IF(AND('4 Ope'!C327&gt;Tmin, NOT('4 Ope'!$I327="")),'4 Ope'!$I327,0)</f>
        <v>0</v>
      </c>
      <c r="AB327">
        <f>IF(AND('4 Ope'!D327&gt;Tmin, NOT('4 Ope'!$I327="")),'4 Ope'!$I327,0)</f>
        <v>0</v>
      </c>
      <c r="AC327">
        <f>IF(AND('4 Ope'!E327&gt;Tmin, NOT('4 Ope'!$I327="")),'4 Ope'!$I327,0)</f>
        <v>0</v>
      </c>
      <c r="AD327">
        <f>IF(AND('4 Ope'!F327&gt;Tmin, NOT('4 Ope'!$I327="")),'4 Ope'!$I327,0)</f>
        <v>0</v>
      </c>
      <c r="AE327">
        <f>IF(AND('4 Ope'!C327&lt;Tmax, NOT('4 Ope'!$H327="")),'4 Ope'!$H327,4)</f>
        <v>2</v>
      </c>
      <c r="AF327">
        <f>IF(AND('4 Ope'!D327&lt;Tmax, NOT('4 Ope'!$H327="")),'4 Ope'!$H327,4)</f>
        <v>2</v>
      </c>
      <c r="AG327">
        <f>IF(AND('4 Ope'!E327&lt;Tmax, NOT('4 Ope'!$H327="")),'4 Ope'!$H327,4)</f>
        <v>2</v>
      </c>
      <c r="AH327">
        <f>IF(AND('4 Ope'!F327&lt;Tmax, NOT('4 Ope'!$H327="")),'4 Ope'!$H327,4)</f>
        <v>2</v>
      </c>
      <c r="AI327"/>
      <c r="AJ327" s="229"/>
      <c r="AK327" s="229"/>
      <c r="AL327" s="229"/>
      <c r="AM327" s="229"/>
      <c r="AN327" s="229"/>
      <c r="AO327" s="229"/>
      <c r="AP327" s="229"/>
      <c r="AQ327" s="229"/>
      <c r="AR327" s="229"/>
      <c r="AS327" s="229"/>
      <c r="AT327" s="229"/>
      <c r="AU327" s="50"/>
      <c r="AV327" s="50"/>
      <c r="AW327" s="50"/>
      <c r="AX327" s="50"/>
      <c r="AY327" s="50"/>
      <c r="AZ327" s="50"/>
      <c r="BA327" s="50"/>
      <c r="BB327" s="50"/>
      <c r="BC327" s="50"/>
      <c r="BD327" s="50"/>
      <c r="BE327" s="50"/>
      <c r="BF327" s="50"/>
      <c r="BG327" s="50"/>
      <c r="BH327" s="50"/>
      <c r="BI327" s="50"/>
      <c r="BJ327" s="50"/>
      <c r="BK327" s="50"/>
      <c r="BL327" s="50"/>
      <c r="BM327" s="50"/>
      <c r="BN327" s="50"/>
      <c r="BO327" s="50"/>
      <c r="BP327" s="50"/>
      <c r="BQ327" s="50"/>
      <c r="BR327" s="50"/>
      <c r="BS327" s="50"/>
      <c r="BT327" s="50"/>
      <c r="BU327" s="50"/>
      <c r="BV327" s="50"/>
      <c r="BW327" s="50"/>
      <c r="BX327" s="50"/>
      <c r="BY327" s="50"/>
      <c r="BZ327" s="50"/>
      <c r="CA327" s="50"/>
      <c r="CB327" s="50"/>
    </row>
    <row r="328" spans="1:80" s="228" customFormat="1" x14ac:dyDescent="0.25">
      <c r="A328" s="128" t="s">
        <v>636</v>
      </c>
      <c r="B328" s="128" t="s">
        <v>1615</v>
      </c>
      <c r="C328" s="136"/>
      <c r="D328" s="136"/>
      <c r="E328" s="136"/>
      <c r="F328" s="136"/>
      <c r="G328" s="133"/>
      <c r="H328" s="133"/>
      <c r="I328" s="133"/>
      <c r="J328" s="133"/>
      <c r="K328" s="229"/>
      <c r="L328" s="229"/>
      <c r="M328" s="229"/>
      <c r="N328" s="229"/>
      <c r="O328" s="229"/>
      <c r="P328" s="229"/>
      <c r="Q328" s="229"/>
      <c r="R328" s="229"/>
      <c r="S328" s="229"/>
      <c r="T328" s="229"/>
      <c r="U328" s="229"/>
      <c r="V328" s="229"/>
      <c r="W328" s="229"/>
      <c r="X328" s="229"/>
      <c r="Y328" s="229"/>
      <c r="Z328"/>
      <c r="AA328"/>
      <c r="AB328"/>
      <c r="AC328"/>
      <c r="AD328"/>
      <c r="AE328"/>
      <c r="AF328"/>
      <c r="AG328"/>
      <c r="AH328"/>
      <c r="AI328"/>
      <c r="AJ328" s="229"/>
      <c r="AK328" s="229"/>
      <c r="AL328" s="229"/>
      <c r="AM328" s="229"/>
      <c r="AN328" s="229"/>
      <c r="AO328" s="229"/>
      <c r="AP328" s="229"/>
      <c r="AQ328" s="229"/>
      <c r="AR328" s="229"/>
      <c r="AS328" s="229"/>
      <c r="AT328" s="229"/>
      <c r="AU328" s="50"/>
      <c r="AV328" s="50"/>
      <c r="AW328" s="50"/>
      <c r="AX328" s="50"/>
      <c r="AY328" s="50"/>
      <c r="AZ328" s="50"/>
      <c r="BA328" s="50"/>
      <c r="BB328" s="50"/>
      <c r="BC328" s="50"/>
      <c r="BD328" s="50"/>
      <c r="BE328" s="50"/>
      <c r="BF328" s="50"/>
      <c r="BG328" s="50"/>
      <c r="BH328" s="50"/>
      <c r="BI328" s="50"/>
      <c r="BJ328" s="50"/>
      <c r="BK328" s="50"/>
      <c r="BL328" s="50"/>
      <c r="BM328" s="50"/>
      <c r="BN328" s="50"/>
      <c r="BO328" s="50"/>
      <c r="BP328" s="50"/>
      <c r="BQ328" s="50"/>
      <c r="BR328" s="50"/>
      <c r="BS328" s="50"/>
      <c r="BT328" s="50"/>
      <c r="BU328" s="50"/>
      <c r="BV328" s="50"/>
      <c r="BW328" s="50"/>
      <c r="BX328" s="50"/>
      <c r="BY328" s="50"/>
      <c r="BZ328" s="50"/>
      <c r="CA328" s="50"/>
      <c r="CB328" s="50"/>
    </row>
    <row r="329" spans="1:80" s="228" customFormat="1" ht="20.399999999999999" x14ac:dyDescent="0.25">
      <c r="A329" s="128" t="s">
        <v>1242</v>
      </c>
      <c r="B329" s="128" t="s">
        <v>499</v>
      </c>
      <c r="C329" s="136"/>
      <c r="D329" s="136"/>
      <c r="E329" s="136"/>
      <c r="F329" s="136"/>
      <c r="G329" s="133">
        <v>3</v>
      </c>
      <c r="H329" s="133">
        <v>2</v>
      </c>
      <c r="I329" s="133"/>
      <c r="J329" s="133"/>
      <c r="K329" s="229"/>
      <c r="L329" s="229"/>
      <c r="M329" s="229"/>
      <c r="N329" s="229"/>
      <c r="O329" s="229"/>
      <c r="P329" s="229"/>
      <c r="Q329" s="229"/>
      <c r="R329" s="229"/>
      <c r="S329" s="229"/>
      <c r="T329" s="229"/>
      <c r="U329" s="229"/>
      <c r="V329" s="229"/>
      <c r="W329" s="229"/>
      <c r="X329" s="229"/>
      <c r="Y329" s="229"/>
      <c r="Z329">
        <f>IF(AND('4 Ope'!C329&gt;Tmin, NOT('4 Ope'!$I329="")),'4 Ope'!$I329,0)</f>
        <v>0</v>
      </c>
      <c r="AA329">
        <f>IF(AND('4 Ope'!C329&gt;Tmin, NOT('4 Ope'!$I329="")),'4 Ope'!$I329,0)</f>
        <v>0</v>
      </c>
      <c r="AB329">
        <f>IF(AND('4 Ope'!D329&gt;Tmin, NOT('4 Ope'!$I329="")),'4 Ope'!$I329,0)</f>
        <v>0</v>
      </c>
      <c r="AC329">
        <f>IF(AND('4 Ope'!E329&gt;Tmin, NOT('4 Ope'!$I329="")),'4 Ope'!$I329,0)</f>
        <v>0</v>
      </c>
      <c r="AD329">
        <f>IF(AND('4 Ope'!F329&gt;Tmin, NOT('4 Ope'!$I329="")),'4 Ope'!$I329,0)</f>
        <v>0</v>
      </c>
      <c r="AE329">
        <f>IF(AND('4 Ope'!C329&lt;Tmax, NOT('4 Ope'!$H329="")),'4 Ope'!$H329,4)</f>
        <v>2</v>
      </c>
      <c r="AF329">
        <f>IF(AND('4 Ope'!D329&lt;Tmax, NOT('4 Ope'!$H329="")),'4 Ope'!$H329,4)</f>
        <v>2</v>
      </c>
      <c r="AG329">
        <f>IF(AND('4 Ope'!E329&lt;Tmax, NOT('4 Ope'!$H329="")),'4 Ope'!$H329,4)</f>
        <v>2</v>
      </c>
      <c r="AH329">
        <f>IF(AND('4 Ope'!F329&lt;Tmax, NOT('4 Ope'!$H329="")),'4 Ope'!$H329,4)</f>
        <v>2</v>
      </c>
      <c r="AI329"/>
      <c r="AJ329" s="229"/>
      <c r="AK329" s="229"/>
      <c r="AL329" s="229"/>
      <c r="AM329" s="229"/>
      <c r="AN329" s="229"/>
      <c r="AO329" s="229"/>
      <c r="AP329" s="229"/>
      <c r="AQ329" s="229"/>
      <c r="AR329" s="229"/>
      <c r="AS329" s="229"/>
      <c r="AT329" s="229"/>
      <c r="AU329" s="50"/>
      <c r="AV329" s="50"/>
      <c r="AW329" s="50"/>
      <c r="AX329" s="50"/>
      <c r="AY329" s="50"/>
      <c r="AZ329" s="50"/>
      <c r="BA329" s="50"/>
      <c r="BB329" s="50"/>
      <c r="BC329" s="50"/>
      <c r="BD329" s="50"/>
      <c r="BE329" s="50"/>
      <c r="BF329" s="50"/>
      <c r="BG329" s="50"/>
      <c r="BH329" s="50"/>
      <c r="BI329" s="50"/>
      <c r="BJ329" s="50"/>
      <c r="BK329" s="50"/>
      <c r="BL329" s="50"/>
      <c r="BM329" s="50"/>
      <c r="BN329" s="50"/>
      <c r="BO329" s="50"/>
      <c r="BP329" s="50"/>
      <c r="BQ329" s="50"/>
      <c r="BR329" s="50"/>
      <c r="BS329" s="50"/>
      <c r="BT329" s="50"/>
      <c r="BU329" s="50"/>
      <c r="BV329" s="50"/>
      <c r="BW329" s="50"/>
      <c r="BX329" s="50"/>
      <c r="BY329" s="50"/>
      <c r="BZ329" s="50"/>
      <c r="CA329" s="50"/>
      <c r="CB329" s="50"/>
    </row>
    <row r="330" spans="1:80" s="228" customFormat="1" x14ac:dyDescent="0.25">
      <c r="A330" s="128" t="s">
        <v>1243</v>
      </c>
      <c r="B330" s="128" t="s">
        <v>500</v>
      </c>
      <c r="C330" s="136"/>
      <c r="D330" s="136"/>
      <c r="E330" s="136"/>
      <c r="F330" s="136"/>
      <c r="G330" s="133">
        <v>3</v>
      </c>
      <c r="H330" s="133"/>
      <c r="I330" s="133"/>
      <c r="J330" s="133"/>
      <c r="K330" s="229"/>
      <c r="L330" s="229"/>
      <c r="M330" s="229"/>
      <c r="N330" s="229"/>
      <c r="O330" s="229"/>
      <c r="P330" s="229"/>
      <c r="Q330" s="229"/>
      <c r="R330" s="229"/>
      <c r="S330" s="229"/>
      <c r="T330" s="229"/>
      <c r="U330" s="229"/>
      <c r="V330" s="229"/>
      <c r="W330" s="229"/>
      <c r="X330" s="229"/>
      <c r="Y330" s="229"/>
      <c r="Z330">
        <f>IF(AND('4 Ope'!C330&gt;Tmin, NOT('4 Ope'!$I330="")),'4 Ope'!$I330,0)</f>
        <v>0</v>
      </c>
      <c r="AA330">
        <f>IF(AND('4 Ope'!C330&gt;Tmin, NOT('4 Ope'!$I330="")),'4 Ope'!$I330,0)</f>
        <v>0</v>
      </c>
      <c r="AB330">
        <f>IF(AND('4 Ope'!D330&gt;Tmin, NOT('4 Ope'!$I330="")),'4 Ope'!$I330,0)</f>
        <v>0</v>
      </c>
      <c r="AC330">
        <f>IF(AND('4 Ope'!E330&gt;Tmin, NOT('4 Ope'!$I330="")),'4 Ope'!$I330,0)</f>
        <v>0</v>
      </c>
      <c r="AD330">
        <f>IF(AND('4 Ope'!F330&gt;Tmin, NOT('4 Ope'!$I330="")),'4 Ope'!$I330,0)</f>
        <v>0</v>
      </c>
      <c r="AE330">
        <f>IF(AND('4 Ope'!C330&lt;Tmax, NOT('4 Ope'!$H330="")),'4 Ope'!$H330,4)</f>
        <v>4</v>
      </c>
      <c r="AF330">
        <f>IF(AND('4 Ope'!D330&lt;Tmax, NOT('4 Ope'!$H330="")),'4 Ope'!$H330,4)</f>
        <v>4</v>
      </c>
      <c r="AG330">
        <f>IF(AND('4 Ope'!E330&lt;Tmax, NOT('4 Ope'!$H330="")),'4 Ope'!$H330,4)</f>
        <v>4</v>
      </c>
      <c r="AH330">
        <f>IF(AND('4 Ope'!F330&lt;Tmax, NOT('4 Ope'!$H330="")),'4 Ope'!$H330,4)</f>
        <v>4</v>
      </c>
      <c r="AI330"/>
      <c r="AJ330" s="229"/>
      <c r="AK330" s="229"/>
      <c r="AL330" s="229"/>
      <c r="AM330" s="229"/>
      <c r="AN330" s="229"/>
      <c r="AO330" s="229"/>
      <c r="AP330" s="229"/>
      <c r="AQ330" s="229"/>
      <c r="AR330" s="229"/>
      <c r="AS330" s="229"/>
      <c r="AT330" s="229"/>
      <c r="AU330" s="50"/>
      <c r="AV330" s="50"/>
      <c r="AW330" s="50"/>
      <c r="AX330" s="50"/>
      <c r="AY330" s="50"/>
      <c r="AZ330" s="50"/>
      <c r="BA330" s="50"/>
      <c r="BB330" s="50"/>
      <c r="BC330" s="50"/>
      <c r="BD330" s="50"/>
      <c r="BE330" s="50"/>
      <c r="BF330" s="50"/>
      <c r="BG330" s="50"/>
      <c r="BH330" s="50"/>
      <c r="BI330" s="50"/>
      <c r="BJ330" s="50"/>
      <c r="BK330" s="50"/>
      <c r="BL330" s="50"/>
      <c r="BM330" s="50"/>
      <c r="BN330" s="50"/>
      <c r="BO330" s="50"/>
      <c r="BP330" s="50"/>
      <c r="BQ330" s="50"/>
      <c r="BR330" s="50"/>
      <c r="BS330" s="50"/>
      <c r="BT330" s="50"/>
      <c r="BU330" s="50"/>
      <c r="BV330" s="50"/>
      <c r="BW330" s="50"/>
      <c r="BX330" s="50"/>
      <c r="BY330" s="50"/>
      <c r="BZ330" s="50"/>
      <c r="CA330" s="50"/>
      <c r="CB330" s="50"/>
    </row>
    <row r="331" spans="1:80" s="228" customFormat="1" x14ac:dyDescent="0.25">
      <c r="A331" s="128" t="s">
        <v>1244</v>
      </c>
      <c r="B331" s="128" t="s">
        <v>438</v>
      </c>
      <c r="C331" s="136"/>
      <c r="D331" s="136"/>
      <c r="E331" s="136"/>
      <c r="F331" s="136"/>
      <c r="G331" s="133">
        <v>2</v>
      </c>
      <c r="H331" s="133">
        <v>3</v>
      </c>
      <c r="I331" s="133"/>
      <c r="J331" s="133"/>
      <c r="K331" s="229"/>
      <c r="L331" s="229"/>
      <c r="M331" s="229"/>
      <c r="N331" s="229"/>
      <c r="O331" s="229"/>
      <c r="P331" s="229"/>
      <c r="Q331" s="229"/>
      <c r="R331" s="229"/>
      <c r="S331" s="229"/>
      <c r="T331" s="229"/>
      <c r="U331" s="229"/>
      <c r="V331" s="229"/>
      <c r="W331" s="229"/>
      <c r="X331" s="229"/>
      <c r="Y331" s="229"/>
      <c r="Z331">
        <f>IF(AND('4 Ope'!C331&gt;Tmin, NOT('4 Ope'!$I331="")),'4 Ope'!$I331,0)</f>
        <v>0</v>
      </c>
      <c r="AA331">
        <f>IF(AND('4 Ope'!C331&gt;Tmin, NOT('4 Ope'!$I331="")),'4 Ope'!$I331,0)</f>
        <v>0</v>
      </c>
      <c r="AB331">
        <f>IF(AND('4 Ope'!D331&gt;Tmin, NOT('4 Ope'!$I331="")),'4 Ope'!$I331,0)</f>
        <v>0</v>
      </c>
      <c r="AC331">
        <f>IF(AND('4 Ope'!E331&gt;Tmin, NOT('4 Ope'!$I331="")),'4 Ope'!$I331,0)</f>
        <v>0</v>
      </c>
      <c r="AD331">
        <f>IF(AND('4 Ope'!F331&gt;Tmin, NOT('4 Ope'!$I331="")),'4 Ope'!$I331,0)</f>
        <v>0</v>
      </c>
      <c r="AE331">
        <f>IF(AND('4 Ope'!C331&lt;Tmax, NOT('4 Ope'!$H331="")),'4 Ope'!$H331,4)</f>
        <v>3</v>
      </c>
      <c r="AF331">
        <f>IF(AND('4 Ope'!D331&lt;Tmax, NOT('4 Ope'!$H331="")),'4 Ope'!$H331,4)</f>
        <v>3</v>
      </c>
      <c r="AG331">
        <f>IF(AND('4 Ope'!E331&lt;Tmax, NOT('4 Ope'!$H331="")),'4 Ope'!$H331,4)</f>
        <v>3</v>
      </c>
      <c r="AH331">
        <f>IF(AND('4 Ope'!F331&lt;Tmax, NOT('4 Ope'!$H331="")),'4 Ope'!$H331,4)</f>
        <v>3</v>
      </c>
      <c r="AI331"/>
      <c r="AJ331" s="229"/>
      <c r="AK331" s="229"/>
      <c r="AL331" s="229"/>
      <c r="AM331" s="229"/>
      <c r="AN331" s="229"/>
      <c r="AO331" s="229"/>
      <c r="AP331" s="229"/>
      <c r="AQ331" s="229"/>
      <c r="AR331" s="229"/>
      <c r="AS331" s="229"/>
      <c r="AT331" s="229"/>
      <c r="AU331" s="50"/>
      <c r="AV331" s="50"/>
      <c r="AW331" s="50"/>
      <c r="AX331" s="50"/>
      <c r="AY331" s="50"/>
      <c r="AZ331" s="50"/>
      <c r="BA331" s="50"/>
      <c r="BB331" s="50"/>
      <c r="BC331" s="50"/>
      <c r="BD331" s="50"/>
      <c r="BE331" s="50"/>
      <c r="BF331" s="50"/>
      <c r="BG331" s="50"/>
      <c r="BH331" s="50"/>
      <c r="BI331" s="50"/>
      <c r="BJ331" s="50"/>
      <c r="BK331" s="50"/>
      <c r="BL331" s="50"/>
      <c r="BM331" s="50"/>
      <c r="BN331" s="50"/>
      <c r="BO331" s="50"/>
      <c r="BP331" s="50"/>
      <c r="BQ331" s="50"/>
      <c r="BR331" s="50"/>
      <c r="BS331" s="50"/>
      <c r="BT331" s="50"/>
      <c r="BU331" s="50"/>
      <c r="BV331" s="50"/>
      <c r="BW331" s="50"/>
      <c r="BX331" s="50"/>
      <c r="BY331" s="50"/>
      <c r="BZ331" s="50"/>
      <c r="CA331" s="50"/>
      <c r="CB331" s="50"/>
    </row>
    <row r="332" spans="1:80" s="228" customFormat="1" x14ac:dyDescent="0.25">
      <c r="A332" s="128" t="s">
        <v>1245</v>
      </c>
      <c r="B332" s="128" t="s">
        <v>211</v>
      </c>
      <c r="C332" s="136"/>
      <c r="D332" s="136"/>
      <c r="E332" s="136"/>
      <c r="F332" s="136"/>
      <c r="G332" s="133">
        <v>2</v>
      </c>
      <c r="H332" s="133">
        <v>3</v>
      </c>
      <c r="I332" s="133"/>
      <c r="J332" s="133"/>
      <c r="K332" s="229"/>
      <c r="L332" s="229"/>
      <c r="M332" s="229"/>
      <c r="N332" s="229"/>
      <c r="O332" s="229"/>
      <c r="P332" s="229"/>
      <c r="Q332" s="229"/>
      <c r="R332" s="229"/>
      <c r="S332" s="229"/>
      <c r="T332" s="229"/>
      <c r="U332" s="229"/>
      <c r="V332" s="229"/>
      <c r="W332" s="229"/>
      <c r="X332" s="229"/>
      <c r="Y332" s="229"/>
      <c r="Z332">
        <f>IF(AND('4 Ope'!C332&gt;Tmin, NOT('4 Ope'!$I332="")),'4 Ope'!$I332,0)</f>
        <v>0</v>
      </c>
      <c r="AA332">
        <f>IF(AND('4 Ope'!C332&gt;Tmin, NOT('4 Ope'!$I332="")),'4 Ope'!$I332,0)</f>
        <v>0</v>
      </c>
      <c r="AB332">
        <f>IF(AND('4 Ope'!D332&gt;Tmin, NOT('4 Ope'!$I332="")),'4 Ope'!$I332,0)</f>
        <v>0</v>
      </c>
      <c r="AC332">
        <f>IF(AND('4 Ope'!E332&gt;Tmin, NOT('4 Ope'!$I332="")),'4 Ope'!$I332,0)</f>
        <v>0</v>
      </c>
      <c r="AD332">
        <f>IF(AND('4 Ope'!F332&gt;Tmin, NOT('4 Ope'!$I332="")),'4 Ope'!$I332,0)</f>
        <v>0</v>
      </c>
      <c r="AE332">
        <f>IF(AND('4 Ope'!C332&lt;Tmax, NOT('4 Ope'!$H332="")),'4 Ope'!$H332,4)</f>
        <v>3</v>
      </c>
      <c r="AF332">
        <f>IF(AND('4 Ope'!D332&lt;Tmax, NOT('4 Ope'!$H332="")),'4 Ope'!$H332,4)</f>
        <v>3</v>
      </c>
      <c r="AG332">
        <f>IF(AND('4 Ope'!E332&lt;Tmax, NOT('4 Ope'!$H332="")),'4 Ope'!$H332,4)</f>
        <v>3</v>
      </c>
      <c r="AH332">
        <f>IF(AND('4 Ope'!F332&lt;Tmax, NOT('4 Ope'!$H332="")),'4 Ope'!$H332,4)</f>
        <v>3</v>
      </c>
      <c r="AI332"/>
      <c r="AJ332" s="229"/>
      <c r="AK332" s="229"/>
      <c r="AL332" s="229"/>
      <c r="AM332" s="229"/>
      <c r="AN332" s="229"/>
      <c r="AO332" s="229"/>
      <c r="AP332" s="229"/>
      <c r="AQ332" s="229"/>
      <c r="AR332" s="229"/>
      <c r="AS332" s="229"/>
      <c r="AT332" s="229"/>
      <c r="AU332" s="50"/>
      <c r="AV332" s="50"/>
      <c r="AW332" s="50"/>
      <c r="AX332" s="50"/>
      <c r="AY332" s="50"/>
      <c r="AZ332" s="50"/>
      <c r="BA332" s="50"/>
      <c r="BB332" s="50"/>
      <c r="BC332" s="50"/>
      <c r="BD332" s="50"/>
      <c r="BE332" s="50"/>
      <c r="BF332" s="50"/>
      <c r="BG332" s="50"/>
      <c r="BH332" s="50"/>
      <c r="BI332" s="50"/>
      <c r="BJ332" s="50"/>
      <c r="BK332" s="50"/>
      <c r="BL332" s="50"/>
      <c r="BM332" s="50"/>
      <c r="BN332" s="50"/>
      <c r="BO332" s="50"/>
      <c r="BP332" s="50"/>
      <c r="BQ332" s="50"/>
      <c r="BR332" s="50"/>
      <c r="BS332" s="50"/>
      <c r="BT332" s="50"/>
      <c r="BU332" s="50"/>
      <c r="BV332" s="50"/>
      <c r="BW332" s="50"/>
      <c r="BX332" s="50"/>
      <c r="BY332" s="50"/>
      <c r="BZ332" s="50"/>
      <c r="CA332" s="50"/>
      <c r="CB332" s="50"/>
    </row>
    <row r="333" spans="1:80" s="228" customFormat="1" x14ac:dyDescent="0.25">
      <c r="A333" s="128" t="s">
        <v>1246</v>
      </c>
      <c r="B333" s="128" t="s">
        <v>501</v>
      </c>
      <c r="C333" s="136"/>
      <c r="D333" s="136"/>
      <c r="E333" s="136"/>
      <c r="F333" s="136"/>
      <c r="G333" s="133">
        <v>3</v>
      </c>
      <c r="H333" s="133"/>
      <c r="I333" s="133"/>
      <c r="J333" s="133"/>
      <c r="K333" s="229"/>
      <c r="L333" s="229"/>
      <c r="M333" s="229"/>
      <c r="N333" s="229"/>
      <c r="O333" s="229"/>
      <c r="P333" s="229"/>
      <c r="Q333" s="229"/>
      <c r="R333" s="229"/>
      <c r="S333" s="229"/>
      <c r="T333" s="229"/>
      <c r="U333" s="229"/>
      <c r="V333" s="229"/>
      <c r="W333" s="229"/>
      <c r="X333" s="229"/>
      <c r="Y333" s="229"/>
      <c r="Z333">
        <f>IF(AND('4 Ope'!C333&gt;Tmin, NOT('4 Ope'!$I333="")),'4 Ope'!$I333,0)</f>
        <v>0</v>
      </c>
      <c r="AA333">
        <f>IF(AND('4 Ope'!C333&gt;Tmin, NOT('4 Ope'!$I333="")),'4 Ope'!$I333,0)</f>
        <v>0</v>
      </c>
      <c r="AB333">
        <f>IF(AND('4 Ope'!D333&gt;Tmin, NOT('4 Ope'!$I333="")),'4 Ope'!$I333,0)</f>
        <v>0</v>
      </c>
      <c r="AC333">
        <f>IF(AND('4 Ope'!E333&gt;Tmin, NOT('4 Ope'!$I333="")),'4 Ope'!$I333,0)</f>
        <v>0</v>
      </c>
      <c r="AD333">
        <f>IF(AND('4 Ope'!F333&gt;Tmin, NOT('4 Ope'!$I333="")),'4 Ope'!$I333,0)</f>
        <v>0</v>
      </c>
      <c r="AE333">
        <f>IF(AND('4 Ope'!C333&lt;Tmax, NOT('4 Ope'!$H333="")),'4 Ope'!$H333,4)</f>
        <v>4</v>
      </c>
      <c r="AF333">
        <f>IF(AND('4 Ope'!D333&lt;Tmax, NOT('4 Ope'!$H333="")),'4 Ope'!$H333,4)</f>
        <v>4</v>
      </c>
      <c r="AG333">
        <f>IF(AND('4 Ope'!E333&lt;Tmax, NOT('4 Ope'!$H333="")),'4 Ope'!$H333,4)</f>
        <v>4</v>
      </c>
      <c r="AH333">
        <f>IF(AND('4 Ope'!F333&lt;Tmax, NOT('4 Ope'!$H333="")),'4 Ope'!$H333,4)</f>
        <v>4</v>
      </c>
      <c r="AI333"/>
      <c r="AJ333" s="229"/>
      <c r="AK333" s="229"/>
      <c r="AL333" s="229"/>
      <c r="AM333" s="229"/>
      <c r="AN333" s="229"/>
      <c r="AO333" s="229"/>
      <c r="AP333" s="229"/>
      <c r="AQ333" s="229"/>
      <c r="AR333" s="229"/>
      <c r="AS333" s="229"/>
      <c r="AT333" s="229"/>
      <c r="AU333" s="50"/>
      <c r="AV333" s="50"/>
      <c r="AW333" s="50"/>
      <c r="AX333" s="50"/>
      <c r="AY333" s="50"/>
      <c r="AZ333" s="50"/>
      <c r="BA333" s="50"/>
      <c r="BB333" s="50"/>
      <c r="BC333" s="50"/>
      <c r="BD333" s="50"/>
      <c r="BE333" s="50"/>
      <c r="BF333" s="50"/>
      <c r="BG333" s="50"/>
      <c r="BH333" s="50"/>
      <c r="BI333" s="50"/>
      <c r="BJ333" s="50"/>
      <c r="BK333" s="50"/>
      <c r="BL333" s="50"/>
      <c r="BM333" s="50"/>
      <c r="BN333" s="50"/>
      <c r="BO333" s="50"/>
      <c r="BP333" s="50"/>
      <c r="BQ333" s="50"/>
      <c r="BR333" s="50"/>
      <c r="BS333" s="50"/>
      <c r="BT333" s="50"/>
      <c r="BU333" s="50"/>
      <c r="BV333" s="50"/>
      <c r="BW333" s="50"/>
      <c r="BX333" s="50"/>
      <c r="BY333" s="50"/>
      <c r="BZ333" s="50"/>
      <c r="CA333" s="50"/>
      <c r="CB333" s="50"/>
    </row>
    <row r="334" spans="1:80" s="247" customFormat="1" ht="20.399999999999999" x14ac:dyDescent="0.25">
      <c r="A334" s="128" t="s">
        <v>1247</v>
      </c>
      <c r="B334" s="128" t="s">
        <v>502</v>
      </c>
      <c r="C334" s="136"/>
      <c r="D334" s="136"/>
      <c r="E334" s="136"/>
      <c r="F334" s="136"/>
      <c r="G334" s="133">
        <v>3</v>
      </c>
      <c r="H334" s="133">
        <v>3</v>
      </c>
      <c r="I334" s="133"/>
      <c r="J334" s="133"/>
      <c r="K334" s="229"/>
      <c r="L334" s="229"/>
      <c r="M334" s="229"/>
      <c r="N334" s="229"/>
      <c r="O334" s="229"/>
      <c r="P334" s="229"/>
      <c r="Q334" s="229"/>
      <c r="R334" s="229"/>
      <c r="S334" s="229"/>
      <c r="T334" s="229"/>
      <c r="U334" s="229"/>
      <c r="V334" s="229"/>
      <c r="W334" s="229"/>
      <c r="X334" s="229"/>
      <c r="Y334" s="229"/>
      <c r="Z334">
        <f>IF(AND('4 Ope'!C334&gt;Tmin, NOT('4 Ope'!$I334="")),'4 Ope'!$I334,0)</f>
        <v>0</v>
      </c>
      <c r="AA334">
        <f>IF(AND('4 Ope'!C334&gt;Tmin, NOT('4 Ope'!$I334="")),'4 Ope'!$I334,0)</f>
        <v>0</v>
      </c>
      <c r="AB334">
        <f>IF(AND('4 Ope'!D334&gt;Tmin, NOT('4 Ope'!$I334="")),'4 Ope'!$I334,0)</f>
        <v>0</v>
      </c>
      <c r="AC334">
        <f>IF(AND('4 Ope'!E334&gt;Tmin, NOT('4 Ope'!$I334="")),'4 Ope'!$I334,0)</f>
        <v>0</v>
      </c>
      <c r="AD334">
        <f>IF(AND('4 Ope'!F334&gt;Tmin, NOT('4 Ope'!$I334="")),'4 Ope'!$I334,0)</f>
        <v>0</v>
      </c>
      <c r="AE334">
        <f>IF(AND('4 Ope'!C334&lt;Tmax, NOT('4 Ope'!$H334="")),'4 Ope'!$H334,4)</f>
        <v>3</v>
      </c>
      <c r="AF334">
        <f>IF(AND('4 Ope'!D334&lt;Tmax, NOT('4 Ope'!$H334="")),'4 Ope'!$H334,4)</f>
        <v>3</v>
      </c>
      <c r="AG334">
        <f>IF(AND('4 Ope'!E334&lt;Tmax, NOT('4 Ope'!$H334="")),'4 Ope'!$H334,4)</f>
        <v>3</v>
      </c>
      <c r="AH334">
        <f>IF(AND('4 Ope'!F334&lt;Tmax, NOT('4 Ope'!$H334="")),'4 Ope'!$H334,4)</f>
        <v>3</v>
      </c>
      <c r="AI334"/>
      <c r="AJ334" s="229"/>
      <c r="AK334" s="229"/>
      <c r="AL334" s="229"/>
      <c r="AM334" s="229"/>
      <c r="AN334" s="229"/>
      <c r="AO334" s="229"/>
      <c r="AP334" s="229"/>
      <c r="AQ334" s="229"/>
      <c r="AR334" s="229"/>
      <c r="AS334" s="229"/>
      <c r="AT334" s="229"/>
      <c r="AU334" s="50"/>
      <c r="AV334" s="50"/>
      <c r="AW334" s="50"/>
      <c r="AX334" s="50"/>
      <c r="AY334" s="50"/>
      <c r="AZ334" s="50"/>
      <c r="BA334" s="50"/>
      <c r="BB334" s="50"/>
      <c r="BC334" s="50"/>
      <c r="BD334" s="50"/>
      <c r="BE334" s="50"/>
      <c r="BF334" s="50"/>
      <c r="BG334" s="50"/>
      <c r="BH334" s="50"/>
      <c r="BI334" s="50"/>
      <c r="BJ334" s="50"/>
      <c r="BK334" s="50"/>
      <c r="BL334" s="50"/>
      <c r="BM334" s="50"/>
      <c r="BN334" s="50"/>
      <c r="BO334" s="50"/>
      <c r="BP334" s="50"/>
      <c r="BQ334" s="50"/>
      <c r="BR334" s="50"/>
      <c r="BS334" s="50"/>
      <c r="BT334" s="50"/>
      <c r="BU334" s="50"/>
      <c r="BV334" s="50"/>
      <c r="BW334" s="50"/>
      <c r="BX334" s="50"/>
      <c r="BY334" s="50"/>
      <c r="BZ334" s="50"/>
      <c r="CA334" s="50"/>
      <c r="CB334" s="50"/>
    </row>
    <row r="335" spans="1:80" s="247" customFormat="1" x14ac:dyDescent="0.25">
      <c r="A335" s="128" t="s">
        <v>1248</v>
      </c>
      <c r="B335" s="128" t="s">
        <v>411</v>
      </c>
      <c r="C335" s="136"/>
      <c r="D335" s="136"/>
      <c r="E335" s="136"/>
      <c r="F335" s="136"/>
      <c r="G335" s="133">
        <v>3</v>
      </c>
      <c r="H335" s="133">
        <v>3</v>
      </c>
      <c r="I335" s="133"/>
      <c r="J335" s="133"/>
      <c r="K335" s="229"/>
      <c r="L335" s="229"/>
      <c r="M335" s="229"/>
      <c r="N335" s="229"/>
      <c r="O335" s="229"/>
      <c r="P335" s="229"/>
      <c r="Q335" s="229"/>
      <c r="R335" s="229"/>
      <c r="S335" s="229"/>
      <c r="T335" s="229"/>
      <c r="U335" s="229"/>
      <c r="V335" s="229"/>
      <c r="W335" s="229"/>
      <c r="X335" s="229"/>
      <c r="Y335" s="229"/>
      <c r="Z335">
        <f>IF(AND('4 Ope'!C335&gt;Tmin, NOT('4 Ope'!$I335="")),'4 Ope'!$I335,0)</f>
        <v>0</v>
      </c>
      <c r="AA335">
        <f>IF(AND('4 Ope'!C335&gt;Tmin, NOT('4 Ope'!$I335="")),'4 Ope'!$I335,0)</f>
        <v>0</v>
      </c>
      <c r="AB335">
        <f>IF(AND('4 Ope'!D335&gt;Tmin, NOT('4 Ope'!$I335="")),'4 Ope'!$I335,0)</f>
        <v>0</v>
      </c>
      <c r="AC335">
        <f>IF(AND('4 Ope'!E335&gt;Tmin, NOT('4 Ope'!$I335="")),'4 Ope'!$I335,0)</f>
        <v>0</v>
      </c>
      <c r="AD335">
        <f>IF(AND('4 Ope'!F335&gt;Tmin, NOT('4 Ope'!$I335="")),'4 Ope'!$I335,0)</f>
        <v>0</v>
      </c>
      <c r="AE335">
        <f>IF(AND('4 Ope'!C335&lt;Tmax, NOT('4 Ope'!$H335="")),'4 Ope'!$H335,4)</f>
        <v>3</v>
      </c>
      <c r="AF335">
        <f>IF(AND('4 Ope'!D335&lt;Tmax, NOT('4 Ope'!$H335="")),'4 Ope'!$H335,4)</f>
        <v>3</v>
      </c>
      <c r="AG335">
        <f>IF(AND('4 Ope'!E335&lt;Tmax, NOT('4 Ope'!$H335="")),'4 Ope'!$H335,4)</f>
        <v>3</v>
      </c>
      <c r="AH335">
        <f>IF(AND('4 Ope'!F335&lt;Tmax, NOT('4 Ope'!$H335="")),'4 Ope'!$H335,4)</f>
        <v>3</v>
      </c>
      <c r="AI335"/>
      <c r="AJ335" s="229"/>
      <c r="AK335" s="229"/>
      <c r="AL335" s="229"/>
      <c r="AM335" s="229"/>
      <c r="AN335" s="229"/>
      <c r="AO335" s="229"/>
      <c r="AP335" s="229"/>
      <c r="AQ335" s="229"/>
      <c r="AR335" s="229"/>
      <c r="AS335" s="229"/>
      <c r="AT335" s="229"/>
      <c r="AU335" s="50"/>
      <c r="AV335" s="50"/>
      <c r="AW335" s="50"/>
      <c r="AX335" s="50"/>
      <c r="AY335" s="50"/>
      <c r="AZ335" s="50"/>
      <c r="BA335" s="50"/>
      <c r="BB335" s="50"/>
      <c r="BC335" s="50"/>
      <c r="BD335" s="50"/>
      <c r="BE335" s="50"/>
      <c r="BF335" s="50"/>
      <c r="BG335" s="50"/>
      <c r="BH335" s="50"/>
      <c r="BI335" s="50"/>
      <c r="BJ335" s="50"/>
      <c r="BK335" s="50"/>
      <c r="BL335" s="50"/>
      <c r="BM335" s="50"/>
      <c r="BN335" s="50"/>
      <c r="BO335" s="50"/>
      <c r="BP335" s="50"/>
      <c r="BQ335" s="50"/>
      <c r="BR335" s="50"/>
      <c r="BS335" s="50"/>
      <c r="BT335" s="50"/>
      <c r="BU335" s="50"/>
      <c r="BV335" s="50"/>
      <c r="BW335" s="50"/>
      <c r="BX335" s="50"/>
      <c r="BY335" s="50"/>
      <c r="BZ335" s="50"/>
      <c r="CA335" s="50"/>
      <c r="CB335" s="50"/>
    </row>
    <row r="336" spans="1:80" s="247" customFormat="1" ht="20.399999999999999" x14ac:dyDescent="0.25">
      <c r="A336" s="128" t="s">
        <v>1249</v>
      </c>
      <c r="B336" s="128" t="s">
        <v>14</v>
      </c>
      <c r="C336" s="136"/>
      <c r="D336" s="136"/>
      <c r="E336" s="136"/>
      <c r="F336" s="136"/>
      <c r="G336" s="133">
        <v>3</v>
      </c>
      <c r="H336" s="133">
        <v>3</v>
      </c>
      <c r="I336" s="133"/>
      <c r="J336" s="133"/>
      <c r="K336" s="229"/>
      <c r="L336" s="229"/>
      <c r="M336" s="229"/>
      <c r="N336" s="229"/>
      <c r="O336" s="229"/>
      <c r="P336" s="229"/>
      <c r="Q336" s="229"/>
      <c r="R336" s="229"/>
      <c r="S336" s="229"/>
      <c r="T336" s="229"/>
      <c r="U336" s="229"/>
      <c r="V336" s="229"/>
      <c r="W336" s="229"/>
      <c r="X336" s="229"/>
      <c r="Y336" s="229"/>
      <c r="Z336">
        <f>IF(AND('4 Ope'!C336&gt;Tmin, NOT('4 Ope'!$I336="")),'4 Ope'!$I336,0)</f>
        <v>0</v>
      </c>
      <c r="AA336">
        <f>IF(AND('4 Ope'!C336&gt;Tmin, NOT('4 Ope'!$I336="")),'4 Ope'!$I336,0)</f>
        <v>0</v>
      </c>
      <c r="AB336">
        <f>IF(AND('4 Ope'!D336&gt;Tmin, NOT('4 Ope'!$I336="")),'4 Ope'!$I336,0)</f>
        <v>0</v>
      </c>
      <c r="AC336">
        <f>IF(AND('4 Ope'!E336&gt;Tmin, NOT('4 Ope'!$I336="")),'4 Ope'!$I336,0)</f>
        <v>0</v>
      </c>
      <c r="AD336">
        <f>IF(AND('4 Ope'!F336&gt;Tmin, NOT('4 Ope'!$I336="")),'4 Ope'!$I336,0)</f>
        <v>0</v>
      </c>
      <c r="AE336">
        <f>IF(AND('4 Ope'!C336&lt;Tmax, NOT('4 Ope'!$H336="")),'4 Ope'!$H336,4)</f>
        <v>3</v>
      </c>
      <c r="AF336">
        <f>IF(AND('4 Ope'!D336&lt;Tmax, NOT('4 Ope'!$H336="")),'4 Ope'!$H336,4)</f>
        <v>3</v>
      </c>
      <c r="AG336">
        <f>IF(AND('4 Ope'!E336&lt;Tmax, NOT('4 Ope'!$H336="")),'4 Ope'!$H336,4)</f>
        <v>3</v>
      </c>
      <c r="AH336">
        <f>IF(AND('4 Ope'!F336&lt;Tmax, NOT('4 Ope'!$H336="")),'4 Ope'!$H336,4)</f>
        <v>3</v>
      </c>
      <c r="AI336"/>
      <c r="AJ336" s="229"/>
      <c r="AK336" s="229"/>
      <c r="AL336" s="229"/>
      <c r="AM336" s="229"/>
      <c r="AN336" s="229"/>
      <c r="AO336" s="229"/>
      <c r="AP336" s="229"/>
      <c r="AQ336" s="229"/>
      <c r="AR336" s="229"/>
      <c r="AS336" s="229"/>
      <c r="AT336" s="229"/>
      <c r="AU336" s="50"/>
      <c r="AV336" s="50"/>
      <c r="AW336" s="50"/>
      <c r="AX336" s="50"/>
      <c r="AY336" s="50"/>
      <c r="AZ336" s="50"/>
      <c r="BA336" s="50"/>
      <c r="BB336" s="50"/>
      <c r="BC336" s="50"/>
      <c r="BD336" s="50"/>
      <c r="BE336" s="50"/>
      <c r="BF336" s="50"/>
      <c r="BG336" s="50"/>
      <c r="BH336" s="50"/>
      <c r="BI336" s="50"/>
      <c r="BJ336" s="50"/>
      <c r="BK336" s="50"/>
      <c r="BL336" s="50"/>
      <c r="BM336" s="50"/>
      <c r="BN336" s="50"/>
      <c r="BO336" s="50"/>
      <c r="BP336" s="50"/>
      <c r="BQ336" s="50"/>
      <c r="BR336" s="50"/>
      <c r="BS336" s="50"/>
      <c r="BT336" s="50"/>
      <c r="BU336" s="50"/>
      <c r="BV336" s="50"/>
      <c r="BW336" s="50"/>
      <c r="BX336" s="50"/>
      <c r="BY336" s="50"/>
      <c r="BZ336" s="50"/>
      <c r="CA336" s="50"/>
      <c r="CB336" s="50"/>
    </row>
    <row r="337" spans="1:80" s="247" customFormat="1" x14ac:dyDescent="0.25">
      <c r="A337" s="128" t="s">
        <v>1250</v>
      </c>
      <c r="B337" s="128" t="s">
        <v>237</v>
      </c>
      <c r="C337" s="136"/>
      <c r="D337" s="136"/>
      <c r="E337" s="136"/>
      <c r="F337" s="136"/>
      <c r="G337" s="133">
        <v>3</v>
      </c>
      <c r="H337" s="133">
        <v>2</v>
      </c>
      <c r="I337" s="133"/>
      <c r="J337" s="133"/>
      <c r="K337" s="229"/>
      <c r="L337" s="229"/>
      <c r="M337" s="229"/>
      <c r="N337" s="229"/>
      <c r="O337" s="229"/>
      <c r="P337" s="229"/>
      <c r="Q337" s="229"/>
      <c r="R337" s="229"/>
      <c r="S337" s="229"/>
      <c r="T337" s="229"/>
      <c r="U337" s="229"/>
      <c r="V337" s="229"/>
      <c r="W337" s="229"/>
      <c r="X337" s="229"/>
      <c r="Y337" s="229"/>
      <c r="Z337">
        <f>IF(AND('4 Ope'!C337&gt;Tmin, NOT('4 Ope'!$I337="")),'4 Ope'!$I337,0)</f>
        <v>0</v>
      </c>
      <c r="AA337">
        <f>IF(AND('4 Ope'!C337&gt;Tmin, NOT('4 Ope'!$I337="")),'4 Ope'!$I337,0)</f>
        <v>0</v>
      </c>
      <c r="AB337">
        <f>IF(AND('4 Ope'!D337&gt;Tmin, NOT('4 Ope'!$I337="")),'4 Ope'!$I337,0)</f>
        <v>0</v>
      </c>
      <c r="AC337">
        <f>IF(AND('4 Ope'!E337&gt;Tmin, NOT('4 Ope'!$I337="")),'4 Ope'!$I337,0)</f>
        <v>0</v>
      </c>
      <c r="AD337">
        <f>IF(AND('4 Ope'!F337&gt;Tmin, NOT('4 Ope'!$I337="")),'4 Ope'!$I337,0)</f>
        <v>0</v>
      </c>
      <c r="AE337">
        <f>IF(AND('4 Ope'!C337&lt;Tmax, NOT('4 Ope'!$H337="")),'4 Ope'!$H337,4)</f>
        <v>2</v>
      </c>
      <c r="AF337">
        <f>IF(AND('4 Ope'!D337&lt;Tmax, NOT('4 Ope'!$H337="")),'4 Ope'!$H337,4)</f>
        <v>2</v>
      </c>
      <c r="AG337">
        <f>IF(AND('4 Ope'!E337&lt;Tmax, NOT('4 Ope'!$H337="")),'4 Ope'!$H337,4)</f>
        <v>2</v>
      </c>
      <c r="AH337">
        <f>IF(AND('4 Ope'!F337&lt;Tmax, NOT('4 Ope'!$H337="")),'4 Ope'!$H337,4)</f>
        <v>2</v>
      </c>
      <c r="AI337"/>
      <c r="AJ337" s="229"/>
      <c r="AK337" s="229"/>
      <c r="AL337" s="229"/>
      <c r="AM337" s="229"/>
      <c r="AN337" s="229"/>
      <c r="AO337" s="229"/>
      <c r="AP337" s="229"/>
      <c r="AQ337" s="229"/>
      <c r="AR337" s="229"/>
      <c r="AS337" s="229"/>
      <c r="AT337" s="229"/>
      <c r="AU337" s="50"/>
      <c r="AV337" s="50"/>
      <c r="AW337" s="50"/>
      <c r="AX337" s="50"/>
      <c r="AY337" s="50"/>
      <c r="AZ337" s="50"/>
      <c r="BA337" s="50"/>
      <c r="BB337" s="50"/>
      <c r="BC337" s="50"/>
      <c r="BD337" s="50"/>
      <c r="BE337" s="50"/>
      <c r="BF337" s="50"/>
      <c r="BG337" s="50"/>
      <c r="BH337" s="50"/>
      <c r="BI337" s="50"/>
      <c r="BJ337" s="50"/>
      <c r="BK337" s="50"/>
      <c r="BL337" s="50"/>
      <c r="BM337" s="50"/>
      <c r="BN337" s="50"/>
      <c r="BO337" s="50"/>
      <c r="BP337" s="50"/>
      <c r="BQ337" s="50"/>
      <c r="BR337" s="50"/>
      <c r="BS337" s="50"/>
      <c r="BT337" s="50"/>
      <c r="BU337" s="50"/>
      <c r="BV337" s="50"/>
      <c r="BW337" s="50"/>
      <c r="BX337" s="50"/>
      <c r="BY337" s="50"/>
      <c r="BZ337" s="50"/>
      <c r="CA337" s="50"/>
      <c r="CB337" s="50"/>
    </row>
    <row r="338" spans="1:80" s="247" customFormat="1" x14ac:dyDescent="0.25">
      <c r="A338" s="249"/>
      <c r="B338" s="249"/>
      <c r="C338" s="243"/>
      <c r="D338" s="244"/>
      <c r="E338" s="244"/>
      <c r="F338" s="244"/>
      <c r="G338" s="391"/>
      <c r="I338" s="228"/>
      <c r="J338" s="1169"/>
      <c r="K338" s="229"/>
      <c r="L338" s="229"/>
      <c r="M338" s="229"/>
      <c r="N338" s="229"/>
      <c r="O338" s="229"/>
      <c r="P338" s="229"/>
      <c r="Q338" s="229"/>
      <c r="R338" s="229"/>
      <c r="S338" s="229"/>
      <c r="T338" s="229"/>
      <c r="U338" s="229"/>
      <c r="V338" s="229"/>
      <c r="W338" s="229"/>
      <c r="X338" s="229"/>
      <c r="Y338" s="229"/>
      <c r="Z338"/>
      <c r="AA338"/>
      <c r="AB338"/>
      <c r="AC338"/>
      <c r="AD338"/>
      <c r="AE338"/>
      <c r="AF338"/>
      <c r="AG338"/>
      <c r="AH338"/>
      <c r="AI338"/>
      <c r="AJ338" s="229"/>
      <c r="AK338" s="229"/>
      <c r="AL338" s="229"/>
      <c r="AM338" s="229"/>
      <c r="AN338" s="229"/>
      <c r="AO338" s="229"/>
      <c r="AP338" s="229"/>
      <c r="AQ338" s="229"/>
      <c r="AR338" s="229"/>
      <c r="AS338" s="229"/>
      <c r="AT338" s="229"/>
      <c r="AU338" s="50"/>
      <c r="AV338" s="50"/>
      <c r="AW338" s="50"/>
      <c r="AX338" s="50"/>
      <c r="AY338" s="50"/>
      <c r="AZ338" s="50"/>
      <c r="BA338" s="50"/>
      <c r="BB338" s="50"/>
      <c r="BC338" s="50"/>
      <c r="BD338" s="50"/>
      <c r="BE338" s="50"/>
      <c r="BF338" s="50"/>
      <c r="BG338" s="50"/>
      <c r="BH338" s="50"/>
      <c r="BI338" s="50"/>
      <c r="BJ338" s="50"/>
      <c r="BK338" s="50"/>
      <c r="BL338" s="50"/>
      <c r="BM338" s="50"/>
      <c r="BN338" s="50"/>
      <c r="BO338" s="50"/>
      <c r="BP338" s="50"/>
      <c r="BQ338" s="50"/>
      <c r="BR338" s="50"/>
      <c r="BS338" s="50"/>
      <c r="BT338" s="50"/>
      <c r="BU338" s="50"/>
      <c r="BV338" s="50"/>
      <c r="BW338" s="50"/>
      <c r="BX338" s="50"/>
      <c r="BY338" s="50"/>
      <c r="BZ338" s="50"/>
      <c r="CA338" s="50"/>
      <c r="CB338" s="50"/>
    </row>
    <row r="339" spans="1:80" s="247" customFormat="1" x14ac:dyDescent="0.25">
      <c r="A339" s="249"/>
      <c r="B339" s="249"/>
      <c r="C339" s="243"/>
      <c r="D339" s="244"/>
      <c r="E339" s="244"/>
      <c r="F339" s="244"/>
      <c r="G339" s="391"/>
      <c r="I339" s="228"/>
      <c r="J339" s="1169"/>
      <c r="K339" s="229"/>
      <c r="L339" s="229"/>
      <c r="M339" s="229"/>
      <c r="N339" s="229"/>
      <c r="O339" s="229"/>
      <c r="P339" s="229"/>
      <c r="Q339" s="229"/>
      <c r="R339" s="229"/>
      <c r="S339" s="229"/>
      <c r="T339" s="229"/>
      <c r="U339" s="229"/>
      <c r="V339" s="229"/>
      <c r="W339" s="229"/>
      <c r="X339" s="229"/>
      <c r="Y339" s="229"/>
      <c r="Z339"/>
      <c r="AA339"/>
      <c r="AB339"/>
      <c r="AC339"/>
      <c r="AD339"/>
      <c r="AE339"/>
      <c r="AF339"/>
      <c r="AG339"/>
      <c r="AH339"/>
      <c r="AI339"/>
      <c r="AJ339" s="229"/>
      <c r="AK339" s="229"/>
      <c r="AL339" s="229"/>
      <c r="AM339" s="229"/>
      <c r="AN339" s="229"/>
      <c r="AO339" s="229"/>
      <c r="AP339" s="229"/>
      <c r="AQ339" s="229"/>
      <c r="AR339" s="229"/>
      <c r="AS339" s="229"/>
      <c r="AT339" s="229"/>
      <c r="AU339" s="50"/>
      <c r="AV339" s="50"/>
      <c r="AW339" s="50"/>
      <c r="AX339" s="50"/>
      <c r="AY339" s="50"/>
      <c r="AZ339" s="50"/>
      <c r="BA339" s="50"/>
      <c r="BB339" s="50"/>
      <c r="BC339" s="50"/>
      <c r="BD339" s="50"/>
      <c r="BE339" s="50"/>
      <c r="BF339" s="50"/>
      <c r="BG339" s="50"/>
      <c r="BH339" s="50"/>
      <c r="BI339" s="50"/>
      <c r="BJ339" s="50"/>
      <c r="BK339" s="50"/>
      <c r="BL339" s="50"/>
      <c r="BM339" s="50"/>
      <c r="BN339" s="50"/>
      <c r="BO339" s="50"/>
      <c r="BP339" s="50"/>
      <c r="BQ339" s="50"/>
      <c r="BR339" s="50"/>
      <c r="BS339" s="50"/>
      <c r="BT339" s="50"/>
      <c r="BU339" s="50"/>
      <c r="BV339" s="50"/>
      <c r="BW339" s="50"/>
      <c r="BX339" s="50"/>
      <c r="BY339" s="50"/>
      <c r="BZ339" s="50"/>
      <c r="CA339" s="50"/>
      <c r="CB339" s="50"/>
    </row>
    <row r="340" spans="1:80" s="247" customFormat="1" x14ac:dyDescent="0.25">
      <c r="A340" s="249"/>
      <c r="B340" s="249"/>
      <c r="C340" s="243"/>
      <c r="D340" s="244"/>
      <c r="E340" s="244"/>
      <c r="F340" s="244"/>
      <c r="G340" s="391"/>
      <c r="I340" s="228"/>
      <c r="J340" s="1169"/>
      <c r="K340" s="229"/>
      <c r="L340" s="229"/>
      <c r="M340" s="229"/>
      <c r="N340" s="229"/>
      <c r="O340" s="229"/>
      <c r="P340" s="229"/>
      <c r="Q340" s="229"/>
      <c r="R340" s="229"/>
      <c r="S340" s="229"/>
      <c r="T340" s="229"/>
      <c r="U340" s="229"/>
      <c r="V340" s="229"/>
      <c r="W340" s="229"/>
      <c r="X340" s="229"/>
      <c r="Y340" s="229"/>
      <c r="Z340"/>
      <c r="AA340"/>
      <c r="AB340"/>
      <c r="AC340"/>
      <c r="AD340"/>
      <c r="AE340"/>
      <c r="AF340"/>
      <c r="AG340"/>
      <c r="AH340"/>
      <c r="AI340"/>
      <c r="AJ340" s="229"/>
      <c r="AK340" s="229"/>
      <c r="AL340" s="229"/>
      <c r="AM340" s="229"/>
      <c r="AN340" s="229"/>
      <c r="AO340" s="229"/>
      <c r="AP340" s="229"/>
      <c r="AQ340" s="229"/>
      <c r="AR340" s="229"/>
      <c r="AS340" s="229"/>
      <c r="AT340" s="229"/>
      <c r="AU340" s="50"/>
      <c r="AV340" s="50"/>
      <c r="AW340" s="50"/>
      <c r="AX340" s="50"/>
      <c r="AY340" s="50"/>
      <c r="AZ340" s="50"/>
      <c r="BA340" s="50"/>
      <c r="BB340" s="50"/>
      <c r="BC340" s="50"/>
      <c r="BD340" s="50"/>
      <c r="BE340" s="50"/>
      <c r="BF340" s="50"/>
      <c r="BG340" s="50"/>
      <c r="BH340" s="50"/>
      <c r="BI340" s="50"/>
      <c r="BJ340" s="50"/>
      <c r="BK340" s="50"/>
      <c r="BL340" s="50"/>
      <c r="BM340" s="50"/>
      <c r="BN340" s="50"/>
      <c r="BO340" s="50"/>
      <c r="BP340" s="50"/>
      <c r="BQ340" s="50"/>
      <c r="BR340" s="50"/>
      <c r="BS340" s="50"/>
      <c r="BT340" s="50"/>
      <c r="BU340" s="50"/>
      <c r="BV340" s="50"/>
      <c r="BW340" s="50"/>
      <c r="BX340" s="50"/>
      <c r="BY340" s="50"/>
      <c r="BZ340" s="50"/>
      <c r="CA340" s="50"/>
      <c r="CB340" s="50"/>
    </row>
    <row r="341" spans="1:80" s="247" customFormat="1" x14ac:dyDescent="0.25">
      <c r="A341" s="249"/>
      <c r="B341" s="249"/>
      <c r="C341" s="243"/>
      <c r="D341" s="244"/>
      <c r="E341" s="244"/>
      <c r="F341" s="244"/>
      <c r="G341" s="391"/>
      <c r="I341" s="228"/>
      <c r="J341" s="1169"/>
      <c r="K341" s="229"/>
      <c r="L341" s="229"/>
      <c r="M341" s="229"/>
      <c r="N341" s="229"/>
      <c r="O341" s="229"/>
      <c r="P341" s="229"/>
      <c r="Q341" s="229"/>
      <c r="R341" s="229"/>
      <c r="S341" s="229"/>
      <c r="T341" s="229"/>
      <c r="U341" s="229"/>
      <c r="V341" s="229"/>
      <c r="W341" s="229"/>
      <c r="X341" s="229"/>
      <c r="Y341" s="229"/>
      <c r="Z341"/>
      <c r="AA341"/>
      <c r="AB341"/>
      <c r="AC341"/>
      <c r="AD341"/>
      <c r="AE341"/>
      <c r="AF341"/>
      <c r="AG341"/>
      <c r="AH341"/>
      <c r="AI341"/>
      <c r="AJ341" s="229"/>
      <c r="AK341" s="229"/>
      <c r="AL341" s="229"/>
      <c r="AM341" s="229"/>
      <c r="AN341" s="229"/>
      <c r="AO341" s="229"/>
      <c r="AP341" s="229"/>
      <c r="AQ341" s="229"/>
      <c r="AR341" s="229"/>
      <c r="AS341" s="229"/>
      <c r="AT341" s="229"/>
      <c r="AU341" s="50"/>
      <c r="AV341" s="50"/>
      <c r="AW341" s="50"/>
      <c r="AX341" s="50"/>
      <c r="AY341" s="50"/>
      <c r="AZ341" s="50"/>
      <c r="BA341" s="50"/>
      <c r="BB341" s="50"/>
      <c r="BC341" s="50"/>
      <c r="BD341" s="50"/>
      <c r="BE341" s="50"/>
      <c r="BF341" s="50"/>
      <c r="BG341" s="50"/>
      <c r="BH341" s="50"/>
      <c r="BI341" s="50"/>
      <c r="BJ341" s="50"/>
      <c r="BK341" s="50"/>
      <c r="BL341" s="50"/>
      <c r="BM341" s="50"/>
      <c r="BN341" s="50"/>
      <c r="BO341" s="50"/>
      <c r="BP341" s="50"/>
      <c r="BQ341" s="50"/>
      <c r="BR341" s="50"/>
      <c r="BS341" s="50"/>
      <c r="BT341" s="50"/>
      <c r="BU341" s="50"/>
      <c r="BV341" s="50"/>
      <c r="BW341" s="50"/>
      <c r="BX341" s="50"/>
      <c r="BY341" s="50"/>
      <c r="BZ341" s="50"/>
      <c r="CA341" s="50"/>
      <c r="CB341" s="50"/>
    </row>
    <row r="342" spans="1:80" s="247" customFormat="1" x14ac:dyDescent="0.25">
      <c r="A342" s="249"/>
      <c r="B342" s="249"/>
      <c r="C342" s="243"/>
      <c r="D342" s="244"/>
      <c r="E342" s="244"/>
      <c r="F342" s="244"/>
      <c r="G342" s="391"/>
      <c r="I342" s="228"/>
      <c r="J342" s="1169"/>
      <c r="K342" s="229"/>
      <c r="L342" s="229"/>
      <c r="M342" s="229"/>
      <c r="N342" s="229"/>
      <c r="O342" s="229"/>
      <c r="P342" s="229"/>
      <c r="Q342" s="229"/>
      <c r="R342" s="229"/>
      <c r="S342" s="229"/>
      <c r="T342" s="229"/>
      <c r="U342" s="229"/>
      <c r="V342" s="229"/>
      <c r="W342" s="229"/>
      <c r="X342" s="229"/>
      <c r="Y342" s="229"/>
      <c r="Z342"/>
      <c r="AA342"/>
      <c r="AB342"/>
      <c r="AC342"/>
      <c r="AD342"/>
      <c r="AE342"/>
      <c r="AF342"/>
      <c r="AG342"/>
      <c r="AH342"/>
      <c r="AI342"/>
      <c r="AJ342" s="229"/>
      <c r="AK342" s="229"/>
      <c r="AL342" s="229"/>
      <c r="AM342" s="229"/>
      <c r="AN342" s="229"/>
      <c r="AO342" s="229"/>
      <c r="AP342" s="229"/>
      <c r="AQ342" s="229"/>
      <c r="AR342" s="229"/>
      <c r="AS342" s="229"/>
      <c r="AT342" s="229"/>
      <c r="AU342" s="50"/>
      <c r="AV342" s="50"/>
      <c r="AW342" s="50"/>
      <c r="AX342" s="50"/>
      <c r="AY342" s="50"/>
      <c r="AZ342" s="50"/>
      <c r="BA342" s="50"/>
      <c r="BB342" s="50"/>
      <c r="BC342" s="50"/>
      <c r="BD342" s="50"/>
      <c r="BE342" s="50"/>
      <c r="BF342" s="50"/>
      <c r="BG342" s="50"/>
      <c r="BH342" s="50"/>
      <c r="BI342" s="50"/>
      <c r="BJ342" s="50"/>
      <c r="BK342" s="50"/>
      <c r="BL342" s="50"/>
      <c r="BM342" s="50"/>
      <c r="BN342" s="50"/>
      <c r="BO342" s="50"/>
      <c r="BP342" s="50"/>
      <c r="BQ342" s="50"/>
      <c r="BR342" s="50"/>
      <c r="BS342" s="50"/>
      <c r="BT342" s="50"/>
      <c r="BU342" s="50"/>
      <c r="BV342" s="50"/>
      <c r="BW342" s="50"/>
      <c r="BX342" s="50"/>
      <c r="BY342" s="50"/>
      <c r="BZ342" s="50"/>
      <c r="CA342" s="50"/>
      <c r="CB342" s="50"/>
    </row>
    <row r="343" spans="1:80" s="247" customFormat="1" x14ac:dyDescent="0.25">
      <c r="A343" s="249"/>
      <c r="B343" s="249"/>
      <c r="C343" s="243"/>
      <c r="D343" s="244"/>
      <c r="E343" s="244"/>
      <c r="F343" s="244"/>
      <c r="G343" s="391"/>
      <c r="I343" s="228"/>
      <c r="J343" s="1169"/>
      <c r="K343" s="229"/>
      <c r="L343" s="229"/>
      <c r="M343" s="229"/>
      <c r="N343" s="229"/>
      <c r="O343" s="229"/>
      <c r="P343" s="229"/>
      <c r="Q343" s="229"/>
      <c r="R343" s="229"/>
      <c r="S343" s="229"/>
      <c r="T343" s="229"/>
      <c r="U343" s="229"/>
      <c r="V343" s="229"/>
      <c r="W343" s="229"/>
      <c r="X343" s="229"/>
      <c r="Y343" s="229"/>
      <c r="Z343"/>
      <c r="AA343"/>
      <c r="AB343"/>
      <c r="AC343"/>
      <c r="AD343"/>
      <c r="AE343"/>
      <c r="AF343"/>
      <c r="AG343"/>
      <c r="AH343"/>
      <c r="AI343"/>
      <c r="AJ343" s="229"/>
      <c r="AK343" s="229"/>
      <c r="AL343" s="229"/>
      <c r="AM343" s="229"/>
      <c r="AN343" s="229"/>
      <c r="AO343" s="229"/>
      <c r="AP343" s="229"/>
      <c r="AQ343" s="229"/>
      <c r="AR343" s="229"/>
      <c r="AS343" s="229"/>
      <c r="AT343" s="229"/>
      <c r="AU343" s="50"/>
      <c r="AV343" s="50"/>
      <c r="AW343" s="50"/>
      <c r="AX343" s="50"/>
      <c r="AY343" s="50"/>
      <c r="AZ343" s="50"/>
      <c r="BA343" s="50"/>
      <c r="BB343" s="50"/>
      <c r="BC343" s="50"/>
      <c r="BD343" s="50"/>
      <c r="BE343" s="50"/>
      <c r="BF343" s="50"/>
      <c r="BG343" s="50"/>
      <c r="BH343" s="50"/>
      <c r="BI343" s="50"/>
      <c r="BJ343" s="50"/>
      <c r="BK343" s="50"/>
      <c r="BL343" s="50"/>
      <c r="BM343" s="50"/>
      <c r="BN343" s="50"/>
      <c r="BO343" s="50"/>
      <c r="BP343" s="50"/>
      <c r="BQ343" s="50"/>
      <c r="BR343" s="50"/>
      <c r="BS343" s="50"/>
      <c r="BT343" s="50"/>
      <c r="BU343" s="50"/>
      <c r="BV343" s="50"/>
      <c r="BW343" s="50"/>
      <c r="BX343" s="50"/>
      <c r="BY343" s="50"/>
      <c r="BZ343" s="50"/>
      <c r="CA343" s="50"/>
      <c r="CB343" s="50"/>
    </row>
    <row r="344" spans="1:80" s="247" customFormat="1" x14ac:dyDescent="0.25">
      <c r="A344" s="249"/>
      <c r="B344" s="249"/>
      <c r="C344" s="243"/>
      <c r="D344" s="244"/>
      <c r="E344" s="244"/>
      <c r="F344" s="244"/>
      <c r="G344" s="391"/>
      <c r="I344" s="228"/>
      <c r="J344" s="1169"/>
      <c r="K344" s="229"/>
      <c r="L344" s="229"/>
      <c r="M344" s="229"/>
      <c r="N344" s="229"/>
      <c r="O344" s="229"/>
      <c r="P344" s="229"/>
      <c r="Q344" s="229"/>
      <c r="R344" s="229"/>
      <c r="S344" s="229"/>
      <c r="T344" s="229"/>
      <c r="U344" s="229"/>
      <c r="V344" s="229"/>
      <c r="W344" s="229"/>
      <c r="X344" s="229"/>
      <c r="Y344" s="229"/>
      <c r="Z344"/>
      <c r="AA344"/>
      <c r="AB344"/>
      <c r="AC344"/>
      <c r="AD344"/>
      <c r="AE344"/>
      <c r="AF344"/>
      <c r="AG344"/>
      <c r="AH344"/>
      <c r="AI344"/>
      <c r="AJ344" s="229"/>
      <c r="AK344" s="229"/>
      <c r="AL344" s="229"/>
      <c r="AM344" s="229"/>
      <c r="AN344" s="229"/>
      <c r="AO344" s="229"/>
      <c r="AP344" s="229"/>
      <c r="AQ344" s="229"/>
      <c r="AR344" s="229"/>
      <c r="AS344" s="229"/>
      <c r="AT344" s="229"/>
      <c r="AU344" s="50"/>
      <c r="AV344" s="50"/>
      <c r="AW344" s="50"/>
      <c r="AX344" s="50"/>
      <c r="AY344" s="50"/>
      <c r="AZ344" s="50"/>
      <c r="BA344" s="50"/>
      <c r="BB344" s="50"/>
      <c r="BC344" s="50"/>
      <c r="BD344" s="50"/>
      <c r="BE344" s="50"/>
      <c r="BF344" s="50"/>
      <c r="BG344" s="50"/>
      <c r="BH344" s="50"/>
      <c r="BI344" s="50"/>
      <c r="BJ344" s="50"/>
      <c r="BK344" s="50"/>
      <c r="BL344" s="50"/>
      <c r="BM344" s="50"/>
      <c r="BN344" s="50"/>
      <c r="BO344" s="50"/>
      <c r="BP344" s="50"/>
      <c r="BQ344" s="50"/>
      <c r="BR344" s="50"/>
      <c r="BS344" s="50"/>
      <c r="BT344" s="50"/>
      <c r="BU344" s="50"/>
      <c r="BV344" s="50"/>
      <c r="BW344" s="50"/>
      <c r="BX344" s="50"/>
      <c r="BY344" s="50"/>
      <c r="BZ344" s="50"/>
      <c r="CA344" s="50"/>
      <c r="CB344" s="50"/>
    </row>
    <row r="345" spans="1:80" s="247" customFormat="1" x14ac:dyDescent="0.25">
      <c r="A345" s="249"/>
      <c r="B345" s="249"/>
      <c r="C345" s="243"/>
      <c r="D345" s="244"/>
      <c r="E345" s="244"/>
      <c r="F345" s="244"/>
      <c r="G345" s="391"/>
      <c r="I345" s="228"/>
      <c r="J345" s="1169"/>
      <c r="K345" s="229"/>
      <c r="L345" s="229"/>
      <c r="M345" s="229"/>
      <c r="N345" s="229"/>
      <c r="O345" s="229"/>
      <c r="P345" s="229"/>
      <c r="Q345" s="229"/>
      <c r="R345" s="229"/>
      <c r="S345" s="229"/>
      <c r="T345" s="229"/>
      <c r="U345" s="229"/>
      <c r="V345" s="229"/>
      <c r="W345" s="229"/>
      <c r="X345" s="229"/>
      <c r="Y345" s="229"/>
      <c r="Z345"/>
      <c r="AA345"/>
      <c r="AB345"/>
      <c r="AC345"/>
      <c r="AD345"/>
      <c r="AE345"/>
      <c r="AF345"/>
      <c r="AG345"/>
      <c r="AH345"/>
      <c r="AI345"/>
      <c r="AJ345" s="229"/>
      <c r="AK345" s="229"/>
      <c r="AL345" s="229"/>
      <c r="AM345" s="229"/>
      <c r="AN345" s="229"/>
      <c r="AO345" s="229"/>
      <c r="AP345" s="229"/>
      <c r="AQ345" s="229"/>
      <c r="AR345" s="229"/>
      <c r="AS345" s="229"/>
      <c r="AT345" s="229"/>
      <c r="AU345" s="50"/>
      <c r="AV345" s="50"/>
      <c r="AW345" s="50"/>
      <c r="AX345" s="50"/>
      <c r="AY345" s="50"/>
      <c r="AZ345" s="50"/>
      <c r="BA345" s="50"/>
      <c r="BB345" s="50"/>
      <c r="BC345" s="50"/>
      <c r="BD345" s="50"/>
      <c r="BE345" s="50"/>
      <c r="BF345" s="50"/>
      <c r="BG345" s="50"/>
      <c r="BH345" s="50"/>
      <c r="BI345" s="50"/>
      <c r="BJ345" s="50"/>
      <c r="BK345" s="50"/>
      <c r="BL345" s="50"/>
      <c r="BM345" s="50"/>
      <c r="BN345" s="50"/>
      <c r="BO345" s="50"/>
      <c r="BP345" s="50"/>
      <c r="BQ345" s="50"/>
      <c r="BR345" s="50"/>
      <c r="BS345" s="50"/>
      <c r="BT345" s="50"/>
      <c r="BU345" s="50"/>
      <c r="BV345" s="50"/>
      <c r="BW345" s="50"/>
      <c r="BX345" s="50"/>
      <c r="BY345" s="50"/>
      <c r="BZ345" s="50"/>
      <c r="CA345" s="50"/>
      <c r="CB345" s="50"/>
    </row>
    <row r="346" spans="1:80" s="247" customFormat="1" x14ac:dyDescent="0.25">
      <c r="A346" s="249"/>
      <c r="B346" s="249"/>
      <c r="C346" s="1053"/>
      <c r="D346" s="244"/>
      <c r="E346" s="244"/>
      <c r="F346" s="244"/>
      <c r="G346" s="391"/>
      <c r="I346" s="228"/>
      <c r="J346" s="1169"/>
      <c r="K346" s="229"/>
      <c r="L346" s="229"/>
      <c r="M346" s="229"/>
      <c r="N346" s="229"/>
      <c r="O346" s="229"/>
      <c r="P346" s="229"/>
      <c r="Q346" s="229"/>
      <c r="R346" s="229"/>
      <c r="S346" s="229"/>
      <c r="T346" s="229"/>
      <c r="U346" s="229"/>
      <c r="V346" s="229"/>
      <c r="W346" s="229"/>
      <c r="X346" s="229"/>
      <c r="Y346" s="229"/>
      <c r="Z346"/>
      <c r="AA346"/>
      <c r="AB346"/>
      <c r="AC346"/>
      <c r="AD346"/>
      <c r="AE346"/>
      <c r="AF346"/>
      <c r="AG346"/>
      <c r="AH346"/>
      <c r="AI346"/>
      <c r="AJ346" s="229"/>
      <c r="AK346" s="229"/>
      <c r="AL346" s="229"/>
      <c r="AM346" s="229"/>
      <c r="AN346" s="229"/>
      <c r="AO346" s="229"/>
      <c r="AP346" s="229"/>
      <c r="AQ346" s="229"/>
      <c r="AR346" s="229"/>
      <c r="AS346" s="229"/>
      <c r="AT346" s="229"/>
      <c r="AU346" s="50"/>
      <c r="AV346" s="50"/>
      <c r="AW346" s="50"/>
      <c r="AX346" s="50"/>
      <c r="AY346" s="50"/>
      <c r="AZ346" s="50"/>
      <c r="BA346" s="50"/>
      <c r="BB346" s="50"/>
      <c r="BC346" s="50"/>
      <c r="BD346" s="50"/>
      <c r="BE346" s="50"/>
      <c r="BF346" s="50"/>
      <c r="BG346" s="50"/>
      <c r="BH346" s="50"/>
      <c r="BI346" s="50"/>
      <c r="BJ346" s="50"/>
      <c r="BK346" s="50"/>
      <c r="BL346" s="50"/>
      <c r="BM346" s="50"/>
      <c r="BN346" s="50"/>
      <c r="BO346" s="50"/>
      <c r="BP346" s="50"/>
      <c r="BQ346" s="50"/>
      <c r="BR346" s="50"/>
      <c r="BS346" s="50"/>
      <c r="BT346" s="50"/>
      <c r="BU346" s="50"/>
      <c r="BV346" s="50"/>
      <c r="BW346" s="50"/>
      <c r="BX346" s="50"/>
      <c r="BY346" s="50"/>
      <c r="BZ346" s="50"/>
      <c r="CA346" s="50"/>
      <c r="CB346" s="50"/>
    </row>
    <row r="347" spans="1:80" x14ac:dyDescent="0.25">
      <c r="Z347"/>
      <c r="AA347"/>
      <c r="AB347"/>
      <c r="AC347"/>
      <c r="AD347"/>
      <c r="AE347"/>
      <c r="AF347"/>
      <c r="AG347"/>
      <c r="AH347"/>
      <c r="AI347"/>
    </row>
    <row r="348" spans="1:80" x14ac:dyDescent="0.25">
      <c r="Z348"/>
      <c r="AA348"/>
      <c r="AB348"/>
      <c r="AC348"/>
      <c r="AD348"/>
      <c r="AE348"/>
      <c r="AF348"/>
      <c r="AG348"/>
      <c r="AH348"/>
      <c r="AI348"/>
    </row>
    <row r="349" spans="1:80" x14ac:dyDescent="0.25">
      <c r="Z349"/>
      <c r="AA349"/>
      <c r="AB349"/>
      <c r="AC349"/>
      <c r="AD349"/>
      <c r="AE349"/>
      <c r="AF349"/>
      <c r="AG349"/>
      <c r="AH349"/>
      <c r="AI349"/>
    </row>
    <row r="350" spans="1:80" x14ac:dyDescent="0.25">
      <c r="Z350"/>
      <c r="AA350"/>
      <c r="AB350"/>
      <c r="AC350"/>
      <c r="AD350"/>
      <c r="AE350"/>
      <c r="AF350"/>
      <c r="AG350"/>
      <c r="AH350"/>
      <c r="AI350"/>
    </row>
    <row r="351" spans="1:80" x14ac:dyDescent="0.25">
      <c r="Z351"/>
      <c r="AA351"/>
      <c r="AB351"/>
      <c r="AC351"/>
      <c r="AD351"/>
      <c r="AE351"/>
      <c r="AF351"/>
      <c r="AG351"/>
      <c r="AH351"/>
      <c r="AI351"/>
    </row>
    <row r="352" spans="1:80" x14ac:dyDescent="0.25">
      <c r="Z352"/>
      <c r="AA352"/>
      <c r="AB352"/>
      <c r="AC352"/>
      <c r="AD352"/>
      <c r="AE352"/>
      <c r="AF352"/>
      <c r="AG352"/>
      <c r="AH352"/>
      <c r="AI352"/>
    </row>
    <row r="353" spans="26:35" x14ac:dyDescent="0.25">
      <c r="Z353"/>
      <c r="AA353"/>
      <c r="AB353"/>
      <c r="AC353"/>
      <c r="AD353"/>
      <c r="AE353"/>
      <c r="AF353"/>
      <c r="AG353"/>
      <c r="AH353"/>
      <c r="AI353"/>
    </row>
    <row r="354" spans="26:35" x14ac:dyDescent="0.25">
      <c r="Z354"/>
      <c r="AA354"/>
      <c r="AB354"/>
      <c r="AC354"/>
      <c r="AD354"/>
      <c r="AE354"/>
      <c r="AF354"/>
      <c r="AG354"/>
      <c r="AH354"/>
      <c r="AI354"/>
    </row>
    <row r="355" spans="26:35" x14ac:dyDescent="0.25">
      <c r="Z355"/>
      <c r="AA355"/>
      <c r="AB355"/>
      <c r="AC355"/>
      <c r="AD355"/>
      <c r="AE355"/>
      <c r="AF355"/>
      <c r="AG355"/>
      <c r="AH355"/>
      <c r="AI355"/>
    </row>
    <row r="356" spans="26:35" x14ac:dyDescent="0.25">
      <c r="Z356"/>
      <c r="AA356"/>
      <c r="AB356"/>
      <c r="AC356"/>
      <c r="AD356"/>
      <c r="AE356"/>
      <c r="AF356"/>
      <c r="AG356"/>
      <c r="AH356"/>
      <c r="AI356"/>
    </row>
    <row r="357" spans="26:35" x14ac:dyDescent="0.25">
      <c r="Z357"/>
      <c r="AA357"/>
      <c r="AB357"/>
      <c r="AC357"/>
      <c r="AD357"/>
      <c r="AE357"/>
      <c r="AF357"/>
      <c r="AG357"/>
      <c r="AH357"/>
      <c r="AI357"/>
    </row>
    <row r="358" spans="26:35" x14ac:dyDescent="0.25">
      <c r="Z358"/>
      <c r="AA358"/>
      <c r="AB358"/>
      <c r="AC358"/>
      <c r="AD358"/>
      <c r="AE358"/>
      <c r="AF358"/>
      <c r="AG358"/>
      <c r="AH358"/>
      <c r="AI358"/>
    </row>
    <row r="359" spans="26:35" x14ac:dyDescent="0.25">
      <c r="Z359"/>
      <c r="AA359"/>
      <c r="AB359"/>
      <c r="AC359"/>
      <c r="AD359"/>
      <c r="AE359"/>
      <c r="AF359"/>
      <c r="AG359"/>
      <c r="AH359"/>
      <c r="AI359"/>
    </row>
    <row r="360" spans="26:35" x14ac:dyDescent="0.25">
      <c r="Z360"/>
      <c r="AA360"/>
      <c r="AB360"/>
      <c r="AC360"/>
      <c r="AD360"/>
      <c r="AE360"/>
      <c r="AF360"/>
      <c r="AG360"/>
      <c r="AH360"/>
      <c r="AI360"/>
    </row>
    <row r="361" spans="26:35" x14ac:dyDescent="0.25">
      <c r="Z361"/>
      <c r="AA361"/>
      <c r="AB361"/>
      <c r="AC361"/>
      <c r="AD361"/>
      <c r="AE361"/>
      <c r="AF361"/>
      <c r="AG361"/>
      <c r="AH361"/>
      <c r="AI361"/>
    </row>
    <row r="362" spans="26:35" x14ac:dyDescent="0.25">
      <c r="Z362"/>
      <c r="AA362"/>
      <c r="AB362"/>
      <c r="AC362"/>
      <c r="AD362"/>
      <c r="AE362"/>
      <c r="AF362"/>
      <c r="AG362"/>
      <c r="AH362"/>
      <c r="AI362"/>
    </row>
    <row r="363" spans="26:35" x14ac:dyDescent="0.25">
      <c r="Z363"/>
      <c r="AA363"/>
      <c r="AB363"/>
      <c r="AC363"/>
      <c r="AD363"/>
      <c r="AE363"/>
      <c r="AF363"/>
      <c r="AG363"/>
      <c r="AH363"/>
      <c r="AI363"/>
    </row>
    <row r="364" spans="26:35" x14ac:dyDescent="0.25">
      <c r="Z364"/>
      <c r="AA364"/>
      <c r="AB364"/>
      <c r="AC364"/>
      <c r="AD364"/>
      <c r="AE364"/>
      <c r="AF364"/>
      <c r="AG364"/>
      <c r="AH364"/>
      <c r="AI364"/>
    </row>
    <row r="365" spans="26:35" x14ac:dyDescent="0.25">
      <c r="Z365"/>
      <c r="AA365"/>
      <c r="AB365"/>
      <c r="AC365"/>
      <c r="AD365"/>
      <c r="AE365"/>
      <c r="AF365"/>
      <c r="AG365"/>
      <c r="AH365"/>
      <c r="AI365"/>
    </row>
    <row r="366" spans="26:35" x14ac:dyDescent="0.25">
      <c r="Z366"/>
      <c r="AA366"/>
      <c r="AB366"/>
      <c r="AC366"/>
      <c r="AD366"/>
      <c r="AE366"/>
      <c r="AF366"/>
      <c r="AG366"/>
      <c r="AH366"/>
      <c r="AI366"/>
    </row>
    <row r="367" spans="26:35" x14ac:dyDescent="0.25">
      <c r="Z367"/>
      <c r="AA367"/>
      <c r="AB367"/>
      <c r="AC367"/>
      <c r="AD367"/>
      <c r="AE367"/>
      <c r="AF367"/>
      <c r="AG367"/>
      <c r="AH367"/>
      <c r="AI367"/>
    </row>
    <row r="368" spans="26:35" x14ac:dyDescent="0.25">
      <c r="Z368"/>
      <c r="AA368"/>
      <c r="AB368"/>
      <c r="AC368"/>
      <c r="AD368"/>
      <c r="AE368"/>
      <c r="AF368"/>
      <c r="AG368"/>
      <c r="AH368"/>
      <c r="AI368"/>
    </row>
    <row r="369" spans="26:35" x14ac:dyDescent="0.25">
      <c r="Z369"/>
      <c r="AA369"/>
      <c r="AB369"/>
      <c r="AC369"/>
      <c r="AD369"/>
      <c r="AE369"/>
      <c r="AF369"/>
      <c r="AG369"/>
      <c r="AH369"/>
      <c r="AI369"/>
    </row>
    <row r="370" spans="26:35" x14ac:dyDescent="0.25">
      <c r="Z370"/>
      <c r="AA370"/>
      <c r="AB370"/>
      <c r="AC370"/>
      <c r="AD370"/>
      <c r="AE370"/>
      <c r="AF370"/>
      <c r="AG370"/>
      <c r="AH370"/>
      <c r="AI370"/>
    </row>
    <row r="371" spans="26:35" x14ac:dyDescent="0.25">
      <c r="Z371"/>
      <c r="AA371"/>
      <c r="AB371"/>
      <c r="AC371"/>
      <c r="AD371"/>
      <c r="AE371"/>
      <c r="AF371"/>
      <c r="AG371"/>
      <c r="AH371"/>
      <c r="AI371"/>
    </row>
    <row r="372" spans="26:35" x14ac:dyDescent="0.25">
      <c r="Z372"/>
      <c r="AA372"/>
      <c r="AB372"/>
      <c r="AC372"/>
      <c r="AD372"/>
      <c r="AE372"/>
      <c r="AF372"/>
      <c r="AG372"/>
      <c r="AH372"/>
      <c r="AI372"/>
    </row>
    <row r="373" spans="26:35" x14ac:dyDescent="0.25">
      <c r="Z373"/>
      <c r="AA373"/>
      <c r="AB373"/>
      <c r="AC373"/>
      <c r="AD373"/>
      <c r="AE373"/>
      <c r="AF373"/>
      <c r="AG373"/>
      <c r="AH373"/>
      <c r="AI373"/>
    </row>
    <row r="374" spans="26:35" x14ac:dyDescent="0.25">
      <c r="Z374"/>
      <c r="AA374"/>
      <c r="AB374"/>
      <c r="AC374"/>
      <c r="AD374"/>
      <c r="AE374"/>
      <c r="AF374"/>
      <c r="AG374"/>
      <c r="AH374"/>
      <c r="AI374"/>
    </row>
    <row r="375" spans="26:35" x14ac:dyDescent="0.25">
      <c r="Z375"/>
      <c r="AA375"/>
      <c r="AB375"/>
      <c r="AC375"/>
      <c r="AD375"/>
      <c r="AE375"/>
      <c r="AF375"/>
      <c r="AG375"/>
      <c r="AH375"/>
      <c r="AI375"/>
    </row>
    <row r="376" spans="26:35" x14ac:dyDescent="0.25">
      <c r="Z376"/>
      <c r="AA376"/>
      <c r="AB376"/>
      <c r="AC376"/>
      <c r="AD376"/>
      <c r="AE376"/>
      <c r="AF376"/>
      <c r="AG376"/>
      <c r="AH376"/>
      <c r="AI376"/>
    </row>
    <row r="377" spans="26:35" x14ac:dyDescent="0.25">
      <c r="Z377"/>
      <c r="AA377"/>
      <c r="AB377"/>
      <c r="AC377"/>
      <c r="AD377"/>
      <c r="AE377"/>
      <c r="AF377"/>
      <c r="AG377"/>
      <c r="AH377"/>
      <c r="AI377"/>
    </row>
    <row r="378" spans="26:35" x14ac:dyDescent="0.25">
      <c r="Z378"/>
      <c r="AA378"/>
      <c r="AB378"/>
      <c r="AC378"/>
      <c r="AD378"/>
      <c r="AE378"/>
      <c r="AF378"/>
      <c r="AG378"/>
      <c r="AH378"/>
      <c r="AI378"/>
    </row>
    <row r="379" spans="26:35" x14ac:dyDescent="0.25">
      <c r="Z379"/>
      <c r="AA379"/>
      <c r="AB379"/>
      <c r="AC379"/>
      <c r="AD379"/>
      <c r="AE379"/>
      <c r="AF379"/>
      <c r="AG379"/>
      <c r="AH379"/>
      <c r="AI379"/>
    </row>
    <row r="380" spans="26:35" x14ac:dyDescent="0.25">
      <c r="Z380"/>
      <c r="AA380"/>
      <c r="AB380"/>
      <c r="AC380"/>
      <c r="AD380"/>
      <c r="AE380"/>
      <c r="AF380"/>
      <c r="AG380"/>
      <c r="AH380"/>
      <c r="AI380"/>
    </row>
    <row r="381" spans="26:35" x14ac:dyDescent="0.25">
      <c r="Z381"/>
      <c r="AA381"/>
      <c r="AB381"/>
      <c r="AC381"/>
      <c r="AD381"/>
      <c r="AE381"/>
      <c r="AF381"/>
      <c r="AG381"/>
      <c r="AH381"/>
      <c r="AI381"/>
    </row>
    <row r="382" spans="26:35" x14ac:dyDescent="0.25">
      <c r="Z382"/>
      <c r="AA382"/>
      <c r="AB382"/>
      <c r="AC382"/>
      <c r="AD382"/>
      <c r="AE382"/>
      <c r="AF382"/>
      <c r="AG382"/>
      <c r="AH382"/>
      <c r="AI382"/>
    </row>
    <row r="383" spans="26:35" x14ac:dyDescent="0.25">
      <c r="Z383"/>
      <c r="AA383"/>
      <c r="AB383"/>
      <c r="AC383"/>
      <c r="AD383"/>
      <c r="AE383"/>
      <c r="AF383"/>
      <c r="AG383"/>
      <c r="AH383"/>
      <c r="AI383"/>
    </row>
    <row r="384" spans="26:35" x14ac:dyDescent="0.25">
      <c r="Z384"/>
      <c r="AA384"/>
      <c r="AB384"/>
      <c r="AC384"/>
      <c r="AD384"/>
      <c r="AE384"/>
      <c r="AF384"/>
      <c r="AG384"/>
      <c r="AH384"/>
      <c r="AI384"/>
    </row>
    <row r="385" spans="26:35" x14ac:dyDescent="0.25">
      <c r="Z385"/>
      <c r="AA385"/>
      <c r="AB385"/>
      <c r="AC385"/>
      <c r="AD385"/>
      <c r="AE385"/>
      <c r="AF385"/>
      <c r="AG385"/>
      <c r="AH385"/>
      <c r="AI385"/>
    </row>
    <row r="386" spans="26:35" x14ac:dyDescent="0.25">
      <c r="Z386"/>
      <c r="AA386"/>
      <c r="AB386"/>
      <c r="AC386"/>
      <c r="AD386"/>
      <c r="AE386"/>
      <c r="AF386"/>
      <c r="AG386"/>
      <c r="AH386"/>
      <c r="AI386"/>
    </row>
    <row r="387" spans="26:35" x14ac:dyDescent="0.25">
      <c r="Z387"/>
      <c r="AA387"/>
      <c r="AB387"/>
      <c r="AC387"/>
      <c r="AD387"/>
      <c r="AE387"/>
      <c r="AF387"/>
      <c r="AG387"/>
      <c r="AH387"/>
      <c r="AI387"/>
    </row>
    <row r="388" spans="26:35" x14ac:dyDescent="0.25">
      <c r="Z388"/>
      <c r="AA388"/>
      <c r="AB388"/>
      <c r="AC388"/>
      <c r="AD388"/>
      <c r="AE388"/>
      <c r="AF388"/>
      <c r="AG388"/>
      <c r="AH388"/>
      <c r="AI388"/>
    </row>
    <row r="389" spans="26:35" x14ac:dyDescent="0.25">
      <c r="Z389"/>
      <c r="AA389"/>
      <c r="AB389"/>
      <c r="AC389"/>
      <c r="AD389"/>
      <c r="AE389"/>
      <c r="AF389"/>
      <c r="AG389"/>
      <c r="AH389"/>
      <c r="AI389"/>
    </row>
    <row r="390" spans="26:35" x14ac:dyDescent="0.25">
      <c r="Z390"/>
      <c r="AA390"/>
      <c r="AB390"/>
      <c r="AC390"/>
      <c r="AD390"/>
      <c r="AE390"/>
      <c r="AF390"/>
      <c r="AG390"/>
      <c r="AH390"/>
      <c r="AI390"/>
    </row>
    <row r="391" spans="26:35" x14ac:dyDescent="0.25">
      <c r="Z391"/>
      <c r="AA391"/>
      <c r="AB391"/>
      <c r="AC391"/>
      <c r="AD391"/>
      <c r="AE391"/>
      <c r="AF391"/>
      <c r="AG391"/>
      <c r="AH391"/>
      <c r="AI391"/>
    </row>
    <row r="392" spans="26:35" x14ac:dyDescent="0.25">
      <c r="Z392"/>
      <c r="AA392"/>
      <c r="AB392"/>
      <c r="AC392"/>
      <c r="AD392"/>
      <c r="AE392"/>
      <c r="AF392"/>
      <c r="AG392"/>
      <c r="AH392"/>
      <c r="AI392"/>
    </row>
    <row r="393" spans="26:35" x14ac:dyDescent="0.25">
      <c r="Z393"/>
      <c r="AA393"/>
      <c r="AB393"/>
      <c r="AC393"/>
      <c r="AD393"/>
      <c r="AE393"/>
      <c r="AF393"/>
      <c r="AG393"/>
      <c r="AH393"/>
      <c r="AI393"/>
    </row>
    <row r="394" spans="26:35" x14ac:dyDescent="0.25">
      <c r="Z394"/>
      <c r="AA394"/>
      <c r="AB394"/>
      <c r="AC394"/>
      <c r="AD394"/>
      <c r="AE394"/>
      <c r="AF394"/>
      <c r="AG394"/>
      <c r="AH394"/>
      <c r="AI394"/>
    </row>
    <row r="395" spans="26:35" x14ac:dyDescent="0.25">
      <c r="Z395"/>
      <c r="AA395"/>
      <c r="AB395"/>
      <c r="AC395"/>
      <c r="AD395"/>
      <c r="AE395"/>
      <c r="AF395"/>
      <c r="AG395"/>
      <c r="AH395"/>
      <c r="AI395"/>
    </row>
    <row r="396" spans="26:35" x14ac:dyDescent="0.25">
      <c r="Z396"/>
      <c r="AA396"/>
      <c r="AB396"/>
      <c r="AC396"/>
      <c r="AD396"/>
      <c r="AE396"/>
      <c r="AF396"/>
      <c r="AG396"/>
      <c r="AH396"/>
      <c r="AI396"/>
    </row>
    <row r="397" spans="26:35" x14ac:dyDescent="0.25">
      <c r="Z397"/>
      <c r="AA397"/>
      <c r="AB397"/>
      <c r="AC397"/>
      <c r="AD397"/>
      <c r="AE397"/>
      <c r="AF397"/>
      <c r="AG397"/>
      <c r="AH397"/>
      <c r="AI397"/>
    </row>
    <row r="398" spans="26:35" x14ac:dyDescent="0.25">
      <c r="Z398"/>
      <c r="AA398"/>
      <c r="AB398"/>
      <c r="AC398"/>
      <c r="AD398"/>
      <c r="AE398"/>
      <c r="AF398"/>
      <c r="AG398"/>
      <c r="AH398"/>
      <c r="AI398"/>
    </row>
    <row r="399" spans="26:35" x14ac:dyDescent="0.25">
      <c r="Z399"/>
      <c r="AA399"/>
      <c r="AB399"/>
      <c r="AC399"/>
      <c r="AD399"/>
      <c r="AE399"/>
      <c r="AF399"/>
      <c r="AG399"/>
      <c r="AH399"/>
      <c r="AI399"/>
    </row>
    <row r="400" spans="26:35" x14ac:dyDescent="0.25">
      <c r="Z400"/>
      <c r="AA400"/>
      <c r="AB400"/>
      <c r="AC400"/>
      <c r="AD400"/>
      <c r="AE400"/>
      <c r="AF400"/>
      <c r="AG400"/>
      <c r="AH400"/>
      <c r="AI400"/>
    </row>
    <row r="401" spans="26:35" x14ac:dyDescent="0.25">
      <c r="Z401"/>
      <c r="AA401"/>
      <c r="AB401"/>
      <c r="AC401"/>
      <c r="AD401"/>
      <c r="AE401"/>
      <c r="AF401"/>
      <c r="AG401"/>
      <c r="AH401"/>
      <c r="AI401"/>
    </row>
    <row r="402" spans="26:35" x14ac:dyDescent="0.25">
      <c r="Z402"/>
      <c r="AA402"/>
      <c r="AB402"/>
      <c r="AC402"/>
      <c r="AD402"/>
      <c r="AE402"/>
      <c r="AF402"/>
      <c r="AG402"/>
      <c r="AH402"/>
    </row>
    <row r="403" spans="26:35" x14ac:dyDescent="0.25">
      <c r="Z403"/>
      <c r="AA403"/>
      <c r="AB403"/>
      <c r="AC403"/>
      <c r="AD403"/>
      <c r="AE403"/>
      <c r="AF403"/>
      <c r="AG403"/>
      <c r="AH403"/>
    </row>
    <row r="404" spans="26:35" x14ac:dyDescent="0.25">
      <c r="Z404"/>
      <c r="AA404"/>
      <c r="AB404"/>
      <c r="AC404"/>
      <c r="AD404"/>
      <c r="AE404"/>
      <c r="AF404"/>
      <c r="AG404"/>
      <c r="AH404"/>
    </row>
    <row r="405" spans="26:35" x14ac:dyDescent="0.25">
      <c r="Z405"/>
      <c r="AA405"/>
      <c r="AB405"/>
      <c r="AC405"/>
      <c r="AD405"/>
      <c r="AE405"/>
      <c r="AF405"/>
      <c r="AG405"/>
      <c r="AH405"/>
    </row>
    <row r="406" spans="26:35" x14ac:dyDescent="0.25">
      <c r="Z406"/>
      <c r="AA406"/>
      <c r="AB406"/>
      <c r="AC406"/>
      <c r="AD406"/>
      <c r="AE406"/>
      <c r="AF406"/>
      <c r="AG406"/>
      <c r="AH406"/>
    </row>
    <row r="407" spans="26:35" x14ac:dyDescent="0.25">
      <c r="Z407"/>
      <c r="AA407"/>
      <c r="AB407"/>
      <c r="AC407"/>
      <c r="AD407"/>
      <c r="AE407"/>
      <c r="AF407"/>
      <c r="AG407"/>
      <c r="AH407"/>
    </row>
    <row r="408" spans="26:35" x14ac:dyDescent="0.25">
      <c r="Z408"/>
      <c r="AA408"/>
      <c r="AB408"/>
      <c r="AC408"/>
      <c r="AD408"/>
      <c r="AE408"/>
      <c r="AF408"/>
      <c r="AG408"/>
      <c r="AH408"/>
    </row>
    <row r="409" spans="26:35" x14ac:dyDescent="0.25">
      <c r="Z409"/>
      <c r="AA409"/>
      <c r="AB409"/>
      <c r="AC409"/>
      <c r="AD409"/>
      <c r="AE409"/>
      <c r="AF409"/>
      <c r="AG409"/>
      <c r="AH409"/>
    </row>
    <row r="410" spans="26:35" x14ac:dyDescent="0.25">
      <c r="Z410"/>
      <c r="AA410"/>
      <c r="AB410"/>
      <c r="AC410"/>
      <c r="AD410"/>
      <c r="AE410"/>
      <c r="AF410"/>
      <c r="AG410"/>
      <c r="AH410"/>
    </row>
    <row r="411" spans="26:35" x14ac:dyDescent="0.25">
      <c r="Z411"/>
      <c r="AA411"/>
      <c r="AB411"/>
      <c r="AC411"/>
      <c r="AD411"/>
      <c r="AE411"/>
      <c r="AF411"/>
      <c r="AG411"/>
      <c r="AH411"/>
    </row>
    <row r="412" spans="26:35" x14ac:dyDescent="0.25">
      <c r="Z412"/>
      <c r="AA412"/>
      <c r="AB412"/>
      <c r="AC412"/>
      <c r="AD412"/>
      <c r="AE412"/>
      <c r="AF412"/>
      <c r="AG412"/>
      <c r="AH412"/>
    </row>
  </sheetData>
  <sheetProtection formatCells="0" formatColumns="0" formatRows="0"/>
  <autoFilter ref="A1:B156" xr:uid="{00000000-0009-0000-0000-000008000000}">
    <filterColumn colId="0" showButton="0"/>
    <filterColumn colId="1" showButton="0"/>
  </autoFilter>
  <mergeCells count="1">
    <mergeCell ref="A1:B1"/>
  </mergeCells>
  <phoneticPr fontId="6" type="noConversion"/>
  <conditionalFormatting sqref="C338:C345">
    <cfRule type="expression" dxfId="190" priority="940">
      <formula>LEN($A322)=4</formula>
    </cfRule>
  </conditionalFormatting>
  <conditionalFormatting sqref="C338:C345">
    <cfRule type="expression" dxfId="189" priority="1001">
      <formula>AND(NOT($J322=""),$J$1=1)</formula>
    </cfRule>
    <cfRule type="expression" dxfId="188" priority="1002">
      <formula>LEN($A322)=2</formula>
    </cfRule>
  </conditionalFormatting>
  <conditionalFormatting sqref="A5:J17">
    <cfRule type="expression" dxfId="187" priority="28">
      <formula>AND(NOT($J5=""),$J$1=1)</formula>
    </cfRule>
    <cfRule type="expression" dxfId="186" priority="29">
      <formula>LEN($A5)=2</formula>
    </cfRule>
  </conditionalFormatting>
  <conditionalFormatting sqref="A5:J17">
    <cfRule type="expression" dxfId="185" priority="27">
      <formula>LEN($A5)=4</formula>
    </cfRule>
  </conditionalFormatting>
  <conditionalFormatting sqref="A90:J95 A88:I89 A18:J87 A153:J337 A97:J148">
    <cfRule type="expression" dxfId="184" priority="25">
      <formula>AND(NOT($J18=""),$J$1=1)</formula>
    </cfRule>
    <cfRule type="expression" dxfId="183" priority="26">
      <formula>LEN($A18)=2</formula>
    </cfRule>
  </conditionalFormatting>
  <conditionalFormatting sqref="A90:J95 A88:I89 A18:J87 A153:J337 A97:J148">
    <cfRule type="expression" dxfId="182" priority="24">
      <formula>LEN($A18)=4</formula>
    </cfRule>
  </conditionalFormatting>
  <conditionalFormatting sqref="J88:J89">
    <cfRule type="expression" dxfId="181" priority="20">
      <formula>AND(NOT($J88=""),$J$1=1)</formula>
    </cfRule>
    <cfRule type="expression" dxfId="180" priority="21">
      <formula>LEN($A88)=2</formula>
    </cfRule>
  </conditionalFormatting>
  <conditionalFormatting sqref="J88:J89">
    <cfRule type="expression" dxfId="179" priority="19">
      <formula>LEN($A88)=4</formula>
    </cfRule>
  </conditionalFormatting>
  <conditionalFormatting sqref="C149">
    <cfRule type="expression" dxfId="178" priority="14">
      <formula>LEN($A148)=4</formula>
    </cfRule>
  </conditionalFormatting>
  <conditionalFormatting sqref="C149">
    <cfRule type="expression" dxfId="177" priority="17">
      <formula>AND(NOT(#REF!=""),#REF!=1)</formula>
    </cfRule>
    <cfRule type="expression" dxfId="176" priority="18">
      <formula>LEN($A148)=2</formula>
    </cfRule>
  </conditionalFormatting>
  <conditionalFormatting sqref="A150:J152">
    <cfRule type="expression" dxfId="175" priority="8">
      <formula>AND(NOT($J150=""),$J$1=1)</formula>
    </cfRule>
    <cfRule type="expression" dxfId="174" priority="9">
      <formula>LEN($A150)=2</formula>
    </cfRule>
  </conditionalFormatting>
  <conditionalFormatting sqref="A150:J152">
    <cfRule type="expression" dxfId="173" priority="7">
      <formula>LEN($A150)=4</formula>
    </cfRule>
  </conditionalFormatting>
  <conditionalFormatting sqref="K33:K35">
    <cfRule type="expression" dxfId="172" priority="1021" stopIfTrue="1">
      <formula>AND(NOT(#REF!=""),#REF!=1)</formula>
    </cfRule>
  </conditionalFormatting>
  <conditionalFormatting sqref="A96:I96">
    <cfRule type="expression" dxfId="171" priority="5">
      <formula>AND(NOT($J96=""),$J$1=1)</formula>
    </cfRule>
    <cfRule type="expression" dxfId="170" priority="6">
      <formula>LEN($A96)=2</formula>
    </cfRule>
  </conditionalFormatting>
  <conditionalFormatting sqref="A96:I96">
    <cfRule type="expression" dxfId="169" priority="4">
      <formula>LEN($A96)=4</formula>
    </cfRule>
  </conditionalFormatting>
  <conditionalFormatting sqref="J96">
    <cfRule type="expression" dxfId="168" priority="2">
      <formula>AND(NOT($J96=""),$J$1=1)</formula>
    </cfRule>
    <cfRule type="expression" dxfId="167" priority="3">
      <formula>LEN($A96)=2</formula>
    </cfRule>
  </conditionalFormatting>
  <conditionalFormatting sqref="J96">
    <cfRule type="expression" dxfId="166" priority="1">
      <formula>LEN($A96)=4</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Line="0" autoPict="0">
                <anchor moveWithCells="1" sizeWithCells="1">
                  <from>
                    <xdr:col>1</xdr:col>
                    <xdr:colOff>1303020</xdr:colOff>
                    <xdr:row>0</xdr:row>
                    <xdr:rowOff>0</xdr:rowOff>
                  </from>
                  <to>
                    <xdr:col>1</xdr:col>
                    <xdr:colOff>3413760</xdr:colOff>
                    <xdr:row>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5">
    <tabColor rgb="FFFF0000"/>
  </sheetPr>
  <dimension ref="A1:AU441"/>
  <sheetViews>
    <sheetView topLeftCell="B88" zoomScale="105" workbookViewId="0">
      <selection activeCell="K102" sqref="K102"/>
    </sheetView>
  </sheetViews>
  <sheetFormatPr baseColWidth="10" defaultColWidth="11.33203125" defaultRowHeight="13.2" x14ac:dyDescent="0.25"/>
  <cols>
    <col min="1" max="1" width="10" style="516" customWidth="1"/>
    <col min="2" max="2" width="84.6640625" style="134" customWidth="1"/>
    <col min="3" max="3" width="4.33203125" style="1053" customWidth="1"/>
    <col min="4" max="6" width="4.33203125" style="244" customWidth="1"/>
    <col min="7" max="9" width="4.109375" style="134" customWidth="1"/>
    <col min="10" max="10" width="13.5546875" style="227" customWidth="1"/>
    <col min="11" max="11" width="27.5546875" style="227" customWidth="1"/>
    <col min="12" max="24" width="11.33203125" style="227" customWidth="1"/>
    <col min="25" max="25" width="6.33203125" style="227" customWidth="1"/>
    <col min="26" max="26" width="3.5546875" style="213" customWidth="1"/>
    <col min="27" max="27" width="3.5546875" style="135" hidden="1" customWidth="1"/>
    <col min="28" max="28" width="3.5546875" style="303" hidden="1" customWidth="1"/>
    <col min="29" max="35" width="3.5546875" style="213" hidden="1" customWidth="1"/>
    <col min="36" max="16384" width="11.33203125" style="213"/>
  </cols>
  <sheetData>
    <row r="1" spans="1:35" s="326" customFormat="1" ht="15.6" x14ac:dyDescent="0.25">
      <c r="A1" s="1278" t="s">
        <v>1251</v>
      </c>
      <c r="B1" s="1278"/>
      <c r="C1" s="1098">
        <v>1</v>
      </c>
      <c r="D1" s="1099" t="str">
        <f>"variante"&amp;IF(C1&gt;1,"s","")</f>
        <v>variante</v>
      </c>
      <c r="E1" s="1098"/>
      <c r="F1" s="1098"/>
      <c r="G1" s="1137"/>
      <c r="H1" s="1137"/>
      <c r="I1" s="1138"/>
      <c r="J1" s="1098">
        <f>'Score ISO'!E2</f>
        <v>1</v>
      </c>
      <c r="K1" s="525"/>
      <c r="L1" s="525"/>
      <c r="M1" s="525"/>
      <c r="N1" s="525"/>
      <c r="O1" s="525"/>
      <c r="P1" s="525"/>
      <c r="Q1" s="525"/>
      <c r="R1" s="525"/>
      <c r="S1" s="525"/>
      <c r="T1" s="525"/>
      <c r="U1" s="525"/>
      <c r="V1" s="525"/>
      <c r="W1" s="525"/>
      <c r="X1" s="525"/>
      <c r="Y1" s="525"/>
      <c r="AA1" s="525"/>
    </row>
    <row r="2" spans="1:35" s="326" customFormat="1" x14ac:dyDescent="0.25">
      <c r="A2" s="519" t="s">
        <v>523</v>
      </c>
      <c r="B2" s="324" t="s">
        <v>399</v>
      </c>
      <c r="C2" s="1170" t="s">
        <v>400</v>
      </c>
      <c r="D2" s="1100" t="s">
        <v>401</v>
      </c>
      <c r="E2" s="1100" t="s">
        <v>402</v>
      </c>
      <c r="F2" s="1100" t="s">
        <v>403</v>
      </c>
      <c r="G2" s="325" t="s">
        <v>569</v>
      </c>
      <c r="H2" s="325" t="s">
        <v>404</v>
      </c>
      <c r="I2" s="325" t="s">
        <v>479</v>
      </c>
      <c r="J2" s="1135" t="s">
        <v>6846</v>
      </c>
      <c r="K2" s="522" t="s">
        <v>405</v>
      </c>
      <c r="L2" s="525"/>
      <c r="M2" s="525"/>
      <c r="N2" s="525"/>
      <c r="O2" s="525"/>
      <c r="P2" s="525"/>
      <c r="Q2" s="525"/>
      <c r="R2" s="525"/>
      <c r="S2" s="525"/>
      <c r="T2" s="525"/>
      <c r="U2" s="525"/>
      <c r="V2" s="525"/>
      <c r="W2" s="525"/>
      <c r="X2" s="525"/>
      <c r="Y2" s="525"/>
      <c r="AA2" s="523" t="s">
        <v>1409</v>
      </c>
      <c r="AB2" s="523" t="s">
        <v>1410</v>
      </c>
      <c r="AC2" s="523" t="s">
        <v>1411</v>
      </c>
      <c r="AD2" s="523" t="s">
        <v>1412</v>
      </c>
      <c r="AE2" s="523" t="s">
        <v>1413</v>
      </c>
      <c r="AF2" s="523" t="s">
        <v>1414</v>
      </c>
      <c r="AG2" s="523" t="s">
        <v>1415</v>
      </c>
      <c r="AH2" s="523" t="s">
        <v>1416</v>
      </c>
    </row>
    <row r="3" spans="1:35" x14ac:dyDescent="0.25">
      <c r="A3" s="1139" t="s">
        <v>1252</v>
      </c>
      <c r="B3" s="1102" t="s">
        <v>6795</v>
      </c>
      <c r="C3" s="1140"/>
      <c r="D3" s="226"/>
      <c r="E3" s="227"/>
      <c r="F3" s="227"/>
      <c r="G3" s="127"/>
      <c r="H3" s="127"/>
      <c r="I3" s="127"/>
      <c r="J3" s="1140"/>
    </row>
    <row r="4" spans="1:35" x14ac:dyDescent="0.25">
      <c r="A4" s="515" t="s">
        <v>762</v>
      </c>
      <c r="B4" s="163" t="s">
        <v>1260</v>
      </c>
      <c r="C4" s="226"/>
      <c r="D4" s="226"/>
      <c r="E4" s="226"/>
      <c r="F4" s="227"/>
      <c r="G4" s="127"/>
      <c r="H4" s="127"/>
      <c r="I4" s="127"/>
      <c r="J4" s="1140"/>
      <c r="AA4"/>
      <c r="AB4"/>
      <c r="AC4"/>
      <c r="AD4"/>
      <c r="AE4"/>
      <c r="AF4"/>
      <c r="AG4"/>
      <c r="AH4"/>
      <c r="AI4"/>
    </row>
    <row r="5" spans="1:35" ht="20.399999999999999" x14ac:dyDescent="0.25">
      <c r="A5" s="164" t="s">
        <v>1253</v>
      </c>
      <c r="B5" s="128" t="s">
        <v>2928</v>
      </c>
      <c r="C5" s="243"/>
      <c r="D5" s="243"/>
      <c r="E5" s="304"/>
      <c r="F5" s="304"/>
      <c r="G5" s="133">
        <v>4</v>
      </c>
      <c r="H5" s="133"/>
      <c r="I5" s="136"/>
      <c r="J5" s="136"/>
      <c r="K5" s="135"/>
      <c r="AA5">
        <f>IF(AND('5 App'!C5&gt;Tmin, NOT('5 App'!$I5="")),'5 App'!$I5,0)</f>
        <v>0</v>
      </c>
      <c r="AB5">
        <f>IF(AND('5 App'!D5&gt;Tmin, NOT('5 App'!$I5="")),'5 App'!$I5,0)</f>
        <v>0</v>
      </c>
      <c r="AC5">
        <f>IF(AND('5 App'!E5&gt;Tmin, NOT('5 App'!$I5="")),'5 App'!$I5,0)</f>
        <v>0</v>
      </c>
      <c r="AD5">
        <f>IF(AND('5 App'!F5&gt;Tmin, NOT('5 App'!$I5="")),'5 App'!$I5,0)</f>
        <v>0</v>
      </c>
      <c r="AE5">
        <f>IF(AND('5 App'!C5&lt;Tmax, NOT('5 App'!$H5="")),'5 App'!$H5,4)</f>
        <v>4</v>
      </c>
      <c r="AF5">
        <f>IF(AND('5 App'!D5&lt;Tmax, NOT('5 App'!$H5="")),'5 App'!$H5,4)</f>
        <v>4</v>
      </c>
      <c r="AG5">
        <f>IF(AND('5 App'!E5&lt;Tmax, NOT('5 App'!$H5="")),'5 App'!$H5,4)</f>
        <v>4</v>
      </c>
      <c r="AH5">
        <f>IF(AND('5 App'!F5&lt;Tmax, NOT('5 App'!$H5="")),'5 App'!$H5,4)</f>
        <v>4</v>
      </c>
      <c r="AI5"/>
    </row>
    <row r="6" spans="1:35" x14ac:dyDescent="0.25">
      <c r="A6" s="135" t="s">
        <v>1254</v>
      </c>
      <c r="B6" s="128" t="s">
        <v>1920</v>
      </c>
      <c r="C6" s="243"/>
      <c r="D6" s="243"/>
      <c r="E6" s="304"/>
      <c r="F6" s="304"/>
      <c r="G6" s="133">
        <v>4</v>
      </c>
      <c r="H6" s="133">
        <v>2</v>
      </c>
      <c r="I6" s="136"/>
      <c r="J6" s="136"/>
      <c r="K6" s="135"/>
      <c r="AA6">
        <f>IF(AND('5 App'!C6&gt;Tmin, NOT('5 App'!$I6="")),'5 App'!$I6,0)</f>
        <v>0</v>
      </c>
      <c r="AB6">
        <f>IF(AND('5 App'!D6&gt;Tmin, NOT('5 App'!$I6="")),'5 App'!$I6,0)</f>
        <v>0</v>
      </c>
      <c r="AC6">
        <f>IF(AND('5 App'!E6&gt;Tmin, NOT('5 App'!$I6="")),'5 App'!$I6,0)</f>
        <v>0</v>
      </c>
      <c r="AD6">
        <f>IF(AND('5 App'!F6&gt;Tmin, NOT('5 App'!$I6="")),'5 App'!$I6,0)</f>
        <v>0</v>
      </c>
      <c r="AE6">
        <f>IF(AND('5 App'!C6&lt;Tmax, NOT('5 App'!$H6="")),'5 App'!$H6,4)</f>
        <v>2</v>
      </c>
      <c r="AF6">
        <f>IF(AND('5 App'!D6&lt;Tmax, NOT('5 App'!$H6="")),'5 App'!$H6,4)</f>
        <v>2</v>
      </c>
      <c r="AG6">
        <f>IF(AND('5 App'!E6&lt;Tmax, NOT('5 App'!$H6="")),'5 App'!$H6,4)</f>
        <v>2</v>
      </c>
      <c r="AH6">
        <f>IF(AND('5 App'!F6&lt;Tmax, NOT('5 App'!$H6="")),'5 App'!$H6,4)</f>
        <v>2</v>
      </c>
      <c r="AI6"/>
    </row>
    <row r="7" spans="1:35" ht="36" customHeight="1" x14ac:dyDescent="0.25">
      <c r="A7" s="135" t="s">
        <v>1256</v>
      </c>
      <c r="B7" s="128" t="s">
        <v>601</v>
      </c>
      <c r="C7" s="243"/>
      <c r="D7" s="243"/>
      <c r="E7" s="304"/>
      <c r="F7" s="304"/>
      <c r="G7" s="133">
        <v>4</v>
      </c>
      <c r="H7" s="133">
        <v>2</v>
      </c>
      <c r="I7" s="136"/>
      <c r="J7" s="136"/>
      <c r="K7" s="135"/>
      <c r="AA7">
        <f>IF(AND('5 App'!C7&gt;Tmin, NOT('5 App'!$I7="")),'5 App'!$I7,0)</f>
        <v>0</v>
      </c>
      <c r="AB7">
        <f>IF(AND('5 App'!D7&gt;Tmin, NOT('5 App'!$I7="")),'5 App'!$I7,0)</f>
        <v>0</v>
      </c>
      <c r="AC7">
        <f>IF(AND('5 App'!E7&gt;Tmin, NOT('5 App'!$I7="")),'5 App'!$I7,0)</f>
        <v>0</v>
      </c>
      <c r="AD7">
        <f>IF(AND('5 App'!F7&gt;Tmin, NOT('5 App'!$I7="")),'5 App'!$I7,0)</f>
        <v>0</v>
      </c>
      <c r="AE7">
        <f>IF(AND('5 App'!C7&lt;Tmax, NOT('5 App'!$H7="")),'5 App'!$H7,4)</f>
        <v>2</v>
      </c>
      <c r="AF7">
        <f>IF(AND('5 App'!D7&lt;Tmax, NOT('5 App'!$H7="")),'5 App'!$H7,4)</f>
        <v>2</v>
      </c>
      <c r="AG7">
        <f>IF(AND('5 App'!E7&lt;Tmax, NOT('5 App'!$H7="")),'5 App'!$H7,4)</f>
        <v>2</v>
      </c>
      <c r="AH7">
        <f>IF(AND('5 App'!F7&lt;Tmax, NOT('5 App'!$H7="")),'5 App'!$H7,4)</f>
        <v>2</v>
      </c>
      <c r="AI7"/>
    </row>
    <row r="8" spans="1:35" ht="20.399999999999999" x14ac:dyDescent="0.25">
      <c r="A8" s="135" t="s">
        <v>1257</v>
      </c>
      <c r="B8" s="128" t="s">
        <v>41</v>
      </c>
      <c r="C8" s="243"/>
      <c r="D8" s="243"/>
      <c r="E8" s="304"/>
      <c r="F8" s="304"/>
      <c r="G8" s="133">
        <v>4</v>
      </c>
      <c r="H8" s="133">
        <v>2</v>
      </c>
      <c r="I8" s="136"/>
      <c r="J8" s="136"/>
      <c r="K8" s="135"/>
      <c r="AA8">
        <f>IF(AND('5 App'!C8&gt;Tmin, NOT('5 App'!$I8="")),'5 App'!$I8,0)</f>
        <v>0</v>
      </c>
      <c r="AB8">
        <f>IF(AND('5 App'!D8&gt;Tmin, NOT('5 App'!$I8="")),'5 App'!$I8,0)</f>
        <v>0</v>
      </c>
      <c r="AC8">
        <f>IF(AND('5 App'!E8&gt;Tmin, NOT('5 App'!$I8="")),'5 App'!$I8,0)</f>
        <v>0</v>
      </c>
      <c r="AD8">
        <f>IF(AND('5 App'!F8&gt;Tmin, NOT('5 App'!$I8="")),'5 App'!$I8,0)</f>
        <v>0</v>
      </c>
      <c r="AE8">
        <f>IF(AND('5 App'!C8&lt;Tmax, NOT('5 App'!$H8="")),'5 App'!$H8,4)</f>
        <v>2</v>
      </c>
      <c r="AF8">
        <f>IF(AND('5 App'!D8&lt;Tmax, NOT('5 App'!$H8="")),'5 App'!$H8,4)</f>
        <v>2</v>
      </c>
      <c r="AG8">
        <f>IF(AND('5 App'!E8&lt;Tmax, NOT('5 App'!$H8="")),'5 App'!$H8,4)</f>
        <v>2</v>
      </c>
      <c r="AH8">
        <f>IF(AND('5 App'!F8&lt;Tmax, NOT('5 App'!$H8="")),'5 App'!$H8,4)</f>
        <v>2</v>
      </c>
      <c r="AI8"/>
    </row>
    <row r="9" spans="1:35" x14ac:dyDescent="0.25">
      <c r="A9" s="135" t="s">
        <v>1258</v>
      </c>
      <c r="B9" s="128" t="s">
        <v>325</v>
      </c>
      <c r="C9" s="243"/>
      <c r="D9" s="243"/>
      <c r="E9" s="304"/>
      <c r="F9" s="304"/>
      <c r="G9" s="133">
        <v>3</v>
      </c>
      <c r="H9" s="133"/>
      <c r="I9" s="136">
        <v>2</v>
      </c>
      <c r="J9" s="136"/>
      <c r="K9" s="135"/>
      <c r="AA9">
        <f>IF(AND('5 App'!C9&gt;Tmin, NOT('5 App'!$I9="")),'5 App'!$I9,0)</f>
        <v>0</v>
      </c>
      <c r="AB9">
        <f>IF(AND('5 App'!D9&gt;Tmin, NOT('5 App'!$I9="")),'5 App'!$I9,0)</f>
        <v>0</v>
      </c>
      <c r="AC9">
        <f>IF(AND('5 App'!E9&gt;Tmin, NOT('5 App'!$I9="")),'5 App'!$I9,0)</f>
        <v>0</v>
      </c>
      <c r="AD9">
        <f>IF(AND('5 App'!F9&gt;Tmin, NOT('5 App'!$I9="")),'5 App'!$I9,0)</f>
        <v>0</v>
      </c>
      <c r="AE9">
        <f>IF(AND('5 App'!C9&lt;Tmax, NOT('5 App'!$H9="")),'5 App'!$H9,4)</f>
        <v>4</v>
      </c>
      <c r="AF9">
        <f>IF(AND('5 App'!D9&lt;Tmax, NOT('5 App'!$H9="")),'5 App'!$H9,4)</f>
        <v>4</v>
      </c>
      <c r="AG9">
        <f>IF(AND('5 App'!E9&lt;Tmax, NOT('5 App'!$H9="")),'5 App'!$H9,4)</f>
        <v>4</v>
      </c>
      <c r="AH9">
        <f>IF(AND('5 App'!F9&lt;Tmax, NOT('5 App'!$H9="")),'5 App'!$H9,4)</f>
        <v>4</v>
      </c>
      <c r="AI9"/>
    </row>
    <row r="10" spans="1:35" x14ac:dyDescent="0.25">
      <c r="A10" s="135" t="s">
        <v>1259</v>
      </c>
      <c r="B10" s="128" t="s">
        <v>305</v>
      </c>
      <c r="C10" s="243"/>
      <c r="D10" s="243"/>
      <c r="E10" s="304"/>
      <c r="F10" s="304"/>
      <c r="G10" s="133">
        <v>4</v>
      </c>
      <c r="H10" s="133">
        <v>3</v>
      </c>
      <c r="I10" s="136"/>
      <c r="J10" s="136"/>
      <c r="K10" s="135"/>
      <c r="AA10">
        <f>IF(AND('5 App'!C10&gt;Tmin, NOT('5 App'!$I10="")),'5 App'!$I10,0)</f>
        <v>0</v>
      </c>
      <c r="AB10">
        <f>IF(AND('5 App'!D10&gt;Tmin, NOT('5 App'!$I10="")),'5 App'!$I10,0)</f>
        <v>0</v>
      </c>
      <c r="AC10">
        <f>IF(AND('5 App'!E10&gt;Tmin, NOT('5 App'!$I10="")),'5 App'!$I10,0)</f>
        <v>0</v>
      </c>
      <c r="AD10">
        <f>IF(AND('5 App'!F10&gt;Tmin, NOT('5 App'!$I10="")),'5 App'!$I10,0)</f>
        <v>0</v>
      </c>
      <c r="AE10">
        <f>IF(AND('5 App'!C10&lt;Tmax, NOT('5 App'!$H10="")),'5 App'!$H10,4)</f>
        <v>3</v>
      </c>
      <c r="AF10">
        <f>IF(AND('5 App'!D10&lt;Tmax, NOT('5 App'!$H10="")),'5 App'!$H10,4)</f>
        <v>3</v>
      </c>
      <c r="AG10">
        <f>IF(AND('5 App'!E10&lt;Tmax, NOT('5 App'!$H10="")),'5 App'!$H10,4)</f>
        <v>3</v>
      </c>
      <c r="AH10">
        <f>IF(AND('5 App'!F10&lt;Tmax, NOT('5 App'!$H10="")),'5 App'!$H10,4)</f>
        <v>3</v>
      </c>
      <c r="AI10"/>
    </row>
    <row r="11" spans="1:35" x14ac:dyDescent="0.25">
      <c r="A11" s="135" t="s">
        <v>763</v>
      </c>
      <c r="B11" s="128" t="s">
        <v>1997</v>
      </c>
      <c r="C11" s="243"/>
      <c r="D11" s="243"/>
      <c r="E11" s="304"/>
      <c r="F11" s="304"/>
      <c r="G11" s="133"/>
      <c r="H11" s="133"/>
      <c r="I11" s="136"/>
      <c r="J11" s="136"/>
      <c r="K11" s="135"/>
      <c r="AA11"/>
      <c r="AB11"/>
      <c r="AC11"/>
      <c r="AD11"/>
      <c r="AE11"/>
      <c r="AF11"/>
      <c r="AG11"/>
      <c r="AH11"/>
      <c r="AI11"/>
    </row>
    <row r="12" spans="1:35" ht="40.799999999999997" x14ac:dyDescent="0.25">
      <c r="A12" s="135" t="s">
        <v>1261</v>
      </c>
      <c r="B12" s="128" t="s">
        <v>1548</v>
      </c>
      <c r="C12" s="243"/>
      <c r="D12" s="243"/>
      <c r="E12" s="304"/>
      <c r="F12" s="304"/>
      <c r="G12" s="133">
        <v>4</v>
      </c>
      <c r="H12" s="133"/>
      <c r="I12" s="136"/>
      <c r="J12" s="136"/>
      <c r="K12" s="135"/>
      <c r="Z12" s="227"/>
      <c r="AA12">
        <f>IF(AND('5 App'!C12&gt;Tmin, NOT('5 App'!$I12="")),'5 App'!$I12,0)</f>
        <v>0</v>
      </c>
      <c r="AB12">
        <f>IF(AND('5 App'!D12&gt;Tmin, NOT('5 App'!$I12="")),'5 App'!$I12,0)</f>
        <v>0</v>
      </c>
      <c r="AC12">
        <f>IF(AND('5 App'!E12&gt;Tmin, NOT('5 App'!$I12="")),'5 App'!$I12,0)</f>
        <v>0</v>
      </c>
      <c r="AD12">
        <f>IF(AND('5 App'!F12&gt;Tmin, NOT('5 App'!$I12="")),'5 App'!$I12,0)</f>
        <v>0</v>
      </c>
      <c r="AE12">
        <f>IF(AND('5 App'!C12&lt;Tmax, NOT('5 App'!$H12="")),'5 App'!$H12,4)</f>
        <v>4</v>
      </c>
      <c r="AF12">
        <f>IF(AND('5 App'!D12&lt;Tmax, NOT('5 App'!$H12="")),'5 App'!$H12,4)</f>
        <v>4</v>
      </c>
      <c r="AG12">
        <f>IF(AND('5 App'!E12&lt;Tmax, NOT('5 App'!$H12="")),'5 App'!$H12,4)</f>
        <v>4</v>
      </c>
      <c r="AH12">
        <f>IF(AND('5 App'!F12&lt;Tmax, NOT('5 App'!$H12="")),'5 App'!$H12,4)</f>
        <v>4</v>
      </c>
      <c r="AI12"/>
    </row>
    <row r="13" spans="1:35" ht="20.399999999999999" x14ac:dyDescent="0.25">
      <c r="A13" s="135" t="s">
        <v>1262</v>
      </c>
      <c r="B13" s="128" t="s">
        <v>1549</v>
      </c>
      <c r="C13" s="243"/>
      <c r="D13" s="243"/>
      <c r="E13" s="304"/>
      <c r="F13" s="304"/>
      <c r="G13" s="133">
        <v>4</v>
      </c>
      <c r="H13" s="133"/>
      <c r="I13" s="136"/>
      <c r="J13" s="136"/>
      <c r="K13" s="135"/>
      <c r="AA13">
        <f>IF(AND('5 App'!C13&gt;Tmin, NOT('5 App'!$I13="")),'5 App'!$I13,0)</f>
        <v>0</v>
      </c>
      <c r="AB13">
        <f>IF(AND('5 App'!D13&gt;Tmin, NOT('5 App'!$I13="")),'5 App'!$I13,0)</f>
        <v>0</v>
      </c>
      <c r="AC13">
        <f>IF(AND('5 App'!E13&gt;Tmin, NOT('5 App'!$I13="")),'5 App'!$I13,0)</f>
        <v>0</v>
      </c>
      <c r="AD13">
        <f>IF(AND('5 App'!F13&gt;Tmin, NOT('5 App'!$I13="")),'5 App'!$I13,0)</f>
        <v>0</v>
      </c>
      <c r="AE13">
        <f>IF(AND('5 App'!C13&lt;Tmax, NOT('5 App'!$H13="")),'5 App'!$H13,4)</f>
        <v>4</v>
      </c>
      <c r="AF13">
        <f>IF(AND('5 App'!D13&lt;Tmax, NOT('5 App'!$H13="")),'5 App'!$H13,4)</f>
        <v>4</v>
      </c>
      <c r="AG13">
        <f>IF(AND('5 App'!E13&lt;Tmax, NOT('5 App'!$H13="")),'5 App'!$H13,4)</f>
        <v>4</v>
      </c>
      <c r="AH13">
        <f>IF(AND('5 App'!F13&lt;Tmax, NOT('5 App'!$H13="")),'5 App'!$H13,4)</f>
        <v>4</v>
      </c>
      <c r="AI13"/>
    </row>
    <row r="14" spans="1:35" x14ac:dyDescent="0.25">
      <c r="A14" s="135" t="s">
        <v>1263</v>
      </c>
      <c r="B14" s="128" t="s">
        <v>1255</v>
      </c>
      <c r="C14" s="243"/>
      <c r="D14" s="243"/>
      <c r="E14" s="304"/>
      <c r="F14" s="304"/>
      <c r="G14" s="133">
        <v>4</v>
      </c>
      <c r="H14" s="133">
        <v>2</v>
      </c>
      <c r="I14" s="136"/>
      <c r="J14" s="136"/>
      <c r="K14" s="135"/>
      <c r="AA14">
        <f>IF(AND('5 App'!C14&gt;Tmin, NOT('5 App'!$I14="")),'5 App'!$I14,0)</f>
        <v>0</v>
      </c>
      <c r="AB14">
        <f>IF(AND('5 App'!D14&gt;Tmin, NOT('5 App'!$I14="")),'5 App'!$I14,0)</f>
        <v>0</v>
      </c>
      <c r="AC14">
        <f>IF(AND('5 App'!E14&gt;Tmin, NOT('5 App'!$I14="")),'5 App'!$I14,0)</f>
        <v>0</v>
      </c>
      <c r="AD14">
        <f>IF(AND('5 App'!F14&gt;Tmin, NOT('5 App'!$I14="")),'5 App'!$I14,0)</f>
        <v>0</v>
      </c>
      <c r="AE14">
        <f>IF(AND('5 App'!C14&lt;Tmax, NOT('5 App'!$H14="")),'5 App'!$H14,4)</f>
        <v>2</v>
      </c>
      <c r="AF14">
        <f>IF(AND('5 App'!D14&lt;Tmax, NOT('5 App'!$H14="")),'5 App'!$H14,4)</f>
        <v>2</v>
      </c>
      <c r="AG14">
        <f>IF(AND('5 App'!E14&lt;Tmax, NOT('5 App'!$H14="")),'5 App'!$H14,4)</f>
        <v>2</v>
      </c>
      <c r="AH14">
        <f>IF(AND('5 App'!F14&lt;Tmax, NOT('5 App'!$H14="")),'5 App'!$H14,4)</f>
        <v>2</v>
      </c>
      <c r="AI14"/>
    </row>
    <row r="15" spans="1:35" ht="35.25" customHeight="1" x14ac:dyDescent="0.25">
      <c r="A15" s="135" t="s">
        <v>1264</v>
      </c>
      <c r="B15" s="128" t="s">
        <v>601</v>
      </c>
      <c r="C15" s="243"/>
      <c r="D15" s="243"/>
      <c r="E15" s="304"/>
      <c r="F15" s="304"/>
      <c r="G15" s="133">
        <v>4</v>
      </c>
      <c r="H15" s="133">
        <v>2</v>
      </c>
      <c r="I15" s="136"/>
      <c r="J15" s="136"/>
      <c r="K15" s="135"/>
      <c r="AA15">
        <f>IF(AND('5 App'!C15&gt;Tmin, NOT('5 App'!$I15="")),'5 App'!$I15,0)</f>
        <v>0</v>
      </c>
      <c r="AB15">
        <f>IF(AND('5 App'!D15&gt;Tmin, NOT('5 App'!$I15="")),'5 App'!$I15,0)</f>
        <v>0</v>
      </c>
      <c r="AC15">
        <f>IF(AND('5 App'!E15&gt;Tmin, NOT('5 App'!$I15="")),'5 App'!$I15,0)</f>
        <v>0</v>
      </c>
      <c r="AD15">
        <f>IF(AND('5 App'!F15&gt;Tmin, NOT('5 App'!$I15="")),'5 App'!$I15,0)</f>
        <v>0</v>
      </c>
      <c r="AE15">
        <f>IF(AND('5 App'!C15&lt;Tmax, NOT('5 App'!$H15="")),'5 App'!$H15,4)</f>
        <v>2</v>
      </c>
      <c r="AF15">
        <f>IF(AND('5 App'!D15&lt;Tmax, NOT('5 App'!$H15="")),'5 App'!$H15,4)</f>
        <v>2</v>
      </c>
      <c r="AG15">
        <f>IF(AND('5 App'!E15&lt;Tmax, NOT('5 App'!$H15="")),'5 App'!$H15,4)</f>
        <v>2</v>
      </c>
      <c r="AH15">
        <f>IF(AND('5 App'!F15&lt;Tmax, NOT('5 App'!$H15="")),'5 App'!$H15,4)</f>
        <v>2</v>
      </c>
      <c r="AI15"/>
    </row>
    <row r="16" spans="1:35" ht="26.25" customHeight="1" x14ac:dyDescent="0.25">
      <c r="A16" s="135" t="s">
        <v>1265</v>
      </c>
      <c r="B16" s="128" t="s">
        <v>1550</v>
      </c>
      <c r="C16" s="243"/>
      <c r="D16" s="243"/>
      <c r="E16" s="304"/>
      <c r="F16" s="304"/>
      <c r="G16" s="133">
        <v>4</v>
      </c>
      <c r="H16" s="133">
        <v>2</v>
      </c>
      <c r="I16" s="136"/>
      <c r="J16" s="136"/>
      <c r="K16" s="135"/>
      <c r="AA16">
        <f>IF(AND('5 App'!C16&gt;Tmin, NOT('5 App'!$I16="")),'5 App'!$I16,0)</f>
        <v>0</v>
      </c>
      <c r="AB16">
        <f>IF(AND('5 App'!D16&gt;Tmin, NOT('5 App'!$I16="")),'5 App'!$I16,0)</f>
        <v>0</v>
      </c>
      <c r="AC16">
        <f>IF(AND('5 App'!E16&gt;Tmin, NOT('5 App'!$I16="")),'5 App'!$I16,0)</f>
        <v>0</v>
      </c>
      <c r="AD16">
        <f>IF(AND('5 App'!F16&gt;Tmin, NOT('5 App'!$I16="")),'5 App'!$I16,0)</f>
        <v>0</v>
      </c>
      <c r="AE16">
        <f>IF(AND('5 App'!C16&lt;Tmax, NOT('5 App'!$H16="")),'5 App'!$H16,4)</f>
        <v>2</v>
      </c>
      <c r="AF16">
        <f>IF(AND('5 App'!D16&lt;Tmax, NOT('5 App'!$H16="")),'5 App'!$H16,4)</f>
        <v>2</v>
      </c>
      <c r="AG16">
        <f>IF(AND('5 App'!E16&lt;Tmax, NOT('5 App'!$H16="")),'5 App'!$H16,4)</f>
        <v>2</v>
      </c>
      <c r="AH16">
        <f>IF(AND('5 App'!F16&lt;Tmax, NOT('5 App'!$H16="")),'5 App'!$H16,4)</f>
        <v>2</v>
      </c>
      <c r="AI16"/>
    </row>
    <row r="17" spans="1:35" x14ac:dyDescent="0.25">
      <c r="A17" s="135" t="s">
        <v>1266</v>
      </c>
      <c r="B17" s="128" t="s">
        <v>325</v>
      </c>
      <c r="C17" s="243"/>
      <c r="D17" s="243"/>
      <c r="E17" s="304"/>
      <c r="F17" s="304"/>
      <c r="G17" s="133">
        <v>3</v>
      </c>
      <c r="H17" s="133"/>
      <c r="I17" s="136">
        <v>2</v>
      </c>
      <c r="J17" s="136"/>
      <c r="K17" s="135"/>
      <c r="AA17">
        <f>IF(AND('5 App'!C17&gt;Tmin, NOT('5 App'!$I17="")),'5 App'!$I17,0)</f>
        <v>0</v>
      </c>
      <c r="AB17">
        <f>IF(AND('5 App'!D17&gt;Tmin, NOT('5 App'!$I17="")),'5 App'!$I17,0)</f>
        <v>0</v>
      </c>
      <c r="AC17">
        <f>IF(AND('5 App'!E17&gt;Tmin, NOT('5 App'!$I17="")),'5 App'!$I17,0)</f>
        <v>0</v>
      </c>
      <c r="AD17">
        <f>IF(AND('5 App'!F17&gt;Tmin, NOT('5 App'!$I17="")),'5 App'!$I17,0)</f>
        <v>0</v>
      </c>
      <c r="AE17">
        <f>IF(AND('5 App'!C17&lt;Tmax, NOT('5 App'!$H17="")),'5 App'!$H17,4)</f>
        <v>4</v>
      </c>
      <c r="AF17">
        <f>IF(AND('5 App'!D17&lt;Tmax, NOT('5 App'!$H17="")),'5 App'!$H17,4)</f>
        <v>4</v>
      </c>
      <c r="AG17">
        <f>IF(AND('5 App'!E17&lt;Tmax, NOT('5 App'!$H17="")),'5 App'!$H17,4)</f>
        <v>4</v>
      </c>
      <c r="AH17">
        <f>IF(AND('5 App'!F17&lt;Tmax, NOT('5 App'!$H17="")),'5 App'!$H17,4)</f>
        <v>4</v>
      </c>
      <c r="AI17"/>
    </row>
    <row r="18" spans="1:35" ht="20.399999999999999" x14ac:dyDescent="0.25">
      <c r="A18" s="135" t="s">
        <v>1614</v>
      </c>
      <c r="B18" s="128" t="s">
        <v>1551</v>
      </c>
      <c r="C18" s="243"/>
      <c r="D18" s="243"/>
      <c r="E18" s="304"/>
      <c r="F18" s="304"/>
      <c r="G18" s="133">
        <v>4</v>
      </c>
      <c r="H18" s="133">
        <v>3</v>
      </c>
      <c r="I18" s="136"/>
      <c r="J18" s="136"/>
      <c r="K18" s="135"/>
      <c r="AA18">
        <f>IF(AND('5 App'!C18&gt;Tmin, NOT('5 App'!$I18="")),'5 App'!$I18,0)</f>
        <v>0</v>
      </c>
      <c r="AB18">
        <f>IF(AND('5 App'!D18&gt;Tmin, NOT('5 App'!$I18="")),'5 App'!$I18,0)</f>
        <v>0</v>
      </c>
      <c r="AC18">
        <f>IF(AND('5 App'!E18&gt;Tmin, NOT('5 App'!$I18="")),'5 App'!$I18,0)</f>
        <v>0</v>
      </c>
      <c r="AD18">
        <f>IF(AND('5 App'!F18&gt;Tmin, NOT('5 App'!$I18="")),'5 App'!$I18,0)</f>
        <v>0</v>
      </c>
      <c r="AE18">
        <f>IF(AND('5 App'!C18&lt;Tmax, NOT('5 App'!$H18="")),'5 App'!$H18,4)</f>
        <v>3</v>
      </c>
      <c r="AF18">
        <f>IF(AND('5 App'!D18&lt;Tmax, NOT('5 App'!$H18="")),'5 App'!$H18,4)</f>
        <v>3</v>
      </c>
      <c r="AG18">
        <f>IF(AND('5 App'!E18&lt;Tmax, NOT('5 App'!$H18="")),'5 App'!$H18,4)</f>
        <v>3</v>
      </c>
      <c r="AH18">
        <f>IF(AND('5 App'!F18&lt;Tmax, NOT('5 App'!$H18="")),'5 App'!$H18,4)</f>
        <v>3</v>
      </c>
      <c r="AI18"/>
    </row>
    <row r="19" spans="1:35" x14ac:dyDescent="0.25">
      <c r="A19" s="135" t="s">
        <v>638</v>
      </c>
      <c r="B19" s="128" t="s">
        <v>1267</v>
      </c>
      <c r="C19" s="243"/>
      <c r="D19" s="243"/>
      <c r="E19" s="304"/>
      <c r="F19" s="304"/>
      <c r="G19" s="133"/>
      <c r="H19" s="133"/>
      <c r="I19" s="136"/>
      <c r="J19" s="136"/>
      <c r="K19" s="135"/>
      <c r="AA19"/>
      <c r="AB19"/>
      <c r="AC19"/>
      <c r="AD19"/>
      <c r="AE19"/>
      <c r="AF19"/>
      <c r="AG19"/>
      <c r="AH19"/>
      <c r="AI19"/>
    </row>
    <row r="20" spans="1:35" ht="40.799999999999997" x14ac:dyDescent="0.25">
      <c r="A20" s="135" t="s">
        <v>1268</v>
      </c>
      <c r="B20" s="128" t="s">
        <v>326</v>
      </c>
      <c r="C20" s="243"/>
      <c r="D20" s="243"/>
      <c r="E20" s="304"/>
      <c r="F20" s="304"/>
      <c r="G20" s="133">
        <v>4</v>
      </c>
      <c r="H20" s="133"/>
      <c r="I20" s="136"/>
      <c r="J20" s="136"/>
      <c r="K20" s="135"/>
      <c r="AA20">
        <f>IF(AND('5 App'!C20&gt;Tmin, NOT('5 App'!$I20="")),'5 App'!$I20,0)</f>
        <v>0</v>
      </c>
      <c r="AB20">
        <f>IF(AND('5 App'!D20&gt;Tmin, NOT('5 App'!$I20="")),'5 App'!$I20,0)</f>
        <v>0</v>
      </c>
      <c r="AC20">
        <f>IF(AND('5 App'!E20&gt;Tmin, NOT('5 App'!$I20="")),'5 App'!$I20,0)</f>
        <v>0</v>
      </c>
      <c r="AD20">
        <f>IF(AND('5 App'!F20&gt;Tmin, NOT('5 App'!$I20="")),'5 App'!$I20,0)</f>
        <v>0</v>
      </c>
      <c r="AE20">
        <f>IF(AND('5 App'!C20&lt;Tmax, NOT('5 App'!$H20="")),'5 App'!$H20,4)</f>
        <v>4</v>
      </c>
      <c r="AF20">
        <f>IF(AND('5 App'!D20&lt;Tmax, NOT('5 App'!$H20="")),'5 App'!$H20,4)</f>
        <v>4</v>
      </c>
      <c r="AG20">
        <f>IF(AND('5 App'!E20&lt;Tmax, NOT('5 App'!$H20="")),'5 App'!$H20,4)</f>
        <v>4</v>
      </c>
      <c r="AH20">
        <f>IF(AND('5 App'!F20&lt;Tmax, NOT('5 App'!$H20="")),'5 App'!$H20,4)</f>
        <v>4</v>
      </c>
      <c r="AI20"/>
    </row>
    <row r="21" spans="1:35" ht="37.5" customHeight="1" x14ac:dyDescent="0.25">
      <c r="A21" s="135" t="s">
        <v>1269</v>
      </c>
      <c r="B21" s="128" t="s">
        <v>550</v>
      </c>
      <c r="C21" s="243"/>
      <c r="D21" s="243"/>
      <c r="E21" s="304"/>
      <c r="F21" s="304"/>
      <c r="G21" s="133">
        <v>4</v>
      </c>
      <c r="H21" s="133"/>
      <c r="I21" s="136"/>
      <c r="J21" s="136"/>
      <c r="K21" s="135"/>
      <c r="AA21">
        <f>IF(AND('5 App'!C21&gt;Tmin, NOT('5 App'!$I21="")),'5 App'!$I21,0)</f>
        <v>0</v>
      </c>
      <c r="AB21">
        <f>IF(AND('5 App'!D21&gt;Tmin, NOT('5 App'!$I21="")),'5 App'!$I21,0)</f>
        <v>0</v>
      </c>
      <c r="AC21">
        <f>IF(AND('5 App'!E21&gt;Tmin, NOT('5 App'!$I21="")),'5 App'!$I21,0)</f>
        <v>0</v>
      </c>
      <c r="AD21">
        <f>IF(AND('5 App'!F21&gt;Tmin, NOT('5 App'!$I21="")),'5 App'!$I21,0)</f>
        <v>0</v>
      </c>
      <c r="AE21">
        <f>IF(AND('5 App'!C21&lt;Tmax, NOT('5 App'!$H21="")),'5 App'!$H21,4)</f>
        <v>4</v>
      </c>
      <c r="AF21">
        <f>IF(AND('5 App'!D21&lt;Tmax, NOT('5 App'!$H21="")),'5 App'!$H21,4)</f>
        <v>4</v>
      </c>
      <c r="AG21">
        <f>IF(AND('5 App'!E21&lt;Tmax, NOT('5 App'!$H21="")),'5 App'!$H21,4)</f>
        <v>4</v>
      </c>
      <c r="AH21">
        <f>IF(AND('5 App'!F21&lt;Tmax, NOT('5 App'!$H21="")),'5 App'!$H21,4)</f>
        <v>4</v>
      </c>
      <c r="AI21"/>
    </row>
    <row r="22" spans="1:35" x14ac:dyDescent="0.25">
      <c r="A22" s="135" t="s">
        <v>1270</v>
      </c>
      <c r="B22" s="128" t="s">
        <v>212</v>
      </c>
      <c r="C22" s="243"/>
      <c r="D22" s="243"/>
      <c r="E22" s="304"/>
      <c r="F22" s="304"/>
      <c r="G22" s="133">
        <v>4</v>
      </c>
      <c r="H22" s="133"/>
      <c r="I22" s="136"/>
      <c r="J22" s="136"/>
      <c r="K22" s="135"/>
      <c r="AA22">
        <f>IF(AND('5 App'!C22&gt;Tmin, NOT('5 App'!$I22="")),'5 App'!$I22,0)</f>
        <v>0</v>
      </c>
      <c r="AB22">
        <f>IF(AND('5 App'!D22&gt;Tmin, NOT('5 App'!$I22="")),'5 App'!$I22,0)</f>
        <v>0</v>
      </c>
      <c r="AC22">
        <f>IF(AND('5 App'!E22&gt;Tmin, NOT('5 App'!$I22="")),'5 App'!$I22,0)</f>
        <v>0</v>
      </c>
      <c r="AD22">
        <f>IF(AND('5 App'!F22&gt;Tmin, NOT('5 App'!$I22="")),'5 App'!$I22,0)</f>
        <v>0</v>
      </c>
      <c r="AE22">
        <f>IF(AND('5 App'!C22&lt;Tmax, NOT('5 App'!$H22="")),'5 App'!$H22,4)</f>
        <v>4</v>
      </c>
      <c r="AF22">
        <f>IF(AND('5 App'!D22&lt;Tmax, NOT('5 App'!$H22="")),'5 App'!$H22,4)</f>
        <v>4</v>
      </c>
      <c r="AG22">
        <f>IF(AND('5 App'!E22&lt;Tmax, NOT('5 App'!$H22="")),'5 App'!$H22,4)</f>
        <v>4</v>
      </c>
      <c r="AH22">
        <f>IF(AND('5 App'!F22&lt;Tmax, NOT('5 App'!$H22="")),'5 App'!$H22,4)</f>
        <v>4</v>
      </c>
      <c r="AI22"/>
    </row>
    <row r="23" spans="1:35" ht="40.799999999999997" x14ac:dyDescent="0.25">
      <c r="A23" s="135" t="s">
        <v>1271</v>
      </c>
      <c r="B23" s="128" t="s">
        <v>145</v>
      </c>
      <c r="C23" s="243"/>
      <c r="D23" s="243"/>
      <c r="E23" s="304"/>
      <c r="F23" s="304"/>
      <c r="G23" s="133">
        <v>4</v>
      </c>
      <c r="H23" s="133">
        <v>3</v>
      </c>
      <c r="I23" s="136"/>
      <c r="J23" s="136"/>
      <c r="K23" s="135"/>
      <c r="AA23">
        <f>IF(AND('5 App'!C23&gt;Tmin, NOT('5 App'!$I23="")),'5 App'!$I23,0)</f>
        <v>0</v>
      </c>
      <c r="AB23">
        <f>IF(AND('5 App'!D23&gt;Tmin, NOT('5 App'!$I23="")),'5 App'!$I23,0)</f>
        <v>0</v>
      </c>
      <c r="AC23">
        <f>IF(AND('5 App'!E23&gt;Tmin, NOT('5 App'!$I23="")),'5 App'!$I23,0)</f>
        <v>0</v>
      </c>
      <c r="AD23">
        <f>IF(AND('5 App'!F23&gt;Tmin, NOT('5 App'!$I23="")),'5 App'!$I23,0)</f>
        <v>0</v>
      </c>
      <c r="AE23">
        <f>IF(AND('5 App'!C23&lt;Tmax, NOT('5 App'!$H23="")),'5 App'!$H23,4)</f>
        <v>3</v>
      </c>
      <c r="AF23">
        <f>IF(AND('5 App'!D23&lt;Tmax, NOT('5 App'!$H23="")),'5 App'!$H23,4)</f>
        <v>3</v>
      </c>
      <c r="AG23">
        <f>IF(AND('5 App'!E23&lt;Tmax, NOT('5 App'!$H23="")),'5 App'!$H23,4)</f>
        <v>3</v>
      </c>
      <c r="AH23">
        <f>IF(AND('5 App'!F23&lt;Tmax, NOT('5 App'!$H23="")),'5 App'!$H23,4)</f>
        <v>3</v>
      </c>
      <c r="AI23"/>
    </row>
    <row r="24" spans="1:35" ht="36" customHeight="1" x14ac:dyDescent="0.25">
      <c r="A24" s="135" t="s">
        <v>1272</v>
      </c>
      <c r="B24" s="128" t="s">
        <v>146</v>
      </c>
      <c r="C24" s="243"/>
      <c r="D24" s="243"/>
      <c r="E24" s="304"/>
      <c r="F24" s="304"/>
      <c r="G24" s="133">
        <v>4</v>
      </c>
      <c r="H24" s="133">
        <v>2</v>
      </c>
      <c r="I24" s="136"/>
      <c r="J24" s="136"/>
      <c r="K24" s="135"/>
      <c r="AA24">
        <f>IF(AND('5 App'!C24&gt;Tmin, NOT('5 App'!$I24="")),'5 App'!$I24,0)</f>
        <v>0</v>
      </c>
      <c r="AB24">
        <f>IF(AND('5 App'!D24&gt;Tmin, NOT('5 App'!$I24="")),'5 App'!$I24,0)</f>
        <v>0</v>
      </c>
      <c r="AC24">
        <f>IF(AND('5 App'!E24&gt;Tmin, NOT('5 App'!$I24="")),'5 App'!$I24,0)</f>
        <v>0</v>
      </c>
      <c r="AD24">
        <f>IF(AND('5 App'!F24&gt;Tmin, NOT('5 App'!$I24="")),'5 App'!$I24,0)</f>
        <v>0</v>
      </c>
      <c r="AE24">
        <f>IF(AND('5 App'!C24&lt;Tmax, NOT('5 App'!$H24="")),'5 App'!$H24,4)</f>
        <v>2</v>
      </c>
      <c r="AF24">
        <f>IF(AND('5 App'!D24&lt;Tmax, NOT('5 App'!$H24="")),'5 App'!$H24,4)</f>
        <v>2</v>
      </c>
      <c r="AG24">
        <f>IF(AND('5 App'!E24&lt;Tmax, NOT('5 App'!$H24="")),'5 App'!$H24,4)</f>
        <v>2</v>
      </c>
      <c r="AH24">
        <f>IF(AND('5 App'!F24&lt;Tmax, NOT('5 App'!$H24="")),'5 App'!$H24,4)</f>
        <v>2</v>
      </c>
      <c r="AI24"/>
    </row>
    <row r="25" spans="1:35" ht="15" customHeight="1" x14ac:dyDescent="0.25">
      <c r="A25" s="135" t="s">
        <v>1273</v>
      </c>
      <c r="B25" s="128" t="s">
        <v>258</v>
      </c>
      <c r="C25" s="243"/>
      <c r="D25" s="243"/>
      <c r="E25" s="304"/>
      <c r="F25" s="304"/>
      <c r="G25" s="133">
        <v>4</v>
      </c>
      <c r="H25" s="133"/>
      <c r="I25" s="136"/>
      <c r="J25" s="136"/>
      <c r="K25" s="135"/>
      <c r="AA25">
        <f>IF(AND('5 App'!C25&gt;Tmin, NOT('5 App'!$I25="")),'5 App'!$I25,0)</f>
        <v>0</v>
      </c>
      <c r="AB25">
        <f>IF(AND('5 App'!D25&gt;Tmin, NOT('5 App'!$I25="")),'5 App'!$I25,0)</f>
        <v>0</v>
      </c>
      <c r="AC25">
        <f>IF(AND('5 App'!E25&gt;Tmin, NOT('5 App'!$I25="")),'5 App'!$I25,0)</f>
        <v>0</v>
      </c>
      <c r="AD25">
        <f>IF(AND('5 App'!F25&gt;Tmin, NOT('5 App'!$I25="")),'5 App'!$I25,0)</f>
        <v>0</v>
      </c>
      <c r="AE25">
        <f>IF(AND('5 App'!C25&lt;Tmax, NOT('5 App'!$H25="")),'5 App'!$H25,4)</f>
        <v>4</v>
      </c>
      <c r="AF25">
        <f>IF(AND('5 App'!D25&lt;Tmax, NOT('5 App'!$H25="")),'5 App'!$H25,4)</f>
        <v>4</v>
      </c>
      <c r="AG25">
        <f>IF(AND('5 App'!E25&lt;Tmax, NOT('5 App'!$H25="")),'5 App'!$H25,4)</f>
        <v>4</v>
      </c>
      <c r="AH25">
        <f>IF(AND('5 App'!F25&lt;Tmax, NOT('5 App'!$H25="")),'5 App'!$H25,4)</f>
        <v>4</v>
      </c>
      <c r="AI25"/>
    </row>
    <row r="26" spans="1:35" x14ac:dyDescent="0.25">
      <c r="A26" s="135" t="s">
        <v>639</v>
      </c>
      <c r="B26" s="128" t="s">
        <v>398</v>
      </c>
      <c r="C26" s="243"/>
      <c r="D26" s="243"/>
      <c r="E26" s="304"/>
      <c r="F26" s="304"/>
      <c r="G26" s="133"/>
      <c r="H26" s="133"/>
      <c r="I26" s="136"/>
      <c r="J26" s="136"/>
      <c r="K26" s="135"/>
      <c r="L26" s="213"/>
      <c r="M26" s="213"/>
      <c r="N26" s="213"/>
      <c r="O26" s="213"/>
      <c r="P26" s="213"/>
      <c r="Q26" s="213"/>
      <c r="R26" s="213"/>
      <c r="S26" s="213"/>
      <c r="T26" s="213"/>
      <c r="U26" s="213"/>
      <c r="V26" s="213"/>
      <c r="W26" s="213"/>
      <c r="X26" s="213"/>
      <c r="Y26" s="213"/>
      <c r="AA26"/>
      <c r="AB26"/>
      <c r="AC26"/>
      <c r="AD26"/>
      <c r="AE26"/>
      <c r="AF26"/>
      <c r="AG26"/>
      <c r="AH26"/>
      <c r="AI26"/>
    </row>
    <row r="27" spans="1:35" x14ac:dyDescent="0.25">
      <c r="A27" s="135" t="s">
        <v>1274</v>
      </c>
      <c r="B27" s="128" t="s">
        <v>606</v>
      </c>
      <c r="C27" s="243"/>
      <c r="D27" s="243"/>
      <c r="E27" s="304"/>
      <c r="F27" s="304"/>
      <c r="G27" s="133">
        <v>2</v>
      </c>
      <c r="H27" s="133"/>
      <c r="I27" s="136"/>
      <c r="J27" s="136"/>
      <c r="K27" s="135"/>
      <c r="L27" s="213"/>
      <c r="M27" s="213"/>
      <c r="N27" s="213"/>
      <c r="O27" s="213"/>
      <c r="P27" s="213"/>
      <c r="Q27" s="213"/>
      <c r="R27" s="213"/>
      <c r="S27" s="213"/>
      <c r="T27" s="213"/>
      <c r="U27" s="213"/>
      <c r="V27" s="213"/>
      <c r="W27" s="213"/>
      <c r="X27" s="213"/>
      <c r="Y27" s="213"/>
      <c r="AA27">
        <f>IF(AND('5 App'!C27&gt;Tmin, NOT('5 App'!$I27="")),'5 App'!$I27,0)</f>
        <v>0</v>
      </c>
      <c r="AB27">
        <f>IF(AND('5 App'!D27&gt;Tmin, NOT('5 App'!$I27="")),'5 App'!$I27,0)</f>
        <v>0</v>
      </c>
      <c r="AC27">
        <f>IF(AND('5 App'!E27&gt;Tmin, NOT('5 App'!$I27="")),'5 App'!$I27,0)</f>
        <v>0</v>
      </c>
      <c r="AD27">
        <f>IF(AND('5 App'!F27&gt;Tmin, NOT('5 App'!$I27="")),'5 App'!$I27,0)</f>
        <v>0</v>
      </c>
      <c r="AE27">
        <f>IF(AND('5 App'!C27&lt;Tmax, NOT('5 App'!$H27="")),'5 App'!$H27,4)</f>
        <v>4</v>
      </c>
      <c r="AF27">
        <f>IF(AND('5 App'!D27&lt;Tmax, NOT('5 App'!$H27="")),'5 App'!$H27,4)</f>
        <v>4</v>
      </c>
      <c r="AG27">
        <f>IF(AND('5 App'!E27&lt;Tmax, NOT('5 App'!$H27="")),'5 App'!$H27,4)</f>
        <v>4</v>
      </c>
      <c r="AH27">
        <f>IF(AND('5 App'!F27&lt;Tmax, NOT('5 App'!$H27="")),'5 App'!$H27,4)</f>
        <v>4</v>
      </c>
      <c r="AI27"/>
    </row>
    <row r="28" spans="1:35" x14ac:dyDescent="0.25">
      <c r="A28" s="135" t="s">
        <v>1275</v>
      </c>
      <c r="B28" s="128" t="s">
        <v>307</v>
      </c>
      <c r="C28" s="243"/>
      <c r="D28" s="243"/>
      <c r="E28" s="304"/>
      <c r="F28" s="304"/>
      <c r="G28" s="133">
        <v>4</v>
      </c>
      <c r="H28" s="133">
        <v>2</v>
      </c>
      <c r="I28" s="136"/>
      <c r="J28" s="136"/>
      <c r="K28" s="135"/>
      <c r="L28" s="213"/>
      <c r="M28" s="213"/>
      <c r="N28" s="213"/>
      <c r="O28" s="213"/>
      <c r="P28" s="213"/>
      <c r="Q28" s="213"/>
      <c r="R28" s="213"/>
      <c r="S28" s="213"/>
      <c r="T28" s="213"/>
      <c r="U28" s="213"/>
      <c r="V28" s="213"/>
      <c r="W28" s="213"/>
      <c r="X28" s="213"/>
      <c r="Y28" s="213"/>
      <c r="AA28">
        <f>IF(AND('5 App'!C28&gt;Tmin, NOT('5 App'!$I28="")),'5 App'!$I28,0)</f>
        <v>0</v>
      </c>
      <c r="AB28">
        <f>IF(AND('5 App'!D28&gt;Tmin, NOT('5 App'!$I28="")),'5 App'!$I28,0)</f>
        <v>0</v>
      </c>
      <c r="AC28">
        <f>IF(AND('5 App'!E28&gt;Tmin, NOT('5 App'!$I28="")),'5 App'!$I28,0)</f>
        <v>0</v>
      </c>
      <c r="AD28">
        <f>IF(AND('5 App'!F28&gt;Tmin, NOT('5 App'!$I28="")),'5 App'!$I28,0)</f>
        <v>0</v>
      </c>
      <c r="AE28">
        <f>IF(AND('5 App'!C28&lt;Tmax, NOT('5 App'!$H28="")),'5 App'!$H28,4)</f>
        <v>2</v>
      </c>
      <c r="AF28">
        <f>IF(AND('5 App'!D28&lt;Tmax, NOT('5 App'!$H28="")),'5 App'!$H28,4)</f>
        <v>2</v>
      </c>
      <c r="AG28">
        <f>IF(AND('5 App'!E28&lt;Tmax, NOT('5 App'!$H28="")),'5 App'!$H28,4)</f>
        <v>2</v>
      </c>
      <c r="AH28">
        <f>IF(AND('5 App'!F28&lt;Tmax, NOT('5 App'!$H28="")),'5 App'!$H28,4)</f>
        <v>2</v>
      </c>
      <c r="AI28"/>
    </row>
    <row r="29" spans="1:35" x14ac:dyDescent="0.25">
      <c r="A29" s="135" t="s">
        <v>1276</v>
      </c>
      <c r="B29" s="128" t="s">
        <v>300</v>
      </c>
      <c r="C29" s="243"/>
      <c r="D29" s="243"/>
      <c r="E29" s="304"/>
      <c r="F29" s="304"/>
      <c r="G29" s="133">
        <v>4</v>
      </c>
      <c r="H29" s="133"/>
      <c r="I29" s="136"/>
      <c r="J29" s="136"/>
      <c r="K29" s="135"/>
      <c r="L29" s="213"/>
      <c r="M29" s="213"/>
      <c r="N29" s="213"/>
      <c r="O29" s="213"/>
      <c r="P29" s="213"/>
      <c r="Q29" s="213"/>
      <c r="R29" s="213"/>
      <c r="S29" s="213"/>
      <c r="T29" s="213"/>
      <c r="U29" s="213"/>
      <c r="V29" s="213"/>
      <c r="W29" s="213"/>
      <c r="X29" s="213"/>
      <c r="Y29" s="213"/>
      <c r="AA29">
        <f>IF(AND('5 App'!C29&gt;Tmin, NOT('5 App'!$I29="")),'5 App'!$I29,0)</f>
        <v>0</v>
      </c>
      <c r="AB29">
        <f>IF(AND('5 App'!D29&gt;Tmin, NOT('5 App'!$I29="")),'5 App'!$I29,0)</f>
        <v>0</v>
      </c>
      <c r="AC29">
        <f>IF(AND('5 App'!E29&gt;Tmin, NOT('5 App'!$I29="")),'5 App'!$I29,0)</f>
        <v>0</v>
      </c>
      <c r="AD29">
        <f>IF(AND('5 App'!F29&gt;Tmin, NOT('5 App'!$I29="")),'5 App'!$I29,0)</f>
        <v>0</v>
      </c>
      <c r="AE29">
        <f>IF(AND('5 App'!C29&lt;Tmax, NOT('5 App'!$H29="")),'5 App'!$H29,4)</f>
        <v>4</v>
      </c>
      <c r="AF29">
        <f>IF(AND('5 App'!D29&lt;Tmax, NOT('5 App'!$H29="")),'5 App'!$H29,4)</f>
        <v>4</v>
      </c>
      <c r="AG29">
        <f>IF(AND('5 App'!E29&lt;Tmax, NOT('5 App'!$H29="")),'5 App'!$H29,4)</f>
        <v>4</v>
      </c>
      <c r="AH29">
        <f>IF(AND('5 App'!F29&lt;Tmax, NOT('5 App'!$H29="")),'5 App'!$H29,4)</f>
        <v>4</v>
      </c>
      <c r="AI29"/>
    </row>
    <row r="30" spans="1:35" ht="20.399999999999999" x14ac:dyDescent="0.25">
      <c r="A30" s="135" t="s">
        <v>1277</v>
      </c>
      <c r="B30" s="128" t="s">
        <v>42</v>
      </c>
      <c r="C30" s="243"/>
      <c r="D30" s="243"/>
      <c r="E30" s="304"/>
      <c r="F30" s="304"/>
      <c r="G30" s="133">
        <v>2</v>
      </c>
      <c r="H30" s="133"/>
      <c r="I30" s="136"/>
      <c r="J30" s="136"/>
      <c r="K30" s="135"/>
      <c r="L30" s="213"/>
      <c r="M30" s="213"/>
      <c r="N30" s="213"/>
      <c r="O30" s="213"/>
      <c r="P30" s="213"/>
      <c r="Q30" s="213"/>
      <c r="R30" s="213"/>
      <c r="S30" s="213"/>
      <c r="T30" s="213"/>
      <c r="U30" s="213"/>
      <c r="V30" s="213"/>
      <c r="W30" s="213"/>
      <c r="X30" s="213"/>
      <c r="Y30" s="213"/>
      <c r="AA30">
        <f>IF(AND('5 App'!C30&gt;Tmin, NOT('5 App'!$I30="")),'5 App'!$I30,0)</f>
        <v>0</v>
      </c>
      <c r="AB30">
        <f>IF(AND('5 App'!D30&gt;Tmin, NOT('5 App'!$I30="")),'5 App'!$I30,0)</f>
        <v>0</v>
      </c>
      <c r="AC30">
        <f>IF(AND('5 App'!E30&gt;Tmin, NOT('5 App'!$I30="")),'5 App'!$I30,0)</f>
        <v>0</v>
      </c>
      <c r="AD30">
        <f>IF(AND('5 App'!F30&gt;Tmin, NOT('5 App'!$I30="")),'5 App'!$I30,0)</f>
        <v>0</v>
      </c>
      <c r="AE30">
        <f>IF(AND('5 App'!C30&lt;Tmax, NOT('5 App'!$H30="")),'5 App'!$H30,4)</f>
        <v>4</v>
      </c>
      <c r="AF30">
        <f>IF(AND('5 App'!D30&lt;Tmax, NOT('5 App'!$H30="")),'5 App'!$H30,4)</f>
        <v>4</v>
      </c>
      <c r="AG30">
        <f>IF(AND('5 App'!E30&lt;Tmax, NOT('5 App'!$H30="")),'5 App'!$H30,4)</f>
        <v>4</v>
      </c>
      <c r="AH30">
        <f>IF(AND('5 App'!F30&lt;Tmax, NOT('5 App'!$H30="")),'5 App'!$H30,4)</f>
        <v>4</v>
      </c>
      <c r="AI30"/>
    </row>
    <row r="31" spans="1:35" x14ac:dyDescent="0.25">
      <c r="A31" s="135" t="s">
        <v>1278</v>
      </c>
      <c r="B31" s="128" t="s">
        <v>554</v>
      </c>
      <c r="C31" s="243"/>
      <c r="D31" s="243"/>
      <c r="E31" s="304"/>
      <c r="F31" s="304"/>
      <c r="G31" s="133">
        <v>4</v>
      </c>
      <c r="H31" s="133"/>
      <c r="I31" s="136"/>
      <c r="J31" s="136"/>
      <c r="K31" s="135"/>
      <c r="L31" s="213"/>
      <c r="M31" s="213"/>
      <c r="N31" s="213"/>
      <c r="O31" s="213"/>
      <c r="P31" s="213"/>
      <c r="Q31" s="213"/>
      <c r="R31" s="213"/>
      <c r="S31" s="213"/>
      <c r="T31" s="213"/>
      <c r="U31" s="213"/>
      <c r="V31" s="213"/>
      <c r="W31" s="213"/>
      <c r="X31" s="213"/>
      <c r="Y31" s="213"/>
      <c r="AA31">
        <f>IF(AND('5 App'!C31&gt;Tmin, NOT('5 App'!$I31="")),'5 App'!$I31,0)</f>
        <v>0</v>
      </c>
      <c r="AB31">
        <f>IF(AND('5 App'!D31&gt;Tmin, NOT('5 App'!$I31="")),'5 App'!$I31,0)</f>
        <v>0</v>
      </c>
      <c r="AC31">
        <f>IF(AND('5 App'!E31&gt;Tmin, NOT('5 App'!$I31="")),'5 App'!$I31,0)</f>
        <v>0</v>
      </c>
      <c r="AD31">
        <f>IF(AND('5 App'!F31&gt;Tmin, NOT('5 App'!$I31="")),'5 App'!$I31,0)</f>
        <v>0</v>
      </c>
      <c r="AE31">
        <f>IF(AND('5 App'!C31&lt;Tmax, NOT('5 App'!$H31="")),'5 App'!$H31,4)</f>
        <v>4</v>
      </c>
      <c r="AF31">
        <f>IF(AND('5 App'!D31&lt;Tmax, NOT('5 App'!$H31="")),'5 App'!$H31,4)</f>
        <v>4</v>
      </c>
      <c r="AG31">
        <f>IF(AND('5 App'!E31&lt;Tmax, NOT('5 App'!$H31="")),'5 App'!$H31,4)</f>
        <v>4</v>
      </c>
      <c r="AH31">
        <f>IF(AND('5 App'!F31&lt;Tmax, NOT('5 App'!$H31="")),'5 App'!$H31,4)</f>
        <v>4</v>
      </c>
      <c r="AI31"/>
    </row>
    <row r="32" spans="1:35" x14ac:dyDescent="0.25">
      <c r="A32" s="135" t="s">
        <v>1279</v>
      </c>
      <c r="B32" s="128" t="s">
        <v>555</v>
      </c>
      <c r="C32" s="243"/>
      <c r="D32" s="243"/>
      <c r="E32" s="304"/>
      <c r="F32" s="304"/>
      <c r="G32" s="133">
        <v>4</v>
      </c>
      <c r="H32" s="133"/>
      <c r="I32" s="136"/>
      <c r="J32" s="136"/>
      <c r="K32" s="135"/>
      <c r="L32" s="213"/>
      <c r="M32" s="213"/>
      <c r="N32" s="213"/>
      <c r="O32" s="213"/>
      <c r="P32" s="213"/>
      <c r="Q32" s="213"/>
      <c r="R32" s="213"/>
      <c r="S32" s="213"/>
      <c r="T32" s="213"/>
      <c r="U32" s="213"/>
      <c r="V32" s="213"/>
      <c r="W32" s="213"/>
      <c r="X32" s="213"/>
      <c r="Y32" s="213"/>
      <c r="AA32">
        <f>IF(AND('5 App'!C32&gt;Tmin, NOT('5 App'!$I32="")),'5 App'!$I32,0)</f>
        <v>0</v>
      </c>
      <c r="AB32">
        <f>IF(AND('5 App'!D32&gt;Tmin, NOT('5 App'!$I32="")),'5 App'!$I32,0)</f>
        <v>0</v>
      </c>
      <c r="AC32">
        <f>IF(AND('5 App'!E32&gt;Tmin, NOT('5 App'!$I32="")),'5 App'!$I32,0)</f>
        <v>0</v>
      </c>
      <c r="AD32">
        <f>IF(AND('5 App'!F32&gt;Tmin, NOT('5 App'!$I32="")),'5 App'!$I32,0)</f>
        <v>0</v>
      </c>
      <c r="AE32">
        <f>IF(AND('5 App'!C32&lt;Tmax, NOT('5 App'!$H32="")),'5 App'!$H32,4)</f>
        <v>4</v>
      </c>
      <c r="AF32">
        <f>IF(AND('5 App'!D32&lt;Tmax, NOT('5 App'!$H32="")),'5 App'!$H32,4)</f>
        <v>4</v>
      </c>
      <c r="AG32">
        <f>IF(AND('5 App'!E32&lt;Tmax, NOT('5 App'!$H32="")),'5 App'!$H32,4)</f>
        <v>4</v>
      </c>
      <c r="AH32">
        <f>IF(AND('5 App'!F32&lt;Tmax, NOT('5 App'!$H32="")),'5 App'!$H32,4)</f>
        <v>4</v>
      </c>
      <c r="AI32"/>
    </row>
    <row r="33" spans="1:35" ht="15" customHeight="1" x14ac:dyDescent="0.25">
      <c r="A33" s="135" t="s">
        <v>1280</v>
      </c>
      <c r="B33" s="128" t="s">
        <v>607</v>
      </c>
      <c r="C33" s="243"/>
      <c r="D33" s="243"/>
      <c r="E33" s="304"/>
      <c r="F33" s="304"/>
      <c r="G33" s="133">
        <v>4</v>
      </c>
      <c r="H33" s="133"/>
      <c r="I33" s="136"/>
      <c r="J33" s="136"/>
      <c r="K33" s="135"/>
      <c r="L33" s="213"/>
      <c r="M33" s="213"/>
      <c r="N33" s="213"/>
      <c r="O33" s="213"/>
      <c r="P33" s="213"/>
      <c r="Q33" s="213"/>
      <c r="R33" s="213"/>
      <c r="S33" s="213"/>
      <c r="T33" s="213"/>
      <c r="U33" s="213"/>
      <c r="V33" s="213"/>
      <c r="W33" s="213"/>
      <c r="X33" s="213"/>
      <c r="Y33" s="213"/>
      <c r="AA33">
        <f>IF(AND('5 App'!C33&gt;Tmin, NOT('5 App'!$I33="")),'5 App'!$I33,0)</f>
        <v>0</v>
      </c>
      <c r="AB33">
        <f>IF(AND('5 App'!D33&gt;Tmin, NOT('5 App'!$I33="")),'5 App'!$I33,0)</f>
        <v>0</v>
      </c>
      <c r="AC33">
        <f>IF(AND('5 App'!E33&gt;Tmin, NOT('5 App'!$I33="")),'5 App'!$I33,0)</f>
        <v>0</v>
      </c>
      <c r="AD33">
        <f>IF(AND('5 App'!F33&gt;Tmin, NOT('5 App'!$I33="")),'5 App'!$I33,0)</f>
        <v>0</v>
      </c>
      <c r="AE33">
        <f>IF(AND('5 App'!C33&lt;Tmax, NOT('5 App'!$H33="")),'5 App'!$H33,4)</f>
        <v>4</v>
      </c>
      <c r="AF33">
        <f>IF(AND('5 App'!D33&lt;Tmax, NOT('5 App'!$H33="")),'5 App'!$H33,4)</f>
        <v>4</v>
      </c>
      <c r="AG33">
        <f>IF(AND('5 App'!E33&lt;Tmax, NOT('5 App'!$H33="")),'5 App'!$H33,4)</f>
        <v>4</v>
      </c>
      <c r="AH33">
        <f>IF(AND('5 App'!F33&lt;Tmax, NOT('5 App'!$H33="")),'5 App'!$H33,4)</f>
        <v>4</v>
      </c>
      <c r="AI33"/>
    </row>
    <row r="34" spans="1:35" x14ac:dyDescent="0.25">
      <c r="A34" s="135" t="s">
        <v>1281</v>
      </c>
      <c r="B34" s="128" t="s">
        <v>608</v>
      </c>
      <c r="C34" s="243"/>
      <c r="D34" s="243"/>
      <c r="E34" s="304"/>
      <c r="F34" s="304"/>
      <c r="G34" s="133">
        <v>4</v>
      </c>
      <c r="H34" s="133"/>
      <c r="I34" s="136"/>
      <c r="J34" s="136"/>
      <c r="K34" s="135"/>
      <c r="L34" s="213"/>
      <c r="M34" s="213"/>
      <c r="N34" s="213"/>
      <c r="O34" s="213"/>
      <c r="P34" s="213"/>
      <c r="Q34" s="213"/>
      <c r="R34" s="213"/>
      <c r="S34" s="213"/>
      <c r="T34" s="213"/>
      <c r="U34" s="213"/>
      <c r="V34" s="213"/>
      <c r="W34" s="213"/>
      <c r="X34" s="213"/>
      <c r="Y34" s="213"/>
      <c r="AA34">
        <f>IF(AND('5 App'!C34&gt;Tmin, NOT('5 App'!$I34="")),'5 App'!$I34,0)</f>
        <v>0</v>
      </c>
      <c r="AB34">
        <f>IF(AND('5 App'!D34&gt;Tmin, NOT('5 App'!$I34="")),'5 App'!$I34,0)</f>
        <v>0</v>
      </c>
      <c r="AC34">
        <f>IF(AND('5 App'!E34&gt;Tmin, NOT('5 App'!$I34="")),'5 App'!$I34,0)</f>
        <v>0</v>
      </c>
      <c r="AD34">
        <f>IF(AND('5 App'!F34&gt;Tmin, NOT('5 App'!$I34="")),'5 App'!$I34,0)</f>
        <v>0</v>
      </c>
      <c r="AE34">
        <f>IF(AND('5 App'!C34&lt;Tmax, NOT('5 App'!$H34="")),'5 App'!$H34,4)</f>
        <v>4</v>
      </c>
      <c r="AF34">
        <f>IF(AND('5 App'!D34&lt;Tmax, NOT('5 App'!$H34="")),'5 App'!$H34,4)</f>
        <v>4</v>
      </c>
      <c r="AG34">
        <f>IF(AND('5 App'!E34&lt;Tmax, NOT('5 App'!$H34="")),'5 App'!$H34,4)</f>
        <v>4</v>
      </c>
      <c r="AH34">
        <f>IF(AND('5 App'!F34&lt;Tmax, NOT('5 App'!$H34="")),'5 App'!$H34,4)</f>
        <v>4</v>
      </c>
      <c r="AI34"/>
    </row>
    <row r="35" spans="1:35" x14ac:dyDescent="0.25">
      <c r="A35" s="135" t="s">
        <v>1282</v>
      </c>
      <c r="B35" s="128" t="s">
        <v>259</v>
      </c>
      <c r="C35" s="243"/>
      <c r="D35" s="243"/>
      <c r="E35" s="304"/>
      <c r="F35" s="304"/>
      <c r="G35" s="133">
        <v>2</v>
      </c>
      <c r="H35" s="133">
        <v>3</v>
      </c>
      <c r="I35" s="136"/>
      <c r="J35" s="136"/>
      <c r="K35" s="135"/>
      <c r="L35" s="213"/>
      <c r="M35" s="213"/>
      <c r="N35" s="213"/>
      <c r="O35" s="213"/>
      <c r="P35" s="213"/>
      <c r="Q35" s="213"/>
      <c r="R35" s="213"/>
      <c r="S35" s="213"/>
      <c r="T35" s="213"/>
      <c r="U35" s="213"/>
      <c r="V35" s="213"/>
      <c r="W35" s="213"/>
      <c r="X35" s="213"/>
      <c r="Y35" s="213"/>
      <c r="AA35">
        <f>IF(AND('5 App'!C35&gt;Tmin, NOT('5 App'!$I35="")),'5 App'!$I35,0)</f>
        <v>0</v>
      </c>
      <c r="AB35">
        <f>IF(AND('5 App'!D35&gt;Tmin, NOT('5 App'!$I35="")),'5 App'!$I35,0)</f>
        <v>0</v>
      </c>
      <c r="AC35">
        <f>IF(AND('5 App'!E35&gt;Tmin, NOT('5 App'!$I35="")),'5 App'!$I35,0)</f>
        <v>0</v>
      </c>
      <c r="AD35">
        <f>IF(AND('5 App'!F35&gt;Tmin, NOT('5 App'!$I35="")),'5 App'!$I35,0)</f>
        <v>0</v>
      </c>
      <c r="AE35">
        <f>IF(AND('5 App'!C35&lt;Tmax, NOT('5 App'!$H35="")),'5 App'!$H35,4)</f>
        <v>3</v>
      </c>
      <c r="AF35">
        <f>IF(AND('5 App'!D35&lt;Tmax, NOT('5 App'!$H35="")),'5 App'!$H35,4)</f>
        <v>3</v>
      </c>
      <c r="AG35">
        <f>IF(AND('5 App'!E35&lt;Tmax, NOT('5 App'!$H35="")),'5 App'!$H35,4)</f>
        <v>3</v>
      </c>
      <c r="AH35">
        <f>IF(AND('5 App'!F35&lt;Tmax, NOT('5 App'!$H35="")),'5 App'!$H35,4)</f>
        <v>3</v>
      </c>
      <c r="AI35"/>
    </row>
    <row r="36" spans="1:35" x14ac:dyDescent="0.25">
      <c r="A36" s="135" t="s">
        <v>4391</v>
      </c>
      <c r="B36" s="128" t="s">
        <v>6247</v>
      </c>
      <c r="C36" s="243"/>
      <c r="D36" s="243"/>
      <c r="E36" s="304"/>
      <c r="F36" s="304"/>
      <c r="G36" s="133"/>
      <c r="H36" s="133"/>
      <c r="I36" s="136"/>
      <c r="J36" s="136"/>
      <c r="K36" s="135"/>
      <c r="L36" s="213"/>
      <c r="M36" s="213"/>
      <c r="N36" s="213"/>
      <c r="O36" s="213"/>
      <c r="P36" s="213"/>
      <c r="Q36" s="213"/>
      <c r="R36" s="213"/>
      <c r="S36" s="213"/>
      <c r="T36" s="213"/>
      <c r="U36" s="213"/>
      <c r="V36" s="213"/>
      <c r="W36" s="213"/>
      <c r="X36" s="213"/>
      <c r="Y36" s="213"/>
      <c r="AA36"/>
      <c r="AB36"/>
      <c r="AC36"/>
      <c r="AD36"/>
      <c r="AE36"/>
      <c r="AF36"/>
      <c r="AG36"/>
      <c r="AH36"/>
      <c r="AI36"/>
    </row>
    <row r="37" spans="1:35" x14ac:dyDescent="0.25">
      <c r="A37" s="135" t="s">
        <v>6246</v>
      </c>
      <c r="B37" s="128" t="s">
        <v>6248</v>
      </c>
      <c r="C37" s="243"/>
      <c r="D37" s="243"/>
      <c r="E37" s="304"/>
      <c r="F37" s="304"/>
      <c r="G37" s="133">
        <v>2</v>
      </c>
      <c r="H37" s="133"/>
      <c r="I37" s="136"/>
      <c r="J37" s="136"/>
      <c r="K37" s="135"/>
      <c r="L37" s="213"/>
      <c r="M37" s="213"/>
      <c r="N37" s="213"/>
      <c r="O37" s="213"/>
      <c r="P37" s="213"/>
      <c r="Q37" s="213"/>
      <c r="R37" s="213"/>
      <c r="S37" s="213"/>
      <c r="T37" s="213"/>
      <c r="U37" s="213"/>
      <c r="V37" s="213"/>
      <c r="W37" s="213"/>
      <c r="X37" s="213"/>
      <c r="Y37" s="213"/>
      <c r="AA37">
        <f>IF(AND('5 App'!C37&gt;Tmin, NOT('5 App'!$I37="")),'5 App'!$I37,0)</f>
        <v>0</v>
      </c>
      <c r="AB37">
        <f>IF(AND('5 App'!D37&gt;Tmin, NOT('5 App'!$I37="")),'5 App'!$I37,0)</f>
        <v>0</v>
      </c>
      <c r="AC37">
        <f>IF(AND('5 App'!E37&gt;Tmin, NOT('5 App'!$I37="")),'5 App'!$I37,0)</f>
        <v>0</v>
      </c>
      <c r="AD37">
        <f>IF(AND('5 App'!F37&gt;Tmin, NOT('5 App'!$I37="")),'5 App'!$I37,0)</f>
        <v>0</v>
      </c>
      <c r="AE37">
        <f>IF(AND('5 App'!C37&lt;Tmax, NOT('5 App'!$H37="")),'5 App'!$H37,4)</f>
        <v>4</v>
      </c>
      <c r="AF37">
        <f>IF(AND('5 App'!D37&lt;Tmax, NOT('5 App'!$H37="")),'5 App'!$H37,4)</f>
        <v>4</v>
      </c>
      <c r="AG37">
        <f>IF(AND('5 App'!E37&lt;Tmax, NOT('5 App'!$H37="")),'5 App'!$H37,4)</f>
        <v>4</v>
      </c>
      <c r="AH37">
        <f>IF(AND('5 App'!F37&lt;Tmax, NOT('5 App'!$H37="")),'5 App'!$H37,4)</f>
        <v>4</v>
      </c>
      <c r="AI37"/>
    </row>
    <row r="38" spans="1:35" ht="20.399999999999999" x14ac:dyDescent="0.25">
      <c r="A38" s="135" t="s">
        <v>6253</v>
      </c>
      <c r="B38" s="128" t="s">
        <v>6249</v>
      </c>
      <c r="C38" s="243"/>
      <c r="D38" s="243"/>
      <c r="E38" s="304"/>
      <c r="F38" s="304"/>
      <c r="G38" s="133">
        <v>4</v>
      </c>
      <c r="H38" s="133">
        <v>2</v>
      </c>
      <c r="I38" s="136"/>
      <c r="J38" s="136"/>
      <c r="K38" s="135"/>
      <c r="L38" s="213"/>
      <c r="M38" s="213"/>
      <c r="N38" s="213"/>
      <c r="O38" s="213"/>
      <c r="P38" s="213"/>
      <c r="Q38" s="213"/>
      <c r="R38" s="213"/>
      <c r="S38" s="213"/>
      <c r="T38" s="213"/>
      <c r="U38" s="213"/>
      <c r="V38" s="213"/>
      <c r="W38" s="213"/>
      <c r="X38" s="213"/>
      <c r="Y38" s="213"/>
      <c r="AA38">
        <f>IF(AND('5 App'!C38&gt;Tmin, NOT('5 App'!$I38="")),'5 App'!$I38,0)</f>
        <v>0</v>
      </c>
      <c r="AB38">
        <f>IF(AND('5 App'!D38&gt;Tmin, NOT('5 App'!$I38="")),'5 App'!$I38,0)</f>
        <v>0</v>
      </c>
      <c r="AC38">
        <f>IF(AND('5 App'!E38&gt;Tmin, NOT('5 App'!$I38="")),'5 App'!$I38,0)</f>
        <v>0</v>
      </c>
      <c r="AD38">
        <f>IF(AND('5 App'!F38&gt;Tmin, NOT('5 App'!$I38="")),'5 App'!$I38,0)</f>
        <v>0</v>
      </c>
      <c r="AE38">
        <f>IF(AND('5 App'!C38&lt;Tmax, NOT('5 App'!$H38="")),'5 App'!$H38,4)</f>
        <v>2</v>
      </c>
      <c r="AF38">
        <f>IF(AND('5 App'!D38&lt;Tmax, NOT('5 App'!$H38="")),'5 App'!$H38,4)</f>
        <v>2</v>
      </c>
      <c r="AG38">
        <f>IF(AND('5 App'!E38&lt;Tmax, NOT('5 App'!$H38="")),'5 App'!$H38,4)</f>
        <v>2</v>
      </c>
      <c r="AH38">
        <f>IF(AND('5 App'!F38&lt;Tmax, NOT('5 App'!$H38="")),'5 App'!$H38,4)</f>
        <v>2</v>
      </c>
      <c r="AI38"/>
    </row>
    <row r="39" spans="1:35" x14ac:dyDescent="0.25">
      <c r="A39" s="135" t="s">
        <v>6254</v>
      </c>
      <c r="B39" s="128" t="s">
        <v>6250</v>
      </c>
      <c r="C39" s="243"/>
      <c r="D39" s="243"/>
      <c r="E39" s="304"/>
      <c r="F39" s="304"/>
      <c r="G39" s="133">
        <v>4</v>
      </c>
      <c r="H39" s="133"/>
      <c r="I39" s="136"/>
      <c r="J39" s="136"/>
      <c r="K39" s="135"/>
      <c r="L39" s="213"/>
      <c r="M39" s="213"/>
      <c r="N39" s="213"/>
      <c r="O39" s="213"/>
      <c r="P39" s="213"/>
      <c r="Q39" s="213"/>
      <c r="R39" s="213"/>
      <c r="S39" s="213"/>
      <c r="T39" s="213"/>
      <c r="U39" s="213"/>
      <c r="V39" s="213"/>
      <c r="W39" s="213"/>
      <c r="X39" s="213"/>
      <c r="Y39" s="213"/>
      <c r="AA39">
        <f>IF(AND('5 App'!C39&gt;Tmin, NOT('5 App'!$I39="")),'5 App'!$I39,0)</f>
        <v>0</v>
      </c>
      <c r="AB39">
        <f>IF(AND('5 App'!D39&gt;Tmin, NOT('5 App'!$I39="")),'5 App'!$I39,0)</f>
        <v>0</v>
      </c>
      <c r="AC39">
        <f>IF(AND('5 App'!E39&gt;Tmin, NOT('5 App'!$I39="")),'5 App'!$I39,0)</f>
        <v>0</v>
      </c>
      <c r="AD39">
        <f>IF(AND('5 App'!F39&gt;Tmin, NOT('5 App'!$I39="")),'5 App'!$I39,0)</f>
        <v>0</v>
      </c>
      <c r="AE39">
        <f>IF(AND('5 App'!C39&lt;Tmax, NOT('5 App'!$H39="")),'5 App'!$H39,4)</f>
        <v>4</v>
      </c>
      <c r="AF39">
        <f>IF(AND('5 App'!D39&lt;Tmax, NOT('5 App'!$H39="")),'5 App'!$H39,4)</f>
        <v>4</v>
      </c>
      <c r="AG39">
        <f>IF(AND('5 App'!E39&lt;Tmax, NOT('5 App'!$H39="")),'5 App'!$H39,4)</f>
        <v>4</v>
      </c>
      <c r="AH39">
        <f>IF(AND('5 App'!F39&lt;Tmax, NOT('5 App'!$H39="")),'5 App'!$H39,4)</f>
        <v>4</v>
      </c>
      <c r="AI39"/>
    </row>
    <row r="40" spans="1:35" x14ac:dyDescent="0.25">
      <c r="A40" s="135" t="s">
        <v>6255</v>
      </c>
      <c r="B40" s="128" t="s">
        <v>6251</v>
      </c>
      <c r="C40" s="243"/>
      <c r="D40" s="243"/>
      <c r="E40" s="304"/>
      <c r="F40" s="304"/>
      <c r="G40" s="133">
        <v>2</v>
      </c>
      <c r="H40" s="133"/>
      <c r="I40" s="136"/>
      <c r="J40" s="136"/>
      <c r="K40" s="135"/>
      <c r="L40" s="213"/>
      <c r="M40" s="213"/>
      <c r="N40" s="213"/>
      <c r="O40" s="213"/>
      <c r="P40" s="213"/>
      <c r="Q40" s="213"/>
      <c r="R40" s="213"/>
      <c r="S40" s="213"/>
      <c r="T40" s="213"/>
      <c r="U40" s="213"/>
      <c r="V40" s="213"/>
      <c r="W40" s="213"/>
      <c r="X40" s="213"/>
      <c r="Y40" s="213"/>
      <c r="AA40">
        <f>IF(AND('5 App'!C40&gt;Tmin, NOT('5 App'!$I40="")),'5 App'!$I40,0)</f>
        <v>0</v>
      </c>
      <c r="AB40">
        <f>IF(AND('5 App'!D40&gt;Tmin, NOT('5 App'!$I40="")),'5 App'!$I40,0)</f>
        <v>0</v>
      </c>
      <c r="AC40">
        <f>IF(AND('5 App'!E40&gt;Tmin, NOT('5 App'!$I40="")),'5 App'!$I40,0)</f>
        <v>0</v>
      </c>
      <c r="AD40">
        <f>IF(AND('5 App'!F40&gt;Tmin, NOT('5 App'!$I40="")),'5 App'!$I40,0)</f>
        <v>0</v>
      </c>
      <c r="AE40">
        <f>IF(AND('5 App'!C40&lt;Tmax, NOT('5 App'!$H40="")),'5 App'!$H40,4)</f>
        <v>4</v>
      </c>
      <c r="AF40">
        <f>IF(AND('5 App'!D40&lt;Tmax, NOT('5 App'!$H40="")),'5 App'!$H40,4)</f>
        <v>4</v>
      </c>
      <c r="AG40">
        <f>IF(AND('5 App'!E40&lt;Tmax, NOT('5 App'!$H40="")),'5 App'!$H40,4)</f>
        <v>4</v>
      </c>
      <c r="AH40">
        <f>IF(AND('5 App'!F40&lt;Tmax, NOT('5 App'!$H40="")),'5 App'!$H40,4)</f>
        <v>4</v>
      </c>
      <c r="AI40"/>
    </row>
    <row r="41" spans="1:35" x14ac:dyDescent="0.25">
      <c r="A41" s="135" t="s">
        <v>6256</v>
      </c>
      <c r="B41" s="128" t="s">
        <v>6252</v>
      </c>
      <c r="C41" s="243"/>
      <c r="D41" s="243"/>
      <c r="E41" s="304"/>
      <c r="F41" s="304"/>
      <c r="G41" s="133">
        <v>4</v>
      </c>
      <c r="H41" s="133"/>
      <c r="I41" s="136"/>
      <c r="J41" s="136"/>
      <c r="K41" s="135"/>
      <c r="L41" s="213"/>
      <c r="M41" s="213"/>
      <c r="N41" s="213"/>
      <c r="O41" s="213"/>
      <c r="P41" s="213"/>
      <c r="Q41" s="213"/>
      <c r="R41" s="213"/>
      <c r="S41" s="213"/>
      <c r="T41" s="213"/>
      <c r="U41" s="213"/>
      <c r="V41" s="213"/>
      <c r="W41" s="213"/>
      <c r="X41" s="213"/>
      <c r="Y41" s="213"/>
      <c r="AA41">
        <f>IF(AND('5 App'!C41&gt;Tmin, NOT('5 App'!$I41="")),'5 App'!$I41,0)</f>
        <v>0</v>
      </c>
      <c r="AB41">
        <f>IF(AND('5 App'!D41&gt;Tmin, NOT('5 App'!$I41="")),'5 App'!$I41,0)</f>
        <v>0</v>
      </c>
      <c r="AC41">
        <f>IF(AND('5 App'!E41&gt;Tmin, NOT('5 App'!$I41="")),'5 App'!$I41,0)</f>
        <v>0</v>
      </c>
      <c r="AD41">
        <f>IF(AND('5 App'!F41&gt;Tmin, NOT('5 App'!$I41="")),'5 App'!$I41,0)</f>
        <v>0</v>
      </c>
      <c r="AE41">
        <f>IF(AND('5 App'!C41&lt;Tmax, NOT('5 App'!$H41="")),'5 App'!$H41,4)</f>
        <v>4</v>
      </c>
      <c r="AF41">
        <f>IF(AND('5 App'!D41&lt;Tmax, NOT('5 App'!$H41="")),'5 App'!$H41,4)</f>
        <v>4</v>
      </c>
      <c r="AG41">
        <f>IF(AND('5 App'!E41&lt;Tmax, NOT('5 App'!$H41="")),'5 App'!$H41,4)</f>
        <v>4</v>
      </c>
      <c r="AH41">
        <f>IF(AND('5 App'!F41&lt;Tmax, NOT('5 App'!$H41="")),'5 App'!$H41,4)</f>
        <v>4</v>
      </c>
      <c r="AI41"/>
    </row>
    <row r="42" spans="1:35" x14ac:dyDescent="0.25">
      <c r="A42" s="135" t="s">
        <v>6257</v>
      </c>
      <c r="B42" s="128" t="s">
        <v>259</v>
      </c>
      <c r="C42" s="243"/>
      <c r="D42" s="243"/>
      <c r="E42" s="304"/>
      <c r="F42" s="304"/>
      <c r="G42" s="133">
        <v>2</v>
      </c>
      <c r="H42" s="133">
        <v>3</v>
      </c>
      <c r="I42" s="136"/>
      <c r="J42" s="136"/>
      <c r="K42" s="135"/>
      <c r="L42" s="213"/>
      <c r="M42" s="213"/>
      <c r="N42" s="213"/>
      <c r="O42" s="213"/>
      <c r="P42" s="213"/>
      <c r="Q42" s="213"/>
      <c r="R42" s="213"/>
      <c r="S42" s="213"/>
      <c r="T42" s="213"/>
      <c r="U42" s="213"/>
      <c r="V42" s="213"/>
      <c r="W42" s="213"/>
      <c r="X42" s="213"/>
      <c r="Y42" s="213"/>
      <c r="AA42">
        <f>IF(AND('5 App'!C42&gt;Tmin, NOT('5 App'!$I42="")),'5 App'!$I42,0)</f>
        <v>0</v>
      </c>
      <c r="AB42">
        <f>IF(AND('5 App'!D42&gt;Tmin, NOT('5 App'!$I42="")),'5 App'!$I42,0)</f>
        <v>0</v>
      </c>
      <c r="AC42">
        <f>IF(AND('5 App'!E42&gt;Tmin, NOT('5 App'!$I42="")),'5 App'!$I42,0)</f>
        <v>0</v>
      </c>
      <c r="AD42">
        <f>IF(AND('5 App'!F42&gt;Tmin, NOT('5 App'!$I42="")),'5 App'!$I42,0)</f>
        <v>0</v>
      </c>
      <c r="AE42">
        <f>IF(AND('5 App'!C42&lt;Tmax, NOT('5 App'!$H42="")),'5 App'!$H42,4)</f>
        <v>3</v>
      </c>
      <c r="AF42">
        <f>IF(AND('5 App'!D42&lt;Tmax, NOT('5 App'!$H42="")),'5 App'!$H42,4)</f>
        <v>3</v>
      </c>
      <c r="AG42">
        <f>IF(AND('5 App'!E42&lt;Tmax, NOT('5 App'!$H42="")),'5 App'!$H42,4)</f>
        <v>3</v>
      </c>
      <c r="AH42">
        <f>IF(AND('5 App'!F42&lt;Tmax, NOT('5 App'!$H42="")),'5 App'!$H42,4)</f>
        <v>3</v>
      </c>
      <c r="AI42"/>
    </row>
    <row r="43" spans="1:35" x14ac:dyDescent="0.25">
      <c r="A43" s="135" t="s">
        <v>4626</v>
      </c>
      <c r="B43" s="128" t="s">
        <v>4625</v>
      </c>
      <c r="C43" s="243"/>
      <c r="D43" s="243"/>
      <c r="E43" s="304"/>
      <c r="F43" s="304"/>
      <c r="G43" s="133"/>
      <c r="H43" s="133"/>
      <c r="I43" s="136"/>
      <c r="J43" s="136"/>
      <c r="K43" s="135"/>
      <c r="L43" s="213"/>
      <c r="M43" s="213"/>
      <c r="N43" s="213"/>
      <c r="O43" s="213"/>
      <c r="P43" s="213"/>
      <c r="Q43" s="213"/>
      <c r="R43" s="213"/>
      <c r="S43" s="213"/>
      <c r="T43" s="213"/>
      <c r="U43" s="213"/>
      <c r="V43" s="213"/>
      <c r="W43" s="213"/>
      <c r="X43" s="213"/>
      <c r="Y43" s="213"/>
      <c r="AA43"/>
      <c r="AB43"/>
      <c r="AC43"/>
      <c r="AD43"/>
      <c r="AE43"/>
      <c r="AF43"/>
      <c r="AG43"/>
      <c r="AH43"/>
      <c r="AI43"/>
    </row>
    <row r="44" spans="1:35" x14ac:dyDescent="0.25">
      <c r="A44" s="135" t="s">
        <v>6261</v>
      </c>
      <c r="B44" s="128" t="s">
        <v>6258</v>
      </c>
      <c r="C44" s="243"/>
      <c r="D44" s="243"/>
      <c r="E44" s="304"/>
      <c r="F44" s="304"/>
      <c r="G44" s="133">
        <v>2</v>
      </c>
      <c r="H44" s="133"/>
      <c r="I44" s="136"/>
      <c r="J44" s="136"/>
      <c r="K44" s="135"/>
      <c r="L44" s="213"/>
      <c r="M44" s="213"/>
      <c r="N44" s="213"/>
      <c r="O44" s="213"/>
      <c r="P44" s="213"/>
      <c r="Q44" s="213"/>
      <c r="R44" s="213"/>
      <c r="S44" s="213"/>
      <c r="T44" s="213"/>
      <c r="U44" s="213"/>
      <c r="V44" s="213"/>
      <c r="W44" s="213"/>
      <c r="X44" s="213"/>
      <c r="Y44" s="213"/>
      <c r="AA44">
        <f>IF(AND('5 App'!C44&gt;Tmin, NOT('5 App'!$I44="")),'5 App'!$I44,0)</f>
        <v>0</v>
      </c>
      <c r="AB44">
        <f>IF(AND('5 App'!D44&gt;Tmin, NOT('5 App'!$I44="")),'5 App'!$I44,0)</f>
        <v>0</v>
      </c>
      <c r="AC44">
        <f>IF(AND('5 App'!E44&gt;Tmin, NOT('5 App'!$I44="")),'5 App'!$I44,0)</f>
        <v>0</v>
      </c>
      <c r="AD44">
        <f>IF(AND('5 App'!F44&gt;Tmin, NOT('5 App'!$I44="")),'5 App'!$I44,0)</f>
        <v>0</v>
      </c>
      <c r="AE44">
        <f>IF(AND('5 App'!C44&lt;Tmax, NOT('5 App'!$H44="")),'5 App'!$H44,4)</f>
        <v>4</v>
      </c>
      <c r="AF44">
        <f>IF(AND('5 App'!D44&lt;Tmax, NOT('5 App'!$H44="")),'5 App'!$H44,4)</f>
        <v>4</v>
      </c>
      <c r="AG44">
        <f>IF(AND('5 App'!E44&lt;Tmax, NOT('5 App'!$H44="")),'5 App'!$H44,4)</f>
        <v>4</v>
      </c>
      <c r="AH44">
        <f>IF(AND('5 App'!F44&lt;Tmax, NOT('5 App'!$H44="")),'5 App'!$H44,4)</f>
        <v>4</v>
      </c>
      <c r="AI44"/>
    </row>
    <row r="45" spans="1:35" ht="20.399999999999999" x14ac:dyDescent="0.25">
      <c r="A45" s="135" t="s">
        <v>6262</v>
      </c>
      <c r="B45" s="128" t="s">
        <v>6754</v>
      </c>
      <c r="C45" s="243"/>
      <c r="D45" s="243"/>
      <c r="E45" s="304"/>
      <c r="F45" s="304"/>
      <c r="G45" s="133">
        <v>4</v>
      </c>
      <c r="H45" s="133">
        <v>2</v>
      </c>
      <c r="I45" s="136"/>
      <c r="J45" s="136"/>
      <c r="K45" s="135"/>
      <c r="L45" s="213"/>
      <c r="M45" s="213"/>
      <c r="N45" s="213"/>
      <c r="O45" s="213"/>
      <c r="P45" s="213"/>
      <c r="Q45" s="213"/>
      <c r="R45" s="213"/>
      <c r="S45" s="213"/>
      <c r="T45" s="213"/>
      <c r="U45" s="213"/>
      <c r="V45" s="213"/>
      <c r="W45" s="213"/>
      <c r="X45" s="213"/>
      <c r="Y45" s="213"/>
      <c r="AA45">
        <f>IF(AND('5 App'!C45&gt;Tmin, NOT('5 App'!$I45="")),'5 App'!$I45,0)</f>
        <v>0</v>
      </c>
      <c r="AB45">
        <f>IF(AND('5 App'!D45&gt;Tmin, NOT('5 App'!$I45="")),'5 App'!$I45,0)</f>
        <v>0</v>
      </c>
      <c r="AC45">
        <f>IF(AND('5 App'!E45&gt;Tmin, NOT('5 App'!$I45="")),'5 App'!$I45,0)</f>
        <v>0</v>
      </c>
      <c r="AD45">
        <f>IF(AND('5 App'!F45&gt;Tmin, NOT('5 App'!$I45="")),'5 App'!$I45,0)</f>
        <v>0</v>
      </c>
      <c r="AE45">
        <f>IF(AND('5 App'!C45&lt;Tmax, NOT('5 App'!$H45="")),'5 App'!$H45,4)</f>
        <v>2</v>
      </c>
      <c r="AF45">
        <f>IF(AND('5 App'!D45&lt;Tmax, NOT('5 App'!$H45="")),'5 App'!$H45,4)</f>
        <v>2</v>
      </c>
      <c r="AG45">
        <f>IF(AND('5 App'!E45&lt;Tmax, NOT('5 App'!$H45="")),'5 App'!$H45,4)</f>
        <v>2</v>
      </c>
      <c r="AH45">
        <f>IF(AND('5 App'!F45&lt;Tmax, NOT('5 App'!$H45="")),'5 App'!$H45,4)</f>
        <v>2</v>
      </c>
      <c r="AI45"/>
    </row>
    <row r="46" spans="1:35" x14ac:dyDescent="0.25">
      <c r="A46" s="135" t="s">
        <v>6263</v>
      </c>
      <c r="B46" s="128" t="s">
        <v>6259</v>
      </c>
      <c r="C46" s="243"/>
      <c r="D46" s="243"/>
      <c r="E46" s="304"/>
      <c r="F46" s="304"/>
      <c r="G46" s="133">
        <v>4</v>
      </c>
      <c r="H46" s="133"/>
      <c r="I46" s="136"/>
      <c r="J46" s="136"/>
      <c r="K46" s="135"/>
      <c r="L46" s="213"/>
      <c r="M46" s="213"/>
      <c r="N46" s="213"/>
      <c r="O46" s="213"/>
      <c r="P46" s="213"/>
      <c r="Q46" s="213"/>
      <c r="R46" s="213"/>
      <c r="S46" s="213"/>
      <c r="T46" s="213"/>
      <c r="U46" s="213"/>
      <c r="V46" s="213"/>
      <c r="W46" s="213"/>
      <c r="X46" s="213"/>
      <c r="Y46" s="213"/>
      <c r="AA46">
        <f>IF(AND('5 App'!C46&gt;Tmin, NOT('5 App'!$I46="")),'5 App'!$I46,0)</f>
        <v>0</v>
      </c>
      <c r="AB46">
        <f>IF(AND('5 App'!D46&gt;Tmin, NOT('5 App'!$I46="")),'5 App'!$I46,0)</f>
        <v>0</v>
      </c>
      <c r="AC46">
        <f>IF(AND('5 App'!E46&gt;Tmin, NOT('5 App'!$I46="")),'5 App'!$I46,0)</f>
        <v>0</v>
      </c>
      <c r="AD46">
        <f>IF(AND('5 App'!F46&gt;Tmin, NOT('5 App'!$I46="")),'5 App'!$I46,0)</f>
        <v>0</v>
      </c>
      <c r="AE46">
        <f>IF(AND('5 App'!C46&lt;Tmax, NOT('5 App'!$H46="")),'5 App'!$H46,4)</f>
        <v>4</v>
      </c>
      <c r="AF46">
        <f>IF(AND('5 App'!D46&lt;Tmax, NOT('5 App'!$H46="")),'5 App'!$H46,4)</f>
        <v>4</v>
      </c>
      <c r="AG46">
        <f>IF(AND('5 App'!E46&lt;Tmax, NOT('5 App'!$H46="")),'5 App'!$H46,4)</f>
        <v>4</v>
      </c>
      <c r="AH46">
        <f>IF(AND('5 App'!F46&lt;Tmax, NOT('5 App'!$H46="")),'5 App'!$H46,4)</f>
        <v>4</v>
      </c>
      <c r="AI46"/>
    </row>
    <row r="47" spans="1:35" x14ac:dyDescent="0.25">
      <c r="A47" s="135" t="s">
        <v>6264</v>
      </c>
      <c r="B47" s="128" t="s">
        <v>6260</v>
      </c>
      <c r="C47" s="243"/>
      <c r="D47" s="243"/>
      <c r="E47" s="304"/>
      <c r="F47" s="304"/>
      <c r="G47" s="133">
        <v>2</v>
      </c>
      <c r="H47" s="133"/>
      <c r="I47" s="136"/>
      <c r="J47" s="136"/>
      <c r="K47" s="135"/>
      <c r="L47" s="213"/>
      <c r="M47" s="213"/>
      <c r="N47" s="213"/>
      <c r="O47" s="213"/>
      <c r="P47" s="213"/>
      <c r="Q47" s="213"/>
      <c r="R47" s="213"/>
      <c r="S47" s="213"/>
      <c r="T47" s="213"/>
      <c r="U47" s="213"/>
      <c r="V47" s="213"/>
      <c r="W47" s="213"/>
      <c r="X47" s="213"/>
      <c r="Y47" s="213"/>
      <c r="AA47">
        <f>IF(AND('5 App'!C47&gt;Tmin, NOT('5 App'!$I47="")),'5 App'!$I47,0)</f>
        <v>0</v>
      </c>
      <c r="AB47">
        <f>IF(AND('5 App'!D47&gt;Tmin, NOT('5 App'!$I47="")),'5 App'!$I47,0)</f>
        <v>0</v>
      </c>
      <c r="AC47">
        <f>IF(AND('5 App'!E47&gt;Tmin, NOT('5 App'!$I47="")),'5 App'!$I47,0)</f>
        <v>0</v>
      </c>
      <c r="AD47">
        <f>IF(AND('5 App'!F47&gt;Tmin, NOT('5 App'!$I47="")),'5 App'!$I47,0)</f>
        <v>0</v>
      </c>
      <c r="AE47">
        <f>IF(AND('5 App'!C47&lt;Tmax, NOT('5 App'!$H47="")),'5 App'!$H47,4)</f>
        <v>4</v>
      </c>
      <c r="AF47">
        <f>IF(AND('5 App'!D47&lt;Tmax, NOT('5 App'!$H47="")),'5 App'!$H47,4)</f>
        <v>4</v>
      </c>
      <c r="AG47">
        <f>IF(AND('5 App'!E47&lt;Tmax, NOT('5 App'!$H47="")),'5 App'!$H47,4)</f>
        <v>4</v>
      </c>
      <c r="AH47">
        <f>IF(AND('5 App'!F47&lt;Tmax, NOT('5 App'!$H47="")),'5 App'!$H47,4)</f>
        <v>4</v>
      </c>
      <c r="AI47"/>
    </row>
    <row r="48" spans="1:35" x14ac:dyDescent="0.25">
      <c r="A48" s="135" t="s">
        <v>6265</v>
      </c>
      <c r="B48" s="128" t="s">
        <v>6766</v>
      </c>
      <c r="C48" s="243"/>
      <c r="D48" s="243"/>
      <c r="E48" s="304"/>
      <c r="F48" s="304"/>
      <c r="G48" s="133">
        <v>4</v>
      </c>
      <c r="H48" s="133"/>
      <c r="I48" s="136"/>
      <c r="J48" s="136"/>
      <c r="K48" s="135"/>
      <c r="L48" s="213"/>
      <c r="M48" s="213"/>
      <c r="N48" s="213"/>
      <c r="O48" s="213"/>
      <c r="P48" s="213"/>
      <c r="Q48" s="213"/>
      <c r="R48" s="213"/>
      <c r="S48" s="213"/>
      <c r="T48" s="213"/>
      <c r="U48" s="213"/>
      <c r="V48" s="213"/>
      <c r="W48" s="213"/>
      <c r="X48" s="213"/>
      <c r="Y48" s="213"/>
      <c r="AA48">
        <f>IF(AND('5 App'!C48&gt;Tmin, NOT('5 App'!$I48="")),'5 App'!$I48,0)</f>
        <v>0</v>
      </c>
      <c r="AB48">
        <f>IF(AND('5 App'!D48&gt;Tmin, NOT('5 App'!$I48="")),'5 App'!$I48,0)</f>
        <v>0</v>
      </c>
      <c r="AC48">
        <f>IF(AND('5 App'!E48&gt;Tmin, NOT('5 App'!$I48="")),'5 App'!$I48,0)</f>
        <v>0</v>
      </c>
      <c r="AD48">
        <f>IF(AND('5 App'!F48&gt;Tmin, NOT('5 App'!$I48="")),'5 App'!$I48,0)</f>
        <v>0</v>
      </c>
      <c r="AE48">
        <f>IF(AND('5 App'!C48&lt;Tmax, NOT('5 App'!$H48="")),'5 App'!$H48,4)</f>
        <v>4</v>
      </c>
      <c r="AF48">
        <f>IF(AND('5 App'!D48&lt;Tmax, NOT('5 App'!$H48="")),'5 App'!$H48,4)</f>
        <v>4</v>
      </c>
      <c r="AG48">
        <f>IF(AND('5 App'!E48&lt;Tmax, NOT('5 App'!$H48="")),'5 App'!$H48,4)</f>
        <v>4</v>
      </c>
      <c r="AH48">
        <f>IF(AND('5 App'!F48&lt;Tmax, NOT('5 App'!$H48="")),'5 App'!$H48,4)</f>
        <v>4</v>
      </c>
      <c r="AI48"/>
    </row>
    <row r="49" spans="1:35" x14ac:dyDescent="0.25">
      <c r="A49" s="135" t="s">
        <v>6266</v>
      </c>
      <c r="B49" s="128" t="s">
        <v>6767</v>
      </c>
      <c r="C49" s="243"/>
      <c r="D49" s="243"/>
      <c r="E49" s="304"/>
      <c r="F49" s="304"/>
      <c r="G49" s="133">
        <v>2</v>
      </c>
      <c r="H49" s="133">
        <v>3</v>
      </c>
      <c r="I49" s="136"/>
      <c r="J49" s="136"/>
      <c r="K49" s="135"/>
      <c r="L49" s="213"/>
      <c r="M49" s="213"/>
      <c r="N49" s="213"/>
      <c r="O49" s="213"/>
      <c r="P49" s="213"/>
      <c r="Q49" s="213"/>
      <c r="R49" s="213"/>
      <c r="S49" s="213"/>
      <c r="T49" s="213"/>
      <c r="U49" s="213"/>
      <c r="V49" s="213"/>
      <c r="W49" s="213"/>
      <c r="X49" s="213"/>
      <c r="Y49" s="213"/>
      <c r="AA49">
        <f>IF(AND('5 App'!C49&gt;Tmin, NOT('5 App'!$I49="")),'5 App'!$I49,0)</f>
        <v>0</v>
      </c>
      <c r="AB49">
        <f>IF(AND('5 App'!D49&gt;Tmin, NOT('5 App'!$I49="")),'5 App'!$I49,0)</f>
        <v>0</v>
      </c>
      <c r="AC49">
        <f>IF(AND('5 App'!E49&gt;Tmin, NOT('5 App'!$I49="")),'5 App'!$I49,0)</f>
        <v>0</v>
      </c>
      <c r="AD49">
        <f>IF(AND('5 App'!F49&gt;Tmin, NOT('5 App'!$I49="")),'5 App'!$I49,0)</f>
        <v>0</v>
      </c>
      <c r="AE49">
        <f>IF(AND('5 App'!C49&lt;Tmax, NOT('5 App'!$H49="")),'5 App'!$H49,4)</f>
        <v>3</v>
      </c>
      <c r="AF49">
        <f>IF(AND('5 App'!D49&lt;Tmax, NOT('5 App'!$H49="")),'5 App'!$H49,4)</f>
        <v>3</v>
      </c>
      <c r="AG49">
        <f>IF(AND('5 App'!E49&lt;Tmax, NOT('5 App'!$H49="")),'5 App'!$H49,4)</f>
        <v>3</v>
      </c>
      <c r="AH49">
        <f>IF(AND('5 App'!F49&lt;Tmax, NOT('5 App'!$H49="")),'5 App'!$H49,4)</f>
        <v>3</v>
      </c>
      <c r="AI49"/>
    </row>
    <row r="50" spans="1:35" x14ac:dyDescent="0.25">
      <c r="A50" s="1139" t="s">
        <v>1283</v>
      </c>
      <c r="B50" s="1102" t="s">
        <v>386</v>
      </c>
      <c r="C50" s="243"/>
      <c r="D50" s="243"/>
      <c r="E50" s="304"/>
      <c r="F50" s="304"/>
      <c r="G50" s="133"/>
      <c r="H50" s="133"/>
      <c r="I50" s="136"/>
      <c r="J50" s="136"/>
      <c r="K50" s="135"/>
      <c r="AA50"/>
      <c r="AB50"/>
      <c r="AC50"/>
      <c r="AD50"/>
      <c r="AE50"/>
      <c r="AF50"/>
      <c r="AG50"/>
      <c r="AH50"/>
      <c r="AI50"/>
    </row>
    <row r="51" spans="1:35" ht="36" customHeight="1" x14ac:dyDescent="0.25">
      <c r="A51" s="135" t="s">
        <v>640</v>
      </c>
      <c r="B51" s="128" t="s">
        <v>2927</v>
      </c>
      <c r="C51" s="243"/>
      <c r="D51" s="243"/>
      <c r="E51" s="304"/>
      <c r="F51" s="304"/>
      <c r="G51" s="133"/>
      <c r="H51" s="133"/>
      <c r="I51" s="136"/>
      <c r="J51" s="136"/>
      <c r="K51" s="135"/>
      <c r="AA51"/>
      <c r="AB51"/>
      <c r="AC51"/>
      <c r="AD51"/>
      <c r="AE51"/>
      <c r="AF51"/>
      <c r="AG51"/>
      <c r="AH51"/>
      <c r="AI51"/>
    </row>
    <row r="52" spans="1:35" ht="20.399999999999999" x14ac:dyDescent="0.25">
      <c r="A52" s="135" t="s">
        <v>1284</v>
      </c>
      <c r="B52" s="128" t="s">
        <v>1285</v>
      </c>
      <c r="C52" s="243"/>
      <c r="D52" s="243"/>
      <c r="E52" s="304"/>
      <c r="F52" s="304"/>
      <c r="G52" s="133">
        <v>4</v>
      </c>
      <c r="H52" s="133"/>
      <c r="I52" s="136"/>
      <c r="J52" s="136"/>
      <c r="K52" s="135"/>
      <c r="AA52">
        <f>IF(AND('5 App'!C52&gt;Tmin, NOT('5 App'!$I52="")),'5 App'!$I52,0)</f>
        <v>0</v>
      </c>
      <c r="AB52">
        <f>IF(AND('5 App'!D52&gt;Tmin, NOT('5 App'!$I52="")),'5 App'!$I52,0)</f>
        <v>0</v>
      </c>
      <c r="AC52">
        <f>IF(AND('5 App'!E52&gt;Tmin, NOT('5 App'!$I52="")),'5 App'!$I52,0)</f>
        <v>0</v>
      </c>
      <c r="AD52">
        <f>IF(AND('5 App'!F52&gt;Tmin, NOT('5 App'!$I52="")),'5 App'!$I52,0)</f>
        <v>0</v>
      </c>
      <c r="AE52">
        <f>IF(AND('5 App'!C52&lt;Tmax, NOT('5 App'!$H52="")),'5 App'!$H52,4)</f>
        <v>4</v>
      </c>
      <c r="AF52">
        <f>IF(AND('5 App'!D52&lt;Tmax, NOT('5 App'!$H52="")),'5 App'!$H52,4)</f>
        <v>4</v>
      </c>
      <c r="AG52">
        <f>IF(AND('5 App'!E52&lt;Tmax, NOT('5 App'!$H52="")),'5 App'!$H52,4)</f>
        <v>4</v>
      </c>
      <c r="AH52">
        <f>IF(AND('5 App'!F52&lt;Tmax, NOT('5 App'!$H52="")),'5 App'!$H52,4)</f>
        <v>4</v>
      </c>
      <c r="AI52"/>
    </row>
    <row r="53" spans="1:35" ht="38.25" customHeight="1" x14ac:dyDescent="0.25">
      <c r="A53" s="135" t="s">
        <v>1286</v>
      </c>
      <c r="B53" s="128" t="s">
        <v>0</v>
      </c>
      <c r="C53" s="243"/>
      <c r="D53" s="243"/>
      <c r="E53" s="304"/>
      <c r="F53" s="304"/>
      <c r="G53" s="133">
        <v>4</v>
      </c>
      <c r="H53" s="133">
        <v>2</v>
      </c>
      <c r="I53" s="136"/>
      <c r="J53" s="136"/>
      <c r="K53" s="135"/>
      <c r="AA53">
        <f>IF(AND('5 App'!C53&gt;Tmin, NOT('5 App'!$I53="")),'5 App'!$I53,0)</f>
        <v>0</v>
      </c>
      <c r="AB53">
        <f>IF(AND('5 App'!D53&gt;Tmin, NOT('5 App'!$I53="")),'5 App'!$I53,0)</f>
        <v>0</v>
      </c>
      <c r="AC53">
        <f>IF(AND('5 App'!E53&gt;Tmin, NOT('5 App'!$I53="")),'5 App'!$I53,0)</f>
        <v>0</v>
      </c>
      <c r="AD53">
        <f>IF(AND('5 App'!F53&gt;Tmin, NOT('5 App'!$I53="")),'5 App'!$I53,0)</f>
        <v>0</v>
      </c>
      <c r="AE53">
        <f>IF(AND('5 App'!C53&lt;Tmax, NOT('5 App'!$H53="")),'5 App'!$H53,4)</f>
        <v>2</v>
      </c>
      <c r="AF53">
        <f>IF(AND('5 App'!D53&lt;Tmax, NOT('5 App'!$H53="")),'5 App'!$H53,4)</f>
        <v>2</v>
      </c>
      <c r="AG53">
        <f>IF(AND('5 App'!E53&lt;Tmax, NOT('5 App'!$H53="")),'5 App'!$H53,4)</f>
        <v>2</v>
      </c>
      <c r="AH53">
        <f>IF(AND('5 App'!F53&lt;Tmax, NOT('5 App'!$H53="")),'5 App'!$H53,4)</f>
        <v>2</v>
      </c>
      <c r="AI53"/>
    </row>
    <row r="54" spans="1:35" ht="20.399999999999999" x14ac:dyDescent="0.25">
      <c r="A54" s="135" t="s">
        <v>1287</v>
      </c>
      <c r="B54" s="128" t="s">
        <v>1</v>
      </c>
      <c r="C54" s="243"/>
      <c r="D54" s="243"/>
      <c r="E54" s="304"/>
      <c r="F54" s="304"/>
      <c r="G54" s="133">
        <v>4</v>
      </c>
      <c r="H54" s="133">
        <v>2</v>
      </c>
      <c r="I54" s="136"/>
      <c r="J54" s="136"/>
      <c r="K54" s="135"/>
      <c r="AA54">
        <f>IF(AND('5 App'!C54&gt;Tmin, NOT('5 App'!$I54="")),'5 App'!$I54,0)</f>
        <v>0</v>
      </c>
      <c r="AB54">
        <f>IF(AND('5 App'!D54&gt;Tmin, NOT('5 App'!$I54="")),'5 App'!$I54,0)</f>
        <v>0</v>
      </c>
      <c r="AC54">
        <f>IF(AND('5 App'!E54&gt;Tmin, NOT('5 App'!$I54="")),'5 App'!$I54,0)</f>
        <v>0</v>
      </c>
      <c r="AD54">
        <f>IF(AND('5 App'!F54&gt;Tmin, NOT('5 App'!$I54="")),'5 App'!$I54,0)</f>
        <v>0</v>
      </c>
      <c r="AE54">
        <f>IF(AND('5 App'!C54&lt;Tmax, NOT('5 App'!$H54="")),'5 App'!$H54,4)</f>
        <v>2</v>
      </c>
      <c r="AF54">
        <f>IF(AND('5 App'!D54&lt;Tmax, NOT('5 App'!$H54="")),'5 App'!$H54,4)</f>
        <v>2</v>
      </c>
      <c r="AG54">
        <f>IF(AND('5 App'!E54&lt;Tmax, NOT('5 App'!$H54="")),'5 App'!$H54,4)</f>
        <v>2</v>
      </c>
      <c r="AH54">
        <f>IF(AND('5 App'!F54&lt;Tmax, NOT('5 App'!$H54="")),'5 App'!$H54,4)</f>
        <v>2</v>
      </c>
      <c r="AI54"/>
    </row>
    <row r="55" spans="1:35" x14ac:dyDescent="0.25">
      <c r="A55" s="135" t="s">
        <v>1288</v>
      </c>
      <c r="B55" s="128" t="s">
        <v>409</v>
      </c>
      <c r="C55" s="243"/>
      <c r="D55" s="243"/>
      <c r="E55" s="304"/>
      <c r="F55" s="304"/>
      <c r="G55" s="133">
        <v>4</v>
      </c>
      <c r="H55" s="133">
        <v>3</v>
      </c>
      <c r="I55" s="136"/>
      <c r="J55" s="136"/>
      <c r="K55" s="135"/>
      <c r="AA55">
        <f>IF(AND('5 App'!C55&gt;Tmin, NOT('5 App'!$I55="")),'5 App'!$I55,0)</f>
        <v>0</v>
      </c>
      <c r="AB55">
        <f>IF(AND('5 App'!D55&gt;Tmin, NOT('5 App'!$I55="")),'5 App'!$I55,0)</f>
        <v>0</v>
      </c>
      <c r="AC55">
        <f>IF(AND('5 App'!E55&gt;Tmin, NOT('5 App'!$I55="")),'5 App'!$I55,0)</f>
        <v>0</v>
      </c>
      <c r="AD55">
        <f>IF(AND('5 App'!F55&gt;Tmin, NOT('5 App'!$I55="")),'5 App'!$I55,0)</f>
        <v>0</v>
      </c>
      <c r="AE55">
        <f>IF(AND('5 App'!C55&lt;Tmax, NOT('5 App'!$H55="")),'5 App'!$H55,4)</f>
        <v>3</v>
      </c>
      <c r="AF55">
        <f>IF(AND('5 App'!D55&lt;Tmax, NOT('5 App'!$H55="")),'5 App'!$H55,4)</f>
        <v>3</v>
      </c>
      <c r="AG55">
        <f>IF(AND('5 App'!E55&lt;Tmax, NOT('5 App'!$H55="")),'5 App'!$H55,4)</f>
        <v>3</v>
      </c>
      <c r="AH55">
        <f>IF(AND('5 App'!F55&lt;Tmax, NOT('5 App'!$H55="")),'5 App'!$H55,4)</f>
        <v>3</v>
      </c>
      <c r="AI55"/>
    </row>
    <row r="56" spans="1:35" x14ac:dyDescent="0.25">
      <c r="A56" s="135" t="s">
        <v>641</v>
      </c>
      <c r="B56" s="128" t="s">
        <v>1618</v>
      </c>
      <c r="C56" s="243"/>
      <c r="D56" s="243"/>
      <c r="E56" s="304"/>
      <c r="F56" s="304"/>
      <c r="G56" s="133"/>
      <c r="H56" s="133"/>
      <c r="I56" s="136"/>
      <c r="J56" s="136"/>
      <c r="K56" s="135"/>
      <c r="AA56"/>
      <c r="AB56"/>
      <c r="AC56"/>
      <c r="AD56"/>
      <c r="AE56"/>
      <c r="AF56"/>
      <c r="AG56"/>
      <c r="AH56"/>
      <c r="AI56"/>
    </row>
    <row r="57" spans="1:35" ht="20.399999999999999" x14ac:dyDescent="0.25">
      <c r="A57" s="135" t="s">
        <v>1289</v>
      </c>
      <c r="B57" s="128" t="s">
        <v>1290</v>
      </c>
      <c r="C57" s="243"/>
      <c r="D57" s="243"/>
      <c r="E57" s="304"/>
      <c r="F57" s="304"/>
      <c r="G57" s="133">
        <v>4</v>
      </c>
      <c r="H57" s="133"/>
      <c r="I57" s="136"/>
      <c r="J57" s="136"/>
      <c r="K57" s="135"/>
      <c r="AA57">
        <f>IF(AND('5 App'!C57&gt;Tmin, NOT('5 App'!$I57="")),'5 App'!$I57,0)</f>
        <v>0</v>
      </c>
      <c r="AB57">
        <f>IF(AND('5 App'!D57&gt;Tmin, NOT('5 App'!$I57="")),'5 App'!$I57,0)</f>
        <v>0</v>
      </c>
      <c r="AC57">
        <f>IF(AND('5 App'!E57&gt;Tmin, NOT('5 App'!$I57="")),'5 App'!$I57,0)</f>
        <v>0</v>
      </c>
      <c r="AD57">
        <f>IF(AND('5 App'!F57&gt;Tmin, NOT('5 App'!$I57="")),'5 App'!$I57,0)</f>
        <v>0</v>
      </c>
      <c r="AE57">
        <f>IF(AND('5 App'!C57&lt;Tmax, NOT('5 App'!$H57="")),'5 App'!$H57,4)</f>
        <v>4</v>
      </c>
      <c r="AF57">
        <f>IF(AND('5 App'!D57&lt;Tmax, NOT('5 App'!$H57="")),'5 App'!$H57,4)</f>
        <v>4</v>
      </c>
      <c r="AG57">
        <f>IF(AND('5 App'!E57&lt;Tmax, NOT('5 App'!$H57="")),'5 App'!$H57,4)</f>
        <v>4</v>
      </c>
      <c r="AH57">
        <f>IF(AND('5 App'!F57&lt;Tmax, NOT('5 App'!$H57="")),'5 App'!$H57,4)</f>
        <v>4</v>
      </c>
      <c r="AI57"/>
    </row>
    <row r="58" spans="1:35" ht="20.399999999999999" x14ac:dyDescent="0.25">
      <c r="A58" s="135" t="s">
        <v>1291</v>
      </c>
      <c r="B58" s="128" t="s">
        <v>410</v>
      </c>
      <c r="C58" s="243"/>
      <c r="D58" s="243"/>
      <c r="E58" s="304"/>
      <c r="F58" s="304"/>
      <c r="G58" s="133">
        <v>2</v>
      </c>
      <c r="H58" s="133">
        <v>3</v>
      </c>
      <c r="I58" s="136"/>
      <c r="J58" s="136"/>
      <c r="K58" s="135"/>
      <c r="AA58">
        <f>IF(AND('5 App'!C58&gt;Tmin, NOT('5 App'!$I58="")),'5 App'!$I58,0)</f>
        <v>0</v>
      </c>
      <c r="AB58">
        <f>IF(AND('5 App'!D58&gt;Tmin, NOT('5 App'!$I58="")),'5 App'!$I58,0)</f>
        <v>0</v>
      </c>
      <c r="AC58">
        <f>IF(AND('5 App'!E58&gt;Tmin, NOT('5 App'!$I58="")),'5 App'!$I58,0)</f>
        <v>0</v>
      </c>
      <c r="AD58">
        <f>IF(AND('5 App'!F58&gt;Tmin, NOT('5 App'!$I58="")),'5 App'!$I58,0)</f>
        <v>0</v>
      </c>
      <c r="AE58">
        <f>IF(AND('5 App'!C58&lt;Tmax, NOT('5 App'!$H58="")),'5 App'!$H58,4)</f>
        <v>3</v>
      </c>
      <c r="AF58">
        <f>IF(AND('5 App'!D58&lt;Tmax, NOT('5 App'!$H58="")),'5 App'!$H58,4)</f>
        <v>3</v>
      </c>
      <c r="AG58">
        <f>IF(AND('5 App'!E58&lt;Tmax, NOT('5 App'!$H58="")),'5 App'!$H58,4)</f>
        <v>3</v>
      </c>
      <c r="AH58">
        <f>IF(AND('5 App'!F58&lt;Tmax, NOT('5 App'!$H58="")),'5 App'!$H58,4)</f>
        <v>3</v>
      </c>
      <c r="AI58"/>
    </row>
    <row r="59" spans="1:35" ht="20.399999999999999" x14ac:dyDescent="0.25">
      <c r="A59" s="135" t="s">
        <v>1292</v>
      </c>
      <c r="B59" s="128" t="s">
        <v>236</v>
      </c>
      <c r="C59" s="243"/>
      <c r="D59" s="243"/>
      <c r="E59" s="304"/>
      <c r="F59" s="304"/>
      <c r="G59" s="133">
        <v>2</v>
      </c>
      <c r="H59" s="133">
        <v>3</v>
      </c>
      <c r="I59" s="136"/>
      <c r="J59" s="136"/>
      <c r="K59" s="135"/>
      <c r="AA59">
        <f>IF(AND('5 App'!C59&gt;Tmin, NOT('5 App'!$I59="")),'5 App'!$I59,0)</f>
        <v>0</v>
      </c>
      <c r="AB59">
        <f>IF(AND('5 App'!D59&gt;Tmin, NOT('5 App'!$I59="")),'5 App'!$I59,0)</f>
        <v>0</v>
      </c>
      <c r="AC59">
        <f>IF(AND('5 App'!E59&gt;Tmin, NOT('5 App'!$I59="")),'5 App'!$I59,0)</f>
        <v>0</v>
      </c>
      <c r="AD59">
        <f>IF(AND('5 App'!F59&gt;Tmin, NOT('5 App'!$I59="")),'5 App'!$I59,0)</f>
        <v>0</v>
      </c>
      <c r="AE59">
        <f>IF(AND('5 App'!C59&lt;Tmax, NOT('5 App'!$H59="")),'5 App'!$H59,4)</f>
        <v>3</v>
      </c>
      <c r="AF59">
        <f>IF(AND('5 App'!D59&lt;Tmax, NOT('5 App'!$H59="")),'5 App'!$H59,4)</f>
        <v>3</v>
      </c>
      <c r="AG59">
        <f>IF(AND('5 App'!E59&lt;Tmax, NOT('5 App'!$H59="")),'5 App'!$H59,4)</f>
        <v>3</v>
      </c>
      <c r="AH59">
        <f>IF(AND('5 App'!F59&lt;Tmax, NOT('5 App'!$H59="")),'5 App'!$H59,4)</f>
        <v>3</v>
      </c>
      <c r="AI59"/>
    </row>
    <row r="60" spans="1:35" ht="38.25" customHeight="1" x14ac:dyDescent="0.25">
      <c r="A60" s="135" t="s">
        <v>1293</v>
      </c>
      <c r="B60" s="128" t="s">
        <v>0</v>
      </c>
      <c r="C60" s="243"/>
      <c r="D60" s="243"/>
      <c r="E60" s="304"/>
      <c r="F60" s="304"/>
      <c r="G60" s="133">
        <v>4</v>
      </c>
      <c r="H60" s="133">
        <v>2</v>
      </c>
      <c r="I60" s="136"/>
      <c r="J60" s="136"/>
      <c r="K60" s="135"/>
      <c r="AA60">
        <f>IF(AND('5 App'!C60&gt;Tmin, NOT('5 App'!$I60="")),'5 App'!$I60,0)</f>
        <v>0</v>
      </c>
      <c r="AB60">
        <f>IF(AND('5 App'!D60&gt;Tmin, NOT('5 App'!$I60="")),'5 App'!$I60,0)</f>
        <v>0</v>
      </c>
      <c r="AC60">
        <f>IF(AND('5 App'!E60&gt;Tmin, NOT('5 App'!$I60="")),'5 App'!$I60,0)</f>
        <v>0</v>
      </c>
      <c r="AD60">
        <f>IF(AND('5 App'!F60&gt;Tmin, NOT('5 App'!$I60="")),'5 App'!$I60,0)</f>
        <v>0</v>
      </c>
      <c r="AE60">
        <f>IF(AND('5 App'!C60&lt;Tmax, NOT('5 App'!$H60="")),'5 App'!$H60,4)</f>
        <v>2</v>
      </c>
      <c r="AF60">
        <f>IF(AND('5 App'!D60&lt;Tmax, NOT('5 App'!$H60="")),'5 App'!$H60,4)</f>
        <v>2</v>
      </c>
      <c r="AG60">
        <f>IF(AND('5 App'!E60&lt;Tmax, NOT('5 App'!$H60="")),'5 App'!$H60,4)</f>
        <v>2</v>
      </c>
      <c r="AH60">
        <f>IF(AND('5 App'!F60&lt;Tmax, NOT('5 App'!$H60="")),'5 App'!$H60,4)</f>
        <v>2</v>
      </c>
      <c r="AI60"/>
    </row>
    <row r="61" spans="1:35" ht="20.399999999999999" x14ac:dyDescent="0.25">
      <c r="A61" s="135" t="s">
        <v>1294</v>
      </c>
      <c r="B61" s="128" t="s">
        <v>1</v>
      </c>
      <c r="C61" s="243"/>
      <c r="D61" s="243"/>
      <c r="E61" s="304"/>
      <c r="F61" s="304"/>
      <c r="G61" s="133">
        <v>4</v>
      </c>
      <c r="H61" s="133">
        <v>2</v>
      </c>
      <c r="I61" s="136"/>
      <c r="J61" s="136"/>
      <c r="K61" s="135"/>
      <c r="AA61">
        <f>IF(AND('5 App'!C61&gt;Tmin, NOT('5 App'!$I61="")),'5 App'!$I61,0)</f>
        <v>0</v>
      </c>
      <c r="AB61">
        <f>IF(AND('5 App'!D61&gt;Tmin, NOT('5 App'!$I61="")),'5 App'!$I61,0)</f>
        <v>0</v>
      </c>
      <c r="AC61">
        <f>IF(AND('5 App'!E61&gt;Tmin, NOT('5 App'!$I61="")),'5 App'!$I61,0)</f>
        <v>0</v>
      </c>
      <c r="AD61">
        <f>IF(AND('5 App'!F61&gt;Tmin, NOT('5 App'!$I61="")),'5 App'!$I61,0)</f>
        <v>0</v>
      </c>
      <c r="AE61">
        <f>IF(AND('5 App'!C61&lt;Tmax, NOT('5 App'!$H61="")),'5 App'!$H61,4)</f>
        <v>2</v>
      </c>
      <c r="AF61">
        <f>IF(AND('5 App'!D61&lt;Tmax, NOT('5 App'!$H61="")),'5 App'!$H61,4)</f>
        <v>2</v>
      </c>
      <c r="AG61">
        <f>IF(AND('5 App'!E61&lt;Tmax, NOT('5 App'!$H61="")),'5 App'!$H61,4)</f>
        <v>2</v>
      </c>
      <c r="AH61">
        <f>IF(AND('5 App'!F61&lt;Tmax, NOT('5 App'!$H61="")),'5 App'!$H61,4)</f>
        <v>2</v>
      </c>
      <c r="AI61"/>
    </row>
    <row r="62" spans="1:35" ht="20.399999999999999" x14ac:dyDescent="0.25">
      <c r="A62" s="135" t="s">
        <v>1295</v>
      </c>
      <c r="B62" s="128" t="s">
        <v>199</v>
      </c>
      <c r="C62" s="243"/>
      <c r="D62" s="243"/>
      <c r="E62" s="304"/>
      <c r="F62" s="304"/>
      <c r="G62" s="133">
        <v>4</v>
      </c>
      <c r="H62" s="133">
        <v>3</v>
      </c>
      <c r="I62" s="136"/>
      <c r="J62" s="136"/>
      <c r="K62" s="135"/>
      <c r="AA62">
        <f>IF(AND('5 App'!C62&gt;Tmin, NOT('5 App'!$I62="")),'5 App'!$I62,0)</f>
        <v>0</v>
      </c>
      <c r="AB62">
        <f>IF(AND('5 App'!D62&gt;Tmin, NOT('5 App'!$I62="")),'5 App'!$I62,0)</f>
        <v>0</v>
      </c>
      <c r="AC62">
        <f>IF(AND('5 App'!E62&gt;Tmin, NOT('5 App'!$I62="")),'5 App'!$I62,0)</f>
        <v>0</v>
      </c>
      <c r="AD62">
        <f>IF(AND('5 App'!F62&gt;Tmin, NOT('5 App'!$I62="")),'5 App'!$I62,0)</f>
        <v>0</v>
      </c>
      <c r="AE62">
        <f>IF(AND('5 App'!C62&lt;Tmax, NOT('5 App'!$H62="")),'5 App'!$H62,4)</f>
        <v>3</v>
      </c>
      <c r="AF62">
        <f>IF(AND('5 App'!D62&lt;Tmax, NOT('5 App'!$H62="")),'5 App'!$H62,4)</f>
        <v>3</v>
      </c>
      <c r="AG62">
        <f>IF(AND('5 App'!E62&lt;Tmax, NOT('5 App'!$H62="")),'5 App'!$H62,4)</f>
        <v>3</v>
      </c>
      <c r="AH62">
        <f>IF(AND('5 App'!F62&lt;Tmax, NOT('5 App'!$H62="")),'5 App'!$H62,4)</f>
        <v>3</v>
      </c>
      <c r="AI62"/>
    </row>
    <row r="63" spans="1:35" x14ac:dyDescent="0.25">
      <c r="A63" s="1139" t="s">
        <v>1296</v>
      </c>
      <c r="B63" s="1102" t="s">
        <v>6797</v>
      </c>
      <c r="C63" s="243"/>
      <c r="D63" s="243"/>
      <c r="E63" s="304"/>
      <c r="F63" s="304"/>
      <c r="G63" s="133"/>
      <c r="H63" s="133"/>
      <c r="I63" s="136"/>
      <c r="J63" s="136"/>
      <c r="K63" s="135"/>
      <c r="AA63"/>
      <c r="AB63"/>
      <c r="AC63"/>
      <c r="AD63"/>
      <c r="AE63"/>
      <c r="AF63"/>
      <c r="AG63"/>
      <c r="AH63"/>
      <c r="AI63"/>
    </row>
    <row r="64" spans="1:35" x14ac:dyDescent="0.25">
      <c r="A64" s="135" t="s">
        <v>643</v>
      </c>
      <c r="B64" s="128" t="s">
        <v>4620</v>
      </c>
      <c r="C64" s="243"/>
      <c r="D64" s="243"/>
      <c r="E64" s="304"/>
      <c r="F64" s="304"/>
      <c r="G64" s="133"/>
      <c r="H64" s="133"/>
      <c r="I64" s="136"/>
      <c r="J64" s="136"/>
      <c r="K64" s="135"/>
      <c r="AA64"/>
      <c r="AB64"/>
      <c r="AC64"/>
      <c r="AD64"/>
      <c r="AE64"/>
      <c r="AF64"/>
      <c r="AG64"/>
      <c r="AH64"/>
      <c r="AI64"/>
    </row>
    <row r="65" spans="1:47" x14ac:dyDescent="0.25">
      <c r="A65" s="135" t="s">
        <v>1297</v>
      </c>
      <c r="B65" s="128" t="s">
        <v>4615</v>
      </c>
      <c r="C65" s="243"/>
      <c r="D65" s="243"/>
      <c r="E65" s="304"/>
      <c r="F65" s="304"/>
      <c r="G65" s="133">
        <v>4</v>
      </c>
      <c r="H65" s="133">
        <v>3</v>
      </c>
      <c r="I65" s="136"/>
      <c r="J65" s="136"/>
      <c r="K65" s="135"/>
      <c r="AA65">
        <f>IF(AND('5 App'!C65&gt;Tmin, NOT('5 App'!$I65="")),'5 App'!$I65,0)</f>
        <v>0</v>
      </c>
      <c r="AB65">
        <f>IF(AND('5 App'!D65&gt;Tmin, NOT('5 App'!$I65="")),'5 App'!$I65,0)</f>
        <v>0</v>
      </c>
      <c r="AC65">
        <f>IF(AND('5 App'!E65&gt;Tmin, NOT('5 App'!$I65="")),'5 App'!$I65,0)</f>
        <v>0</v>
      </c>
      <c r="AD65">
        <f>IF(AND('5 App'!F65&gt;Tmin, NOT('5 App'!$I65="")),'5 App'!$I65,0)</f>
        <v>0</v>
      </c>
      <c r="AE65">
        <f>IF(AND('5 App'!C65&lt;Tmax, NOT('5 App'!$H65="")),'5 App'!$H65,4)</f>
        <v>3</v>
      </c>
      <c r="AF65">
        <f>IF(AND('5 App'!D65&lt;Tmax, NOT('5 App'!$H65="")),'5 App'!$H65,4)</f>
        <v>3</v>
      </c>
      <c r="AG65">
        <f>IF(AND('5 App'!E65&lt;Tmax, NOT('5 App'!$H65="")),'5 App'!$H65,4)</f>
        <v>3</v>
      </c>
      <c r="AH65">
        <f>IF(AND('5 App'!F65&lt;Tmax, NOT('5 App'!$H65="")),'5 App'!$H65,4)</f>
        <v>3</v>
      </c>
      <c r="AI65"/>
    </row>
    <row r="66" spans="1:47" ht="30.6" x14ac:dyDescent="0.25">
      <c r="A66" s="135" t="s">
        <v>1298</v>
      </c>
      <c r="B66" s="128" t="s">
        <v>3242</v>
      </c>
      <c r="C66" s="243"/>
      <c r="D66" s="243"/>
      <c r="E66" s="304"/>
      <c r="F66" s="304"/>
      <c r="G66" s="133">
        <v>4</v>
      </c>
      <c r="H66" s="133">
        <v>3</v>
      </c>
      <c r="I66" s="136"/>
      <c r="J66" s="136"/>
      <c r="K66" s="135"/>
      <c r="AA66">
        <f>IF(AND('5 App'!C66&gt;Tmin, NOT('5 App'!$I66="")),'5 App'!$I66,0)</f>
        <v>0</v>
      </c>
      <c r="AB66">
        <f>IF(AND('5 App'!D66&gt;Tmin, NOT('5 App'!$I66="")),'5 App'!$I66,0)</f>
        <v>0</v>
      </c>
      <c r="AC66">
        <f>IF(AND('5 App'!E66&gt;Tmin, NOT('5 App'!$I66="")),'5 App'!$I66,0)</f>
        <v>0</v>
      </c>
      <c r="AD66">
        <f>IF(AND('5 App'!F66&gt;Tmin, NOT('5 App'!$I66="")),'5 App'!$I66,0)</f>
        <v>0</v>
      </c>
      <c r="AE66">
        <f>IF(AND('5 App'!C66&lt;Tmax, NOT('5 App'!$H66="")),'5 App'!$H66,4)</f>
        <v>3</v>
      </c>
      <c r="AF66">
        <f>IF(AND('5 App'!D66&lt;Tmax, NOT('5 App'!$H66="")),'5 App'!$H66,4)</f>
        <v>3</v>
      </c>
      <c r="AG66">
        <f>IF(AND('5 App'!E66&lt;Tmax, NOT('5 App'!$H66="")),'5 App'!$H66,4)</f>
        <v>3</v>
      </c>
      <c r="AH66">
        <f>IF(AND('5 App'!F66&lt;Tmax, NOT('5 App'!$H66="")),'5 App'!$H66,4)</f>
        <v>3</v>
      </c>
      <c r="AI66"/>
    </row>
    <row r="67" spans="1:47" ht="20.399999999999999" x14ac:dyDescent="0.25">
      <c r="A67" s="135" t="s">
        <v>1299</v>
      </c>
      <c r="B67" s="128" t="s">
        <v>231</v>
      </c>
      <c r="C67" s="243"/>
      <c r="D67" s="243"/>
      <c r="E67" s="304"/>
      <c r="F67" s="304"/>
      <c r="G67" s="133">
        <v>4</v>
      </c>
      <c r="H67" s="133">
        <v>3</v>
      </c>
      <c r="I67" s="136"/>
      <c r="J67" s="1141"/>
      <c r="K67" s="696"/>
      <c r="AA67">
        <f>IF(AND('5 App'!C67&gt;Tmin, NOT('5 App'!$I67="")),'5 App'!$I67,0)</f>
        <v>0</v>
      </c>
      <c r="AB67">
        <f>IF(AND('5 App'!D67&gt;Tmin, NOT('5 App'!$I67="")),'5 App'!$I67,0)</f>
        <v>0</v>
      </c>
      <c r="AC67">
        <f>IF(AND('5 App'!E67&gt;Tmin, NOT('5 App'!$I67="")),'5 App'!$I67,0)</f>
        <v>0</v>
      </c>
      <c r="AD67">
        <f>IF(AND('5 App'!F67&gt;Tmin, NOT('5 App'!$I67="")),'5 App'!$I67,0)</f>
        <v>0</v>
      </c>
      <c r="AE67">
        <f>IF(AND('5 App'!C67&lt;Tmax, NOT('5 App'!$H67="")),'5 App'!$H67,4)</f>
        <v>3</v>
      </c>
      <c r="AF67">
        <f>IF(AND('5 App'!D67&lt;Tmax, NOT('5 App'!$H67="")),'5 App'!$H67,4)</f>
        <v>3</v>
      </c>
      <c r="AG67">
        <f>IF(AND('5 App'!E67&lt;Tmax, NOT('5 App'!$H67="")),'5 App'!$H67,4)</f>
        <v>3</v>
      </c>
      <c r="AH67">
        <f>IF(AND('5 App'!F67&lt;Tmax, NOT('5 App'!$H67="")),'5 App'!$H67,4)</f>
        <v>3</v>
      </c>
      <c r="AI67"/>
    </row>
    <row r="68" spans="1:47" ht="20.399999999999999" x14ac:dyDescent="0.25">
      <c r="A68" s="135" t="s">
        <v>1300</v>
      </c>
      <c r="B68" s="128" t="s">
        <v>232</v>
      </c>
      <c r="C68" s="243"/>
      <c r="D68" s="243"/>
      <c r="E68" s="304"/>
      <c r="F68" s="304"/>
      <c r="G68" s="133">
        <v>4</v>
      </c>
      <c r="H68" s="133">
        <v>3</v>
      </c>
      <c r="I68" s="136"/>
      <c r="J68" s="136"/>
      <c r="K68" s="135"/>
      <c r="AA68">
        <f>IF(AND('5 App'!C68&gt;Tmin, NOT('5 App'!$I68="")),'5 App'!$I68,0)</f>
        <v>0</v>
      </c>
      <c r="AB68">
        <f>IF(AND('5 App'!D68&gt;Tmin, NOT('5 App'!$I68="")),'5 App'!$I68,0)</f>
        <v>0</v>
      </c>
      <c r="AC68">
        <f>IF(AND('5 App'!E68&gt;Tmin, NOT('5 App'!$I68="")),'5 App'!$I68,0)</f>
        <v>0</v>
      </c>
      <c r="AD68">
        <f>IF(AND('5 App'!F68&gt;Tmin, NOT('5 App'!$I68="")),'5 App'!$I68,0)</f>
        <v>0</v>
      </c>
      <c r="AE68">
        <f>IF(AND('5 App'!C68&lt;Tmax, NOT('5 App'!$H68="")),'5 App'!$H68,4)</f>
        <v>3</v>
      </c>
      <c r="AF68">
        <f>IF(AND('5 App'!D68&lt;Tmax, NOT('5 App'!$H68="")),'5 App'!$H68,4)</f>
        <v>3</v>
      </c>
      <c r="AG68">
        <f>IF(AND('5 App'!E68&lt;Tmax, NOT('5 App'!$H68="")),'5 App'!$H68,4)</f>
        <v>3</v>
      </c>
      <c r="AH68">
        <f>IF(AND('5 App'!F68&lt;Tmax, NOT('5 App'!$H68="")),'5 App'!$H68,4)</f>
        <v>3</v>
      </c>
      <c r="AI68"/>
    </row>
    <row r="69" spans="1:47" x14ac:dyDescent="0.25">
      <c r="A69" s="135" t="s">
        <v>1301</v>
      </c>
      <c r="B69" s="128" t="s">
        <v>4616</v>
      </c>
      <c r="C69" s="243"/>
      <c r="D69" s="243"/>
      <c r="E69" s="304"/>
      <c r="F69" s="304"/>
      <c r="G69" s="133">
        <v>2</v>
      </c>
      <c r="H69" s="133"/>
      <c r="I69" s="136"/>
      <c r="J69" s="136"/>
      <c r="K69" s="135"/>
      <c r="AA69">
        <f>IF(AND('5 App'!C69&gt;Tmin, NOT('5 App'!$I69="")),'5 App'!$I69,0)</f>
        <v>0</v>
      </c>
      <c r="AB69">
        <f>IF(AND('5 App'!D69&gt;Tmin, NOT('5 App'!$I69="")),'5 App'!$I69,0)</f>
        <v>0</v>
      </c>
      <c r="AC69">
        <f>IF(AND('5 App'!E69&gt;Tmin, NOT('5 App'!$I69="")),'5 App'!$I69,0)</f>
        <v>0</v>
      </c>
      <c r="AD69">
        <f>IF(AND('5 App'!F69&gt;Tmin, NOT('5 App'!$I69="")),'5 App'!$I69,0)</f>
        <v>0</v>
      </c>
      <c r="AE69">
        <f>IF(AND('5 App'!C69&lt;Tmax, NOT('5 App'!$H69="")),'5 App'!$H69,4)</f>
        <v>4</v>
      </c>
      <c r="AF69">
        <f>IF(AND('5 App'!D69&lt;Tmax, NOT('5 App'!$H69="")),'5 App'!$H69,4)</f>
        <v>4</v>
      </c>
      <c r="AG69">
        <f>IF(AND('5 App'!E69&lt;Tmax, NOT('5 App'!$H69="")),'5 App'!$H69,4)</f>
        <v>4</v>
      </c>
      <c r="AH69">
        <f>IF(AND('5 App'!F69&lt;Tmax, NOT('5 App'!$H69="")),'5 App'!$H69,4)</f>
        <v>4</v>
      </c>
      <c r="AI69"/>
    </row>
    <row r="70" spans="1:47" ht="20.399999999999999" x14ac:dyDescent="0.25">
      <c r="A70" s="135" t="s">
        <v>4618</v>
      </c>
      <c r="B70" s="128" t="s">
        <v>4617</v>
      </c>
      <c r="C70" s="243"/>
      <c r="D70" s="243"/>
      <c r="E70" s="304"/>
      <c r="F70" s="304"/>
      <c r="G70" s="133">
        <v>4</v>
      </c>
      <c r="H70" s="133"/>
      <c r="I70" s="136"/>
      <c r="J70" s="136"/>
      <c r="K70" s="135"/>
      <c r="AA70">
        <f>IF(AND('5 App'!C70&gt;Tmin, NOT('5 App'!$I70="")),'5 App'!$I70,0)</f>
        <v>0</v>
      </c>
      <c r="AB70">
        <f>IF(AND('5 App'!D70&gt;Tmin, NOT('5 App'!$I70="")),'5 App'!$I70,0)</f>
        <v>0</v>
      </c>
      <c r="AC70">
        <f>IF(AND('5 App'!E70&gt;Tmin, NOT('5 App'!$I70="")),'5 App'!$I70,0)</f>
        <v>0</v>
      </c>
      <c r="AD70">
        <f>IF(AND('5 App'!F70&gt;Tmin, NOT('5 App'!$I70="")),'5 App'!$I70,0)</f>
        <v>0</v>
      </c>
      <c r="AE70">
        <f>IF(AND('5 App'!C70&lt;Tmax, NOT('5 App'!$H70="")),'5 App'!$H70,4)</f>
        <v>4</v>
      </c>
      <c r="AF70">
        <f>IF(AND('5 App'!D70&lt;Tmax, NOT('5 App'!$H70="")),'5 App'!$H70,4)</f>
        <v>4</v>
      </c>
      <c r="AG70">
        <f>IF(AND('5 App'!E70&lt;Tmax, NOT('5 App'!$H70="")),'5 App'!$H70,4)</f>
        <v>4</v>
      </c>
      <c r="AH70">
        <f>IF(AND('5 App'!F70&lt;Tmax, NOT('5 App'!$H70="")),'5 App'!$H70,4)</f>
        <v>4</v>
      </c>
      <c r="AI70"/>
    </row>
    <row r="71" spans="1:47" ht="20.399999999999999" x14ac:dyDescent="0.25">
      <c r="A71" s="135" t="s">
        <v>4619</v>
      </c>
      <c r="B71" s="128" t="s">
        <v>6774</v>
      </c>
      <c r="C71" s="243"/>
      <c r="D71" s="243"/>
      <c r="E71" s="304"/>
      <c r="F71" s="304"/>
      <c r="G71" s="133">
        <v>2</v>
      </c>
      <c r="H71" s="133">
        <v>3</v>
      </c>
      <c r="I71" s="136"/>
      <c r="J71" s="136"/>
      <c r="K71" s="135"/>
      <c r="AA71">
        <f>IF(AND('5 App'!C71&gt;Tmin, NOT('5 App'!$I71="")),'5 App'!$I71,0)</f>
        <v>0</v>
      </c>
      <c r="AB71">
        <f>IF(AND('5 App'!D71&gt;Tmin, NOT('5 App'!$I71="")),'5 App'!$I71,0)</f>
        <v>0</v>
      </c>
      <c r="AC71">
        <f>IF(AND('5 App'!E71&gt;Tmin, NOT('5 App'!$I71="")),'5 App'!$I71,0)</f>
        <v>0</v>
      </c>
      <c r="AD71">
        <f>IF(AND('5 App'!F71&gt;Tmin, NOT('5 App'!$I71="")),'5 App'!$I71,0)</f>
        <v>0</v>
      </c>
      <c r="AE71">
        <f>IF(AND('5 App'!C71&lt;Tmax, NOT('5 App'!$H71="")),'5 App'!$H71,4)</f>
        <v>3</v>
      </c>
      <c r="AF71">
        <f>IF(AND('5 App'!D71&lt;Tmax, NOT('5 App'!$H71="")),'5 App'!$H71,4)</f>
        <v>3</v>
      </c>
      <c r="AG71">
        <f>IF(AND('5 App'!E71&lt;Tmax, NOT('5 App'!$H71="")),'5 App'!$H71,4)</f>
        <v>3</v>
      </c>
      <c r="AH71">
        <f>IF(AND('5 App'!F71&lt;Tmax, NOT('5 App'!$H71="")),'5 App'!$H71,4)</f>
        <v>3</v>
      </c>
      <c r="AI71"/>
    </row>
    <row r="72" spans="1:47" x14ac:dyDescent="0.25">
      <c r="A72" s="135" t="s">
        <v>642</v>
      </c>
      <c r="B72" s="128" t="s">
        <v>336</v>
      </c>
      <c r="C72" s="243"/>
      <c r="D72" s="243"/>
      <c r="E72" s="304"/>
      <c r="F72" s="304"/>
      <c r="G72" s="133"/>
      <c r="H72" s="133"/>
      <c r="I72" s="136"/>
      <c r="J72" s="136"/>
      <c r="K72" s="135"/>
      <c r="L72" s="134"/>
      <c r="M72" s="213"/>
      <c r="N72" s="213"/>
      <c r="O72" s="213"/>
      <c r="P72" s="213"/>
      <c r="Q72" s="213"/>
      <c r="R72" s="213"/>
      <c r="S72" s="213"/>
      <c r="T72" s="213"/>
      <c r="U72" s="213"/>
      <c r="V72" s="213"/>
      <c r="W72" s="213"/>
      <c r="X72" s="213"/>
      <c r="Y72" s="213"/>
      <c r="AA72"/>
      <c r="AB72"/>
      <c r="AC72"/>
      <c r="AD72"/>
      <c r="AE72"/>
      <c r="AF72"/>
      <c r="AG72"/>
      <c r="AH72"/>
      <c r="AI72"/>
    </row>
    <row r="73" spans="1:47" x14ac:dyDescent="0.25">
      <c r="A73" s="135" t="s">
        <v>1914</v>
      </c>
      <c r="B73" s="128" t="s">
        <v>337</v>
      </c>
      <c r="C73" s="243"/>
      <c r="D73" s="243"/>
      <c r="E73" s="304"/>
      <c r="F73" s="304"/>
      <c r="G73" s="133">
        <v>4</v>
      </c>
      <c r="H73" s="133">
        <v>2</v>
      </c>
      <c r="I73" s="136"/>
      <c r="J73" s="136"/>
      <c r="K73" s="135"/>
      <c r="L73" s="134"/>
      <c r="M73" s="213"/>
      <c r="N73" s="213"/>
      <c r="O73" s="213"/>
      <c r="P73" s="213"/>
      <c r="Q73" s="213"/>
      <c r="R73" s="213"/>
      <c r="S73" s="213"/>
      <c r="T73" s="213"/>
      <c r="U73" s="213"/>
      <c r="V73" s="213"/>
      <c r="W73" s="213"/>
      <c r="X73" s="213"/>
      <c r="Y73" s="213"/>
      <c r="AA73">
        <f>IF(AND('5 App'!C73&gt;Tmin, NOT('5 App'!$I73="")),'5 App'!$I73,0)</f>
        <v>0</v>
      </c>
      <c r="AB73">
        <f>IF(AND('5 App'!D73&gt;Tmin, NOT('5 App'!$I73="")),'5 App'!$I73,0)</f>
        <v>0</v>
      </c>
      <c r="AC73">
        <f>IF(AND('5 App'!E73&gt;Tmin, NOT('5 App'!$I73="")),'5 App'!$I73,0)</f>
        <v>0</v>
      </c>
      <c r="AD73">
        <f>IF(AND('5 App'!F73&gt;Tmin, NOT('5 App'!$I73="")),'5 App'!$I73,0)</f>
        <v>0</v>
      </c>
      <c r="AE73">
        <f>IF(AND('5 App'!C73&lt;Tmax, NOT('5 App'!$H73="")),'5 App'!$H73,4)</f>
        <v>2</v>
      </c>
      <c r="AF73">
        <f>IF(AND('5 App'!D73&lt;Tmax, NOT('5 App'!$H73="")),'5 App'!$H73,4)</f>
        <v>2</v>
      </c>
      <c r="AG73">
        <f>IF(AND('5 App'!E73&lt;Tmax, NOT('5 App'!$H73="")),'5 App'!$H73,4)</f>
        <v>2</v>
      </c>
      <c r="AH73">
        <f>IF(AND('5 App'!F73&lt;Tmax, NOT('5 App'!$H73="")),'5 App'!$H73,4)</f>
        <v>2</v>
      </c>
      <c r="AI73"/>
    </row>
    <row r="74" spans="1:47" ht="20.399999999999999" x14ac:dyDescent="0.25">
      <c r="A74" s="135" t="s">
        <v>1915</v>
      </c>
      <c r="B74" s="128" t="s">
        <v>338</v>
      </c>
      <c r="C74" s="243"/>
      <c r="D74" s="243"/>
      <c r="E74" s="304"/>
      <c r="F74" s="304"/>
      <c r="G74" s="133">
        <v>4</v>
      </c>
      <c r="H74" s="133"/>
      <c r="I74" s="136">
        <v>3</v>
      </c>
      <c r="J74" s="136"/>
      <c r="K74" s="135"/>
      <c r="L74" s="134"/>
      <c r="M74" s="213"/>
      <c r="N74" s="213"/>
      <c r="O74" s="213"/>
      <c r="P74" s="213"/>
      <c r="Q74" s="213"/>
      <c r="R74" s="213"/>
      <c r="S74" s="213"/>
      <c r="T74" s="213"/>
      <c r="U74" s="213"/>
      <c r="V74" s="213"/>
      <c r="W74" s="213"/>
      <c r="X74" s="213"/>
      <c r="Y74" s="213"/>
      <c r="AA74">
        <f>IF(AND('5 App'!C74&gt;Tmin, NOT('5 App'!$I74="")),'5 App'!$I74,0)</f>
        <v>0</v>
      </c>
      <c r="AB74">
        <f>IF(AND('5 App'!D74&gt;Tmin, NOT('5 App'!$I74="")),'5 App'!$I74,0)</f>
        <v>0</v>
      </c>
      <c r="AC74">
        <f>IF(AND('5 App'!E74&gt;Tmin, NOT('5 App'!$I74="")),'5 App'!$I74,0)</f>
        <v>0</v>
      </c>
      <c r="AD74">
        <f>IF(AND('5 App'!F74&gt;Tmin, NOT('5 App'!$I74="")),'5 App'!$I74,0)</f>
        <v>0</v>
      </c>
      <c r="AE74">
        <f>IF(AND('5 App'!C74&lt;Tmax, NOT('5 App'!$H74="")),'5 App'!$H74,4)</f>
        <v>4</v>
      </c>
      <c r="AF74">
        <f>IF(AND('5 App'!D74&lt;Tmax, NOT('5 App'!$H74="")),'5 App'!$H74,4)</f>
        <v>4</v>
      </c>
      <c r="AG74">
        <f>IF(AND('5 App'!E74&lt;Tmax, NOT('5 App'!$H74="")),'5 App'!$H74,4)</f>
        <v>4</v>
      </c>
      <c r="AH74">
        <f>IF(AND('5 App'!F74&lt;Tmax, NOT('5 App'!$H74="")),'5 App'!$H74,4)</f>
        <v>4</v>
      </c>
      <c r="AI74"/>
    </row>
    <row r="75" spans="1:47" ht="20.399999999999999" x14ac:dyDescent="0.25">
      <c r="A75" s="135" t="s">
        <v>1916</v>
      </c>
      <c r="B75" s="128" t="s">
        <v>234</v>
      </c>
      <c r="C75" s="243"/>
      <c r="D75" s="243"/>
      <c r="E75" s="304"/>
      <c r="F75" s="304"/>
      <c r="G75" s="133">
        <v>4</v>
      </c>
      <c r="H75" s="133"/>
      <c r="I75" s="136"/>
      <c r="J75" s="136"/>
      <c r="K75" s="135"/>
      <c r="L75" s="134"/>
      <c r="M75" s="213"/>
      <c r="N75" s="213"/>
      <c r="O75" s="213"/>
      <c r="P75" s="213"/>
      <c r="Q75" s="213"/>
      <c r="R75" s="213"/>
      <c r="S75" s="213"/>
      <c r="T75" s="213"/>
      <c r="U75" s="213"/>
      <c r="V75" s="213"/>
      <c r="W75" s="213"/>
      <c r="X75" s="213"/>
      <c r="Y75" s="213"/>
      <c r="AA75">
        <f>IF(AND('5 App'!C75&gt;Tmin, NOT('5 App'!$I75="")),'5 App'!$I75,0)</f>
        <v>0</v>
      </c>
      <c r="AB75">
        <f>IF(AND('5 App'!D75&gt;Tmin, NOT('5 App'!$I75="")),'5 App'!$I75,0)</f>
        <v>0</v>
      </c>
      <c r="AC75">
        <f>IF(AND('5 App'!E75&gt;Tmin, NOT('5 App'!$I75="")),'5 App'!$I75,0)</f>
        <v>0</v>
      </c>
      <c r="AD75">
        <f>IF(AND('5 App'!F75&gt;Tmin, NOT('5 App'!$I75="")),'5 App'!$I75,0)</f>
        <v>0</v>
      </c>
      <c r="AE75">
        <f>IF(AND('5 App'!C75&lt;Tmax, NOT('5 App'!$H75="")),'5 App'!$H75,4)</f>
        <v>4</v>
      </c>
      <c r="AF75">
        <f>IF(AND('5 App'!D75&lt;Tmax, NOT('5 App'!$H75="")),'5 App'!$H75,4)</f>
        <v>4</v>
      </c>
      <c r="AG75">
        <f>IF(AND('5 App'!E75&lt;Tmax, NOT('5 App'!$H75="")),'5 App'!$H75,4)</f>
        <v>4</v>
      </c>
      <c r="AH75">
        <f>IF(AND('5 App'!F75&lt;Tmax, NOT('5 App'!$H75="")),'5 App'!$H75,4)</f>
        <v>4</v>
      </c>
      <c r="AI75"/>
    </row>
    <row r="76" spans="1:47" ht="20.399999999999999" x14ac:dyDescent="0.25">
      <c r="A76" s="135" t="s">
        <v>1917</v>
      </c>
      <c r="B76" s="128" t="s">
        <v>235</v>
      </c>
      <c r="C76" s="243"/>
      <c r="D76" s="243"/>
      <c r="E76" s="304"/>
      <c r="F76" s="304"/>
      <c r="G76" s="133">
        <v>4</v>
      </c>
      <c r="H76" s="133"/>
      <c r="I76" s="136"/>
      <c r="J76" s="136"/>
      <c r="K76" s="135"/>
      <c r="L76" s="134"/>
      <c r="M76" s="213"/>
      <c r="N76" s="213"/>
      <c r="O76" s="213"/>
      <c r="P76" s="213"/>
      <c r="Q76" s="213"/>
      <c r="R76" s="213"/>
      <c r="S76" s="213"/>
      <c r="T76" s="213"/>
      <c r="U76" s="213"/>
      <c r="V76" s="213"/>
      <c r="W76" s="213"/>
      <c r="X76" s="213"/>
      <c r="Y76" s="213"/>
      <c r="AA76">
        <f>IF(AND('5 App'!C76&gt;Tmin, NOT('5 App'!$I76="")),'5 App'!$I76,0)</f>
        <v>0</v>
      </c>
      <c r="AB76">
        <f>IF(AND('5 App'!D76&gt;Tmin, NOT('5 App'!$I76="")),'5 App'!$I76,0)</f>
        <v>0</v>
      </c>
      <c r="AC76">
        <f>IF(AND('5 App'!E76&gt;Tmin, NOT('5 App'!$I76="")),'5 App'!$I76,0)</f>
        <v>0</v>
      </c>
      <c r="AD76">
        <f>IF(AND('5 App'!F76&gt;Tmin, NOT('5 App'!$I76="")),'5 App'!$I76,0)</f>
        <v>0</v>
      </c>
      <c r="AE76">
        <f>IF(AND('5 App'!C76&lt;Tmax, NOT('5 App'!$H76="")),'5 App'!$H76,4)</f>
        <v>4</v>
      </c>
      <c r="AF76">
        <f>IF(AND('5 App'!D76&lt;Tmax, NOT('5 App'!$H76="")),'5 App'!$H76,4)</f>
        <v>4</v>
      </c>
      <c r="AG76">
        <f>IF(AND('5 App'!E76&lt;Tmax, NOT('5 App'!$H76="")),'5 App'!$H76,4)</f>
        <v>4</v>
      </c>
      <c r="AH76">
        <f>IF(AND('5 App'!F76&lt;Tmax, NOT('5 App'!$H76="")),'5 App'!$H76,4)</f>
        <v>4</v>
      </c>
      <c r="AI76"/>
    </row>
    <row r="77" spans="1:47" s="240" customFormat="1" x14ac:dyDescent="0.2">
      <c r="A77" s="135" t="s">
        <v>4640</v>
      </c>
      <c r="B77" s="128" t="s">
        <v>4627</v>
      </c>
      <c r="C77" s="243"/>
      <c r="D77" s="243"/>
      <c r="E77" s="304"/>
      <c r="F77" s="304"/>
      <c r="G77" s="1142"/>
      <c r="H77" s="133"/>
      <c r="I77" s="133"/>
      <c r="J77" s="136"/>
      <c r="K77" s="135"/>
      <c r="L77" s="239"/>
      <c r="M77" s="239"/>
      <c r="N77" s="239"/>
      <c r="O77" s="239"/>
      <c r="P77" s="239"/>
      <c r="Q77" s="239"/>
      <c r="R77" s="239"/>
      <c r="S77" s="239"/>
      <c r="T77" s="239"/>
      <c r="U77" s="239"/>
      <c r="V77" s="239"/>
      <c r="W77" s="239"/>
      <c r="X77" s="239"/>
      <c r="Y77" s="239"/>
      <c r="Z77" s="239"/>
      <c r="AA77"/>
      <c r="AB77"/>
      <c r="AC77"/>
      <c r="AD77"/>
      <c r="AE77"/>
      <c r="AF77"/>
      <c r="AG77"/>
      <c r="AH77"/>
      <c r="AI77"/>
      <c r="AJ77" s="239"/>
      <c r="AK77" s="239"/>
      <c r="AL77" s="239"/>
      <c r="AM77" s="239"/>
      <c r="AN77" s="239"/>
      <c r="AO77" s="239"/>
      <c r="AP77" s="239"/>
      <c r="AQ77" s="239"/>
      <c r="AR77" s="239"/>
      <c r="AS77" s="239"/>
      <c r="AT77" s="239"/>
      <c r="AU77" s="239"/>
    </row>
    <row r="78" spans="1:47" s="240" customFormat="1" x14ac:dyDescent="0.2">
      <c r="A78" s="128" t="s">
        <v>4641</v>
      </c>
      <c r="B78" s="128" t="s">
        <v>4628</v>
      </c>
      <c r="C78" s="243"/>
      <c r="D78" s="243"/>
      <c r="E78" s="304"/>
      <c r="F78" s="304"/>
      <c r="G78" s="1142">
        <v>4</v>
      </c>
      <c r="H78" s="133"/>
      <c r="I78" s="133"/>
      <c r="J78" s="136"/>
      <c r="K78" s="135"/>
      <c r="L78" s="239"/>
      <c r="M78" s="239"/>
      <c r="N78" s="239"/>
      <c r="O78" s="239"/>
      <c r="P78" s="239"/>
      <c r="Q78" s="239"/>
      <c r="R78" s="239"/>
      <c r="S78" s="239"/>
      <c r="T78" s="239"/>
      <c r="U78" s="239"/>
      <c r="V78" s="239"/>
      <c r="W78" s="239"/>
      <c r="X78" s="239"/>
      <c r="Y78" s="239"/>
      <c r="Z78" s="239"/>
      <c r="AA78">
        <f>IF(AND('5 App'!C78&gt;Tmin, NOT('5 App'!$I78="")),'5 App'!$I78,0)</f>
        <v>0</v>
      </c>
      <c r="AB78">
        <f>IF(AND('5 App'!D78&gt;Tmin, NOT('5 App'!$I78="")),'5 App'!$I78,0)</f>
        <v>0</v>
      </c>
      <c r="AC78">
        <f>IF(AND('5 App'!E78&gt;Tmin, NOT('5 App'!$I78="")),'5 App'!$I78,0)</f>
        <v>0</v>
      </c>
      <c r="AD78">
        <f>IF(AND('5 App'!F78&gt;Tmin, NOT('5 App'!$I78="")),'5 App'!$I78,0)</f>
        <v>0</v>
      </c>
      <c r="AE78">
        <f>IF(AND('5 App'!C78&lt;Tmax, NOT('5 App'!$H78="")),'5 App'!$H78,4)</f>
        <v>4</v>
      </c>
      <c r="AF78">
        <f>IF(AND('5 App'!D78&lt;Tmax, NOT('5 App'!$H78="")),'5 App'!$H78,4)</f>
        <v>4</v>
      </c>
      <c r="AG78">
        <f>IF(AND('5 App'!E78&lt;Tmax, NOT('5 App'!$H78="")),'5 App'!$H78,4)</f>
        <v>4</v>
      </c>
      <c r="AH78">
        <f>IF(AND('5 App'!F78&lt;Tmax, NOT('5 App'!$H78="")),'5 App'!$H78,4)</f>
        <v>4</v>
      </c>
      <c r="AI78"/>
      <c r="AJ78" s="239"/>
      <c r="AK78" s="239"/>
      <c r="AL78" s="239"/>
      <c r="AM78" s="239"/>
      <c r="AN78" s="239"/>
      <c r="AO78" s="239"/>
      <c r="AP78" s="239"/>
      <c r="AQ78" s="239"/>
      <c r="AR78" s="239"/>
      <c r="AS78" s="239"/>
      <c r="AT78" s="239"/>
      <c r="AU78" s="239"/>
    </row>
    <row r="79" spans="1:47" s="240" customFormat="1" ht="20.399999999999999" x14ac:dyDescent="0.2">
      <c r="A79" s="128" t="s">
        <v>4642</v>
      </c>
      <c r="B79" s="128" t="s">
        <v>4629</v>
      </c>
      <c r="C79" s="243"/>
      <c r="D79" s="243"/>
      <c r="E79" s="304"/>
      <c r="F79" s="304"/>
      <c r="G79" s="1142">
        <v>4</v>
      </c>
      <c r="H79" s="133"/>
      <c r="I79" s="133"/>
      <c r="J79" s="136"/>
      <c r="K79" s="135"/>
      <c r="L79" s="239"/>
      <c r="M79" s="239"/>
      <c r="N79" s="239"/>
      <c r="O79" s="239"/>
      <c r="P79" s="239"/>
      <c r="Q79" s="239"/>
      <c r="R79" s="239"/>
      <c r="S79" s="239"/>
      <c r="T79" s="239"/>
      <c r="U79" s="239"/>
      <c r="V79" s="239"/>
      <c r="W79" s="239"/>
      <c r="X79" s="239"/>
      <c r="Y79" s="239"/>
      <c r="Z79" s="239"/>
      <c r="AA79">
        <f>IF(AND('5 App'!C79&gt;Tmin, NOT('5 App'!$I79="")),'5 App'!$I79,0)</f>
        <v>0</v>
      </c>
      <c r="AB79">
        <f>IF(AND('5 App'!D79&gt;Tmin, NOT('5 App'!$I79="")),'5 App'!$I79,0)</f>
        <v>0</v>
      </c>
      <c r="AC79">
        <f>IF(AND('5 App'!E79&gt;Tmin, NOT('5 App'!$I79="")),'5 App'!$I79,0)</f>
        <v>0</v>
      </c>
      <c r="AD79">
        <f>IF(AND('5 App'!F79&gt;Tmin, NOT('5 App'!$I79="")),'5 App'!$I79,0)</f>
        <v>0</v>
      </c>
      <c r="AE79">
        <f>IF(AND('5 App'!C79&lt;Tmax, NOT('5 App'!$H79="")),'5 App'!$H79,4)</f>
        <v>4</v>
      </c>
      <c r="AF79">
        <f>IF(AND('5 App'!D79&lt;Tmax, NOT('5 App'!$H79="")),'5 App'!$H79,4)</f>
        <v>4</v>
      </c>
      <c r="AG79">
        <f>IF(AND('5 App'!E79&lt;Tmax, NOT('5 App'!$H79="")),'5 App'!$H79,4)</f>
        <v>4</v>
      </c>
      <c r="AH79">
        <f>IF(AND('5 App'!F79&lt;Tmax, NOT('5 App'!$H79="")),'5 App'!$H79,4)</f>
        <v>4</v>
      </c>
      <c r="AI79"/>
      <c r="AJ79" s="239"/>
      <c r="AK79" s="239"/>
      <c r="AL79" s="239"/>
      <c r="AM79" s="239"/>
      <c r="AN79" s="239"/>
      <c r="AO79" s="239"/>
      <c r="AP79" s="239"/>
      <c r="AQ79" s="239"/>
      <c r="AR79" s="239"/>
      <c r="AS79" s="239"/>
      <c r="AT79" s="239"/>
      <c r="AU79" s="239"/>
    </row>
    <row r="80" spans="1:47" s="240" customFormat="1" x14ac:dyDescent="0.2">
      <c r="A80" s="128" t="s">
        <v>4643</v>
      </c>
      <c r="B80" s="128" t="s">
        <v>4630</v>
      </c>
      <c r="C80" s="243"/>
      <c r="D80" s="243"/>
      <c r="E80" s="304"/>
      <c r="F80" s="304"/>
      <c r="G80" s="1142">
        <v>4</v>
      </c>
      <c r="H80" s="133">
        <v>2</v>
      </c>
      <c r="I80" s="133"/>
      <c r="J80" s="136"/>
      <c r="K80" s="135"/>
      <c r="L80" s="239"/>
      <c r="M80" s="239"/>
      <c r="N80" s="239"/>
      <c r="O80" s="239"/>
      <c r="P80" s="239"/>
      <c r="Q80" s="239"/>
      <c r="R80" s="239"/>
      <c r="S80" s="239"/>
      <c r="T80" s="239"/>
      <c r="U80" s="239"/>
      <c r="V80" s="239"/>
      <c r="W80" s="239"/>
      <c r="X80" s="239"/>
      <c r="Y80" s="239"/>
      <c r="Z80" s="239"/>
      <c r="AA80">
        <f>IF(AND('5 App'!C80&gt;Tmin, NOT('5 App'!$I80="")),'5 App'!$I80,0)</f>
        <v>0</v>
      </c>
      <c r="AB80">
        <f>IF(AND('5 App'!D80&gt;Tmin, NOT('5 App'!$I80="")),'5 App'!$I80,0)</f>
        <v>0</v>
      </c>
      <c r="AC80">
        <f>IF(AND('5 App'!E80&gt;Tmin, NOT('5 App'!$I80="")),'5 App'!$I80,0)</f>
        <v>0</v>
      </c>
      <c r="AD80">
        <f>IF(AND('5 App'!F80&gt;Tmin, NOT('5 App'!$I80="")),'5 App'!$I80,0)</f>
        <v>0</v>
      </c>
      <c r="AE80">
        <f>IF(AND('5 App'!C80&lt;Tmax, NOT('5 App'!$H80="")),'5 App'!$H80,4)</f>
        <v>2</v>
      </c>
      <c r="AF80">
        <f>IF(AND('5 App'!D80&lt;Tmax, NOT('5 App'!$H80="")),'5 App'!$H80,4)</f>
        <v>2</v>
      </c>
      <c r="AG80">
        <f>IF(AND('5 App'!E80&lt;Tmax, NOT('5 App'!$H80="")),'5 App'!$H80,4)</f>
        <v>2</v>
      </c>
      <c r="AH80">
        <f>IF(AND('5 App'!F80&lt;Tmax, NOT('5 App'!$H80="")),'5 App'!$H80,4)</f>
        <v>2</v>
      </c>
      <c r="AI80"/>
      <c r="AJ80" s="239"/>
      <c r="AK80" s="239"/>
      <c r="AL80" s="239"/>
      <c r="AM80" s="239"/>
      <c r="AN80" s="239"/>
      <c r="AO80" s="239"/>
      <c r="AP80" s="239"/>
      <c r="AQ80" s="239"/>
      <c r="AR80" s="239"/>
      <c r="AS80" s="239"/>
      <c r="AT80" s="239"/>
      <c r="AU80" s="239"/>
    </row>
    <row r="81" spans="1:47" s="240" customFormat="1" x14ac:dyDescent="0.2">
      <c r="A81" s="128" t="s">
        <v>4644</v>
      </c>
      <c r="B81" s="128" t="s">
        <v>6768</v>
      </c>
      <c r="C81" s="243"/>
      <c r="D81" s="243"/>
      <c r="E81" s="304"/>
      <c r="F81" s="304"/>
      <c r="G81" s="1142">
        <v>4</v>
      </c>
      <c r="H81" s="133">
        <v>2</v>
      </c>
      <c r="I81" s="133"/>
      <c r="J81" s="136"/>
      <c r="K81" s="135"/>
      <c r="L81" s="239"/>
      <c r="M81" s="239"/>
      <c r="N81" s="239"/>
      <c r="O81" s="239"/>
      <c r="P81" s="239"/>
      <c r="Q81" s="239"/>
      <c r="R81" s="239"/>
      <c r="S81" s="239"/>
      <c r="T81" s="239"/>
      <c r="U81" s="239"/>
      <c r="V81" s="239"/>
      <c r="W81" s="239"/>
      <c r="X81" s="239"/>
      <c r="Y81" s="239"/>
      <c r="Z81" s="239"/>
      <c r="AA81">
        <f>IF(AND('5 App'!C81&gt;Tmin, NOT('5 App'!$I81="")),'5 App'!$I81,0)</f>
        <v>0</v>
      </c>
      <c r="AB81">
        <f>IF(AND('5 App'!D81&gt;Tmin, NOT('5 App'!$I81="")),'5 App'!$I81,0)</f>
        <v>0</v>
      </c>
      <c r="AC81">
        <f>IF(AND('5 App'!E81&gt;Tmin, NOT('5 App'!$I81="")),'5 App'!$I81,0)</f>
        <v>0</v>
      </c>
      <c r="AD81">
        <f>IF(AND('5 App'!F81&gt;Tmin, NOT('5 App'!$I81="")),'5 App'!$I81,0)</f>
        <v>0</v>
      </c>
      <c r="AE81">
        <f>IF(AND('5 App'!C81&lt;Tmax, NOT('5 App'!$H81="")),'5 App'!$H81,4)</f>
        <v>2</v>
      </c>
      <c r="AF81">
        <f>IF(AND('5 App'!D81&lt;Tmax, NOT('5 App'!$H81="")),'5 App'!$H81,4)</f>
        <v>2</v>
      </c>
      <c r="AG81">
        <f>IF(AND('5 App'!E81&lt;Tmax, NOT('5 App'!$H81="")),'5 App'!$H81,4)</f>
        <v>2</v>
      </c>
      <c r="AH81">
        <f>IF(AND('5 App'!F81&lt;Tmax, NOT('5 App'!$H81="")),'5 App'!$H81,4)</f>
        <v>2</v>
      </c>
      <c r="AI81"/>
      <c r="AJ81" s="239"/>
      <c r="AK81" s="239"/>
      <c r="AL81" s="239"/>
      <c r="AM81" s="239"/>
      <c r="AN81" s="239"/>
      <c r="AO81" s="239"/>
      <c r="AP81" s="239"/>
      <c r="AQ81" s="239"/>
      <c r="AR81" s="239"/>
      <c r="AS81" s="239"/>
      <c r="AT81" s="239"/>
      <c r="AU81" s="239"/>
    </row>
    <row r="82" spans="1:47" s="240" customFormat="1" ht="20.399999999999999" x14ac:dyDescent="0.2">
      <c r="A82" s="128" t="s">
        <v>4645</v>
      </c>
      <c r="B82" s="128" t="s">
        <v>344</v>
      </c>
      <c r="C82" s="243"/>
      <c r="D82" s="243"/>
      <c r="E82" s="304"/>
      <c r="F82" s="304"/>
      <c r="G82" s="1142">
        <v>4</v>
      </c>
      <c r="H82" s="133">
        <v>3</v>
      </c>
      <c r="I82" s="133"/>
      <c r="J82" s="136"/>
      <c r="K82" s="135"/>
      <c r="L82" s="239"/>
      <c r="M82" s="239"/>
      <c r="N82" s="239"/>
      <c r="O82" s="239"/>
      <c r="P82" s="239"/>
      <c r="Q82" s="239"/>
      <c r="R82" s="239"/>
      <c r="S82" s="239"/>
      <c r="T82" s="239"/>
      <c r="U82" s="239"/>
      <c r="V82" s="239"/>
      <c r="W82" s="239"/>
      <c r="X82" s="239"/>
      <c r="Y82" s="239"/>
      <c r="Z82" s="239"/>
      <c r="AA82">
        <f>IF(AND('5 App'!C82&gt;Tmin, NOT('5 App'!$I82="")),'5 App'!$I82,0)</f>
        <v>0</v>
      </c>
      <c r="AB82">
        <f>IF(AND('5 App'!D82&gt;Tmin, NOT('5 App'!$I82="")),'5 App'!$I82,0)</f>
        <v>0</v>
      </c>
      <c r="AC82">
        <f>IF(AND('5 App'!E82&gt;Tmin, NOT('5 App'!$I82="")),'5 App'!$I82,0)</f>
        <v>0</v>
      </c>
      <c r="AD82">
        <f>IF(AND('5 App'!F82&gt;Tmin, NOT('5 App'!$I82="")),'5 App'!$I82,0)</f>
        <v>0</v>
      </c>
      <c r="AE82">
        <f>IF(AND('5 App'!C82&lt;Tmax, NOT('5 App'!$H82="")),'5 App'!$H82,4)</f>
        <v>3</v>
      </c>
      <c r="AF82">
        <f>IF(AND('5 App'!D82&lt;Tmax, NOT('5 App'!$H82="")),'5 App'!$H82,4)</f>
        <v>3</v>
      </c>
      <c r="AG82">
        <f>IF(AND('5 App'!E82&lt;Tmax, NOT('5 App'!$H82="")),'5 App'!$H82,4)</f>
        <v>3</v>
      </c>
      <c r="AH82">
        <f>IF(AND('5 App'!F82&lt;Tmax, NOT('5 App'!$H82="")),'5 App'!$H82,4)</f>
        <v>3</v>
      </c>
      <c r="AI82"/>
      <c r="AJ82" s="239"/>
      <c r="AK82" s="239"/>
      <c r="AL82" s="239"/>
      <c r="AM82" s="239"/>
      <c r="AN82" s="239"/>
      <c r="AO82" s="239"/>
      <c r="AP82" s="239"/>
      <c r="AQ82" s="239"/>
      <c r="AR82" s="239"/>
      <c r="AS82" s="239"/>
      <c r="AT82" s="239"/>
      <c r="AU82" s="239"/>
    </row>
    <row r="83" spans="1:47" s="240" customFormat="1" x14ac:dyDescent="0.2">
      <c r="A83" s="128" t="s">
        <v>4646</v>
      </c>
      <c r="B83" s="128" t="s">
        <v>1026</v>
      </c>
      <c r="C83" s="243"/>
      <c r="D83" s="243"/>
      <c r="E83" s="304"/>
      <c r="F83" s="304"/>
      <c r="G83" s="1142">
        <v>4</v>
      </c>
      <c r="H83" s="133">
        <v>3</v>
      </c>
      <c r="I83" s="133"/>
      <c r="J83" s="136"/>
      <c r="K83" s="135"/>
      <c r="L83" s="239"/>
      <c r="M83" s="239"/>
      <c r="N83" s="239"/>
      <c r="O83" s="239"/>
      <c r="P83" s="239"/>
      <c r="Q83" s="239"/>
      <c r="R83" s="239"/>
      <c r="S83" s="239"/>
      <c r="T83" s="239"/>
      <c r="U83" s="239"/>
      <c r="V83" s="239"/>
      <c r="W83" s="239"/>
      <c r="X83" s="239"/>
      <c r="Y83" s="239"/>
      <c r="Z83" s="239"/>
      <c r="AA83">
        <f>IF(AND('5 App'!C83&gt;Tmin, NOT('5 App'!$I83="")),'5 App'!$I83,0)</f>
        <v>0</v>
      </c>
      <c r="AB83">
        <f>IF(AND('5 App'!D83&gt;Tmin, NOT('5 App'!$I83="")),'5 App'!$I83,0)</f>
        <v>0</v>
      </c>
      <c r="AC83">
        <f>IF(AND('5 App'!E83&gt;Tmin, NOT('5 App'!$I83="")),'5 App'!$I83,0)</f>
        <v>0</v>
      </c>
      <c r="AD83">
        <f>IF(AND('5 App'!F83&gt;Tmin, NOT('5 App'!$I83="")),'5 App'!$I83,0)</f>
        <v>0</v>
      </c>
      <c r="AE83">
        <f>IF(AND('5 App'!C83&lt;Tmax, NOT('5 App'!$H83="")),'5 App'!$H83,4)</f>
        <v>3</v>
      </c>
      <c r="AF83">
        <f>IF(AND('5 App'!D83&lt;Tmax, NOT('5 App'!$H83="")),'5 App'!$H83,4)</f>
        <v>3</v>
      </c>
      <c r="AG83">
        <f>IF(AND('5 App'!E83&lt;Tmax, NOT('5 App'!$H83="")),'5 App'!$H83,4)</f>
        <v>3</v>
      </c>
      <c r="AH83">
        <f>IF(AND('5 App'!F83&lt;Tmax, NOT('5 App'!$H83="")),'5 App'!$H83,4)</f>
        <v>3</v>
      </c>
      <c r="AI83"/>
      <c r="AJ83" s="239"/>
      <c r="AK83" s="239"/>
      <c r="AL83" s="239"/>
      <c r="AM83" s="239"/>
      <c r="AN83" s="239"/>
      <c r="AO83" s="239"/>
      <c r="AP83" s="239"/>
      <c r="AQ83" s="239"/>
      <c r="AR83" s="239"/>
      <c r="AS83" s="239"/>
      <c r="AT83" s="239"/>
      <c r="AU83" s="239"/>
    </row>
    <row r="84" spans="1:47" x14ac:dyDescent="0.25">
      <c r="A84" s="1139" t="s">
        <v>1302</v>
      </c>
      <c r="B84" s="1102" t="s">
        <v>376</v>
      </c>
      <c r="C84" s="243"/>
      <c r="D84" s="243"/>
      <c r="E84" s="304"/>
      <c r="F84" s="304"/>
      <c r="G84" s="133"/>
      <c r="H84" s="133"/>
      <c r="I84" s="136"/>
      <c r="J84" s="136"/>
      <c r="K84" s="135"/>
      <c r="AA84"/>
      <c r="AB84"/>
      <c r="AC84"/>
      <c r="AD84"/>
      <c r="AE84"/>
      <c r="AF84"/>
      <c r="AG84"/>
      <c r="AH84"/>
      <c r="AI84"/>
    </row>
    <row r="85" spans="1:47" x14ac:dyDescent="0.25">
      <c r="A85" s="135" t="s">
        <v>698</v>
      </c>
      <c r="B85" s="128" t="s">
        <v>201</v>
      </c>
      <c r="C85" s="243"/>
      <c r="D85" s="243"/>
      <c r="E85" s="304"/>
      <c r="F85" s="304"/>
      <c r="G85" s="133"/>
      <c r="H85" s="133"/>
      <c r="I85" s="136"/>
      <c r="J85" s="136"/>
      <c r="K85" s="135"/>
      <c r="L85" s="135"/>
      <c r="M85" s="135"/>
      <c r="N85" s="135"/>
      <c r="O85" s="135"/>
      <c r="P85" s="135"/>
      <c r="Q85" s="135"/>
      <c r="R85" s="135"/>
      <c r="S85" s="135"/>
      <c r="T85" s="135"/>
      <c r="U85" s="135"/>
      <c r="V85" s="135"/>
      <c r="W85" s="135"/>
      <c r="X85" s="135"/>
      <c r="Y85" s="135"/>
      <c r="Z85" s="250"/>
      <c r="AA85"/>
      <c r="AB85"/>
      <c r="AC85"/>
      <c r="AD85"/>
      <c r="AE85"/>
      <c r="AF85"/>
      <c r="AG85"/>
      <c r="AH85"/>
      <c r="AI85"/>
      <c r="AJ85" s="227"/>
      <c r="AK85" s="227"/>
      <c r="AL85" s="227"/>
      <c r="AM85" s="227"/>
    </row>
    <row r="86" spans="1:47" x14ac:dyDescent="0.25">
      <c r="A86" s="135" t="s">
        <v>1303</v>
      </c>
      <c r="B86" s="128" t="s">
        <v>93</v>
      </c>
      <c r="C86" s="243"/>
      <c r="D86" s="243"/>
      <c r="E86" s="304"/>
      <c r="F86" s="304"/>
      <c r="G86" s="133">
        <v>3</v>
      </c>
      <c r="H86" s="133"/>
      <c r="I86" s="136"/>
      <c r="J86" s="136"/>
      <c r="K86" s="135"/>
      <c r="L86" s="133"/>
      <c r="M86" s="213"/>
      <c r="N86" s="213"/>
      <c r="O86" s="213"/>
      <c r="P86" s="213"/>
      <c r="Q86" s="213"/>
      <c r="R86" s="213"/>
      <c r="S86" s="213"/>
      <c r="T86" s="213"/>
      <c r="U86" s="213"/>
      <c r="V86" s="213"/>
      <c r="W86" s="213"/>
      <c r="X86" s="213"/>
      <c r="Y86" s="213"/>
      <c r="AA86">
        <f>IF(AND('5 App'!C86&gt;Tmin, NOT('5 App'!$I86="")),'5 App'!$I86,0)</f>
        <v>0</v>
      </c>
      <c r="AB86">
        <f>IF(AND('5 App'!D86&gt;Tmin, NOT('5 App'!$I86="")),'5 App'!$I86,0)</f>
        <v>0</v>
      </c>
      <c r="AC86">
        <f>IF(AND('5 App'!E86&gt;Tmin, NOT('5 App'!$I86="")),'5 App'!$I86,0)</f>
        <v>0</v>
      </c>
      <c r="AD86">
        <f>IF(AND('5 App'!F86&gt;Tmin, NOT('5 App'!$I86="")),'5 App'!$I86,0)</f>
        <v>0</v>
      </c>
      <c r="AE86">
        <f>IF(AND('5 App'!C86&lt;Tmax, NOT('5 App'!$H86="")),'5 App'!$H86,4)</f>
        <v>4</v>
      </c>
      <c r="AF86">
        <f>IF(AND('5 App'!D86&lt;Tmax, NOT('5 App'!$H86="")),'5 App'!$H86,4)</f>
        <v>4</v>
      </c>
      <c r="AG86">
        <f>IF(AND('5 App'!E86&lt;Tmax, NOT('5 App'!$H86="")),'5 App'!$H86,4)</f>
        <v>4</v>
      </c>
      <c r="AH86">
        <f>IF(AND('5 App'!F86&lt;Tmax, NOT('5 App'!$H86="")),'5 App'!$H86,4)</f>
        <v>4</v>
      </c>
      <c r="AI86"/>
    </row>
    <row r="87" spans="1:47" ht="20.399999999999999" x14ac:dyDescent="0.25">
      <c r="A87" s="135" t="s">
        <v>1304</v>
      </c>
      <c r="B87" s="128" t="s">
        <v>94</v>
      </c>
      <c r="C87" s="243"/>
      <c r="D87" s="243"/>
      <c r="E87" s="304"/>
      <c r="F87" s="304"/>
      <c r="G87" s="133">
        <v>3</v>
      </c>
      <c r="H87" s="133">
        <v>2</v>
      </c>
      <c r="I87" s="136"/>
      <c r="J87" s="136"/>
      <c r="K87" s="135"/>
      <c r="L87" s="133"/>
      <c r="M87" s="213"/>
      <c r="N87" s="213"/>
      <c r="O87" s="213"/>
      <c r="P87" s="213"/>
      <c r="Q87" s="213"/>
      <c r="R87" s="213"/>
      <c r="S87" s="213"/>
      <c r="T87" s="213"/>
      <c r="U87" s="213"/>
      <c r="V87" s="213"/>
      <c r="W87" s="213"/>
      <c r="X87" s="213"/>
      <c r="Y87" s="213"/>
      <c r="AA87">
        <f>IF(AND('5 App'!C87&gt;Tmin, NOT('5 App'!$I87="")),'5 App'!$I87,0)</f>
        <v>0</v>
      </c>
      <c r="AB87">
        <f>IF(AND('5 App'!D87&gt;Tmin, NOT('5 App'!$I87="")),'5 App'!$I87,0)</f>
        <v>0</v>
      </c>
      <c r="AC87">
        <f>IF(AND('5 App'!E87&gt;Tmin, NOT('5 App'!$I87="")),'5 App'!$I87,0)</f>
        <v>0</v>
      </c>
      <c r="AD87">
        <f>IF(AND('5 App'!F87&gt;Tmin, NOT('5 App'!$I87="")),'5 App'!$I87,0)</f>
        <v>0</v>
      </c>
      <c r="AE87">
        <f>IF(AND('5 App'!C87&lt;Tmax, NOT('5 App'!$H87="")),'5 App'!$H87,4)</f>
        <v>2</v>
      </c>
      <c r="AF87">
        <f>IF(AND('5 App'!D87&lt;Tmax, NOT('5 App'!$H87="")),'5 App'!$H87,4)</f>
        <v>2</v>
      </c>
      <c r="AG87">
        <f>IF(AND('5 App'!E87&lt;Tmax, NOT('5 App'!$H87="")),'5 App'!$H87,4)</f>
        <v>2</v>
      </c>
      <c r="AH87">
        <f>IF(AND('5 App'!F87&lt;Tmax, NOT('5 App'!$H87="")),'5 App'!$H87,4)</f>
        <v>2</v>
      </c>
      <c r="AI87"/>
    </row>
    <row r="88" spans="1:47" ht="30.6" x14ac:dyDescent="0.25">
      <c r="A88" s="135" t="s">
        <v>1305</v>
      </c>
      <c r="B88" s="128" t="s">
        <v>2311</v>
      </c>
      <c r="C88" s="243"/>
      <c r="D88" s="243"/>
      <c r="E88" s="304"/>
      <c r="F88" s="304"/>
      <c r="G88" s="133">
        <v>3</v>
      </c>
      <c r="H88" s="133">
        <v>2</v>
      </c>
      <c r="I88" s="136"/>
      <c r="J88" s="136"/>
      <c r="K88" s="135"/>
      <c r="L88" s="134"/>
      <c r="M88" s="213"/>
      <c r="N88" s="213"/>
      <c r="O88" s="213"/>
      <c r="P88" s="213"/>
      <c r="Q88" s="213"/>
      <c r="R88" s="213"/>
      <c r="S88" s="213"/>
      <c r="T88" s="213"/>
      <c r="U88" s="213"/>
      <c r="V88" s="213"/>
      <c r="W88" s="213"/>
      <c r="X88" s="213"/>
      <c r="Y88" s="213"/>
      <c r="AA88">
        <f>IF(AND('5 App'!C88&gt;Tmin, NOT('5 App'!$I88="")),'5 App'!$I88,0)</f>
        <v>0</v>
      </c>
      <c r="AB88">
        <f>IF(AND('5 App'!D88&gt;Tmin, NOT('5 App'!$I88="")),'5 App'!$I88,0)</f>
        <v>0</v>
      </c>
      <c r="AC88">
        <f>IF(AND('5 App'!E88&gt;Tmin, NOT('5 App'!$I88="")),'5 App'!$I88,0)</f>
        <v>0</v>
      </c>
      <c r="AD88">
        <f>IF(AND('5 App'!F88&gt;Tmin, NOT('5 App'!$I88="")),'5 App'!$I88,0)</f>
        <v>0</v>
      </c>
      <c r="AE88">
        <f>IF(AND('5 App'!C88&lt;Tmax, NOT('5 App'!$H88="")),'5 App'!$H88,4)</f>
        <v>2</v>
      </c>
      <c r="AF88">
        <f>IF(AND('5 App'!D88&lt;Tmax, NOT('5 App'!$H88="")),'5 App'!$H88,4)</f>
        <v>2</v>
      </c>
      <c r="AG88">
        <f>IF(AND('5 App'!E88&lt;Tmax, NOT('5 App'!$H88="")),'5 App'!$H88,4)</f>
        <v>2</v>
      </c>
      <c r="AH88">
        <f>IF(AND('5 App'!F88&lt;Tmax, NOT('5 App'!$H88="")),'5 App'!$H88,4)</f>
        <v>2</v>
      </c>
      <c r="AI88"/>
    </row>
    <row r="89" spans="1:47" ht="30.6" x14ac:dyDescent="0.25">
      <c r="A89" s="135" t="s">
        <v>1306</v>
      </c>
      <c r="B89" s="128" t="s">
        <v>95</v>
      </c>
      <c r="C89" s="243"/>
      <c r="D89" s="243"/>
      <c r="E89" s="304"/>
      <c r="F89" s="304"/>
      <c r="G89" s="133">
        <v>3</v>
      </c>
      <c r="H89" s="133"/>
      <c r="I89" s="136"/>
      <c r="J89" s="136"/>
      <c r="K89" s="135"/>
      <c r="L89" s="134"/>
      <c r="M89" s="213"/>
      <c r="N89" s="213"/>
      <c r="O89" s="213"/>
      <c r="P89" s="213"/>
      <c r="Q89" s="213"/>
      <c r="R89" s="213"/>
      <c r="S89" s="213"/>
      <c r="T89" s="213"/>
      <c r="U89" s="213"/>
      <c r="V89" s="213"/>
      <c r="W89" s="213"/>
      <c r="X89" s="213"/>
      <c r="Y89" s="213"/>
      <c r="AA89">
        <f>IF(AND('5 App'!C89&gt;Tmin, NOT('5 App'!$I89="")),'5 App'!$I89,0)</f>
        <v>0</v>
      </c>
      <c r="AB89">
        <f>IF(AND('5 App'!D89&gt;Tmin, NOT('5 App'!$I89="")),'5 App'!$I89,0)</f>
        <v>0</v>
      </c>
      <c r="AC89">
        <f>IF(AND('5 App'!E89&gt;Tmin, NOT('5 App'!$I89="")),'5 App'!$I89,0)</f>
        <v>0</v>
      </c>
      <c r="AD89">
        <f>IF(AND('5 App'!F89&gt;Tmin, NOT('5 App'!$I89="")),'5 App'!$I89,0)</f>
        <v>0</v>
      </c>
      <c r="AE89">
        <f>IF(AND('5 App'!C89&lt;Tmax, NOT('5 App'!$H89="")),'5 App'!$H89,4)</f>
        <v>4</v>
      </c>
      <c r="AF89">
        <f>IF(AND('5 App'!D89&lt;Tmax, NOT('5 App'!$H89="")),'5 App'!$H89,4)</f>
        <v>4</v>
      </c>
      <c r="AG89">
        <f>IF(AND('5 App'!E89&lt;Tmax, NOT('5 App'!$H89="")),'5 App'!$H89,4)</f>
        <v>4</v>
      </c>
      <c r="AH89">
        <f>IF(AND('5 App'!F89&lt;Tmax, NOT('5 App'!$H89="")),'5 App'!$H89,4)</f>
        <v>4</v>
      </c>
      <c r="AI89"/>
    </row>
    <row r="90" spans="1:47" x14ac:dyDescent="0.25">
      <c r="A90" s="135" t="s">
        <v>1307</v>
      </c>
      <c r="B90" s="128" t="s">
        <v>334</v>
      </c>
      <c r="C90" s="243"/>
      <c r="D90" s="243"/>
      <c r="E90" s="304"/>
      <c r="F90" s="304"/>
      <c r="G90" s="133">
        <v>2</v>
      </c>
      <c r="H90" s="133"/>
      <c r="I90" s="136"/>
      <c r="J90" s="136"/>
      <c r="K90" s="135"/>
      <c r="L90" s="134"/>
      <c r="M90" s="213"/>
      <c r="N90" s="213"/>
      <c r="O90" s="213"/>
      <c r="P90" s="213"/>
      <c r="Q90" s="213"/>
      <c r="R90" s="213"/>
      <c r="S90" s="213"/>
      <c r="T90" s="213"/>
      <c r="U90" s="213"/>
      <c r="V90" s="213"/>
      <c r="W90" s="213"/>
      <c r="X90" s="213"/>
      <c r="Y90" s="213"/>
      <c r="AA90">
        <f>IF(AND('5 App'!C90&gt;Tmin, NOT('5 App'!$I90="")),'5 App'!$I90,0)</f>
        <v>0</v>
      </c>
      <c r="AB90">
        <f>IF(AND('5 App'!D90&gt;Tmin, NOT('5 App'!$I90="")),'5 App'!$I90,0)</f>
        <v>0</v>
      </c>
      <c r="AC90">
        <f>IF(AND('5 App'!E90&gt;Tmin, NOT('5 App'!$I90="")),'5 App'!$I90,0)</f>
        <v>0</v>
      </c>
      <c r="AD90">
        <f>IF(AND('5 App'!F90&gt;Tmin, NOT('5 App'!$I90="")),'5 App'!$I90,0)</f>
        <v>0</v>
      </c>
      <c r="AE90">
        <f>IF(AND('5 App'!C90&lt;Tmax, NOT('5 App'!$H90="")),'5 App'!$H90,4)</f>
        <v>4</v>
      </c>
      <c r="AF90">
        <f>IF(AND('5 App'!D90&lt;Tmax, NOT('5 App'!$H90="")),'5 App'!$H90,4)</f>
        <v>4</v>
      </c>
      <c r="AG90">
        <f>IF(AND('5 App'!E90&lt;Tmax, NOT('5 App'!$H90="")),'5 App'!$H90,4)</f>
        <v>4</v>
      </c>
      <c r="AH90">
        <f>IF(AND('5 App'!F90&lt;Tmax, NOT('5 App'!$H90="")),'5 App'!$H90,4)</f>
        <v>4</v>
      </c>
      <c r="AI90"/>
    </row>
    <row r="91" spans="1:47" x14ac:dyDescent="0.25">
      <c r="A91" s="135" t="s">
        <v>1308</v>
      </c>
      <c r="B91" s="128" t="s">
        <v>253</v>
      </c>
      <c r="C91" s="243"/>
      <c r="D91" s="243"/>
      <c r="E91" s="304"/>
      <c r="F91" s="304"/>
      <c r="G91" s="133">
        <v>4</v>
      </c>
      <c r="H91" s="133">
        <v>2</v>
      </c>
      <c r="I91" s="136"/>
      <c r="J91" s="136"/>
      <c r="K91" s="135"/>
      <c r="L91" s="133"/>
      <c r="M91" s="213"/>
      <c r="N91" s="213"/>
      <c r="O91" s="213"/>
      <c r="P91" s="213"/>
      <c r="Q91" s="213"/>
      <c r="R91" s="213"/>
      <c r="S91" s="213"/>
      <c r="T91" s="213"/>
      <c r="U91" s="213"/>
      <c r="V91" s="213"/>
      <c r="W91" s="213"/>
      <c r="X91" s="213"/>
      <c r="Y91" s="213"/>
      <c r="AA91">
        <f>IF(AND('5 App'!C91&gt;Tmin, NOT('5 App'!$I91="")),'5 App'!$I91,0)</f>
        <v>0</v>
      </c>
      <c r="AB91">
        <f>IF(AND('5 App'!D91&gt;Tmin, NOT('5 App'!$I91="")),'5 App'!$I91,0)</f>
        <v>0</v>
      </c>
      <c r="AC91">
        <f>IF(AND('5 App'!E91&gt;Tmin, NOT('5 App'!$I91="")),'5 App'!$I91,0)</f>
        <v>0</v>
      </c>
      <c r="AD91">
        <f>IF(AND('5 App'!F91&gt;Tmin, NOT('5 App'!$I91="")),'5 App'!$I91,0)</f>
        <v>0</v>
      </c>
      <c r="AE91">
        <f>IF(AND('5 App'!C91&lt;Tmax, NOT('5 App'!$H91="")),'5 App'!$H91,4)</f>
        <v>2</v>
      </c>
      <c r="AF91">
        <f>IF(AND('5 App'!D91&lt;Tmax, NOT('5 App'!$H91="")),'5 App'!$H91,4)</f>
        <v>2</v>
      </c>
      <c r="AG91">
        <f>IF(AND('5 App'!E91&lt;Tmax, NOT('5 App'!$H91="")),'5 App'!$H91,4)</f>
        <v>2</v>
      </c>
      <c r="AH91">
        <f>IF(AND('5 App'!F91&lt;Tmax, NOT('5 App'!$H91="")),'5 App'!$H91,4)</f>
        <v>2</v>
      </c>
      <c r="AI91"/>
    </row>
    <row r="92" spans="1:47" ht="20.399999999999999" x14ac:dyDescent="0.25">
      <c r="A92" s="135" t="s">
        <v>1309</v>
      </c>
      <c r="B92" s="128" t="s">
        <v>113</v>
      </c>
      <c r="C92" s="243"/>
      <c r="D92" s="243"/>
      <c r="E92" s="304"/>
      <c r="F92" s="304"/>
      <c r="G92" s="133">
        <v>4</v>
      </c>
      <c r="H92" s="133"/>
      <c r="I92" s="136"/>
      <c r="J92" s="136"/>
      <c r="K92" s="135"/>
      <c r="L92" s="133"/>
      <c r="M92" s="213"/>
      <c r="N92" s="213"/>
      <c r="O92" s="213"/>
      <c r="P92" s="213"/>
      <c r="Q92" s="213"/>
      <c r="R92" s="213"/>
      <c r="S92" s="213"/>
      <c r="T92" s="213"/>
      <c r="U92" s="213"/>
      <c r="V92" s="213"/>
      <c r="W92" s="213"/>
      <c r="X92" s="213"/>
      <c r="Y92" s="213"/>
      <c r="AA92">
        <f>IF(AND('5 App'!C92&gt;Tmin, NOT('5 App'!$I92="")),'5 App'!$I92,0)</f>
        <v>0</v>
      </c>
      <c r="AB92">
        <f>IF(AND('5 App'!D92&gt;Tmin, NOT('5 App'!$I92="")),'5 App'!$I92,0)</f>
        <v>0</v>
      </c>
      <c r="AC92">
        <f>IF(AND('5 App'!E92&gt;Tmin, NOT('5 App'!$I92="")),'5 App'!$I92,0)</f>
        <v>0</v>
      </c>
      <c r="AD92">
        <f>IF(AND('5 App'!F92&gt;Tmin, NOT('5 App'!$I92="")),'5 App'!$I92,0)</f>
        <v>0</v>
      </c>
      <c r="AE92">
        <f>IF(AND('5 App'!C92&lt;Tmax, NOT('5 App'!$H92="")),'5 App'!$H92,4)</f>
        <v>4</v>
      </c>
      <c r="AF92">
        <f>IF(AND('5 App'!D92&lt;Tmax, NOT('5 App'!$H92="")),'5 App'!$H92,4)</f>
        <v>4</v>
      </c>
      <c r="AG92">
        <f>IF(AND('5 App'!E92&lt;Tmax, NOT('5 App'!$H92="")),'5 App'!$H92,4)</f>
        <v>4</v>
      </c>
      <c r="AH92">
        <f>IF(AND('5 App'!F92&lt;Tmax, NOT('5 App'!$H92="")),'5 App'!$H92,4)</f>
        <v>4</v>
      </c>
      <c r="AI92"/>
    </row>
    <row r="93" spans="1:47" x14ac:dyDescent="0.25">
      <c r="A93" s="135" t="s">
        <v>1310</v>
      </c>
      <c r="B93" s="128" t="s">
        <v>96</v>
      </c>
      <c r="C93" s="243"/>
      <c r="D93" s="243"/>
      <c r="E93" s="304"/>
      <c r="F93" s="304"/>
      <c r="G93" s="133">
        <v>4</v>
      </c>
      <c r="H93" s="133"/>
      <c r="I93" s="136"/>
      <c r="J93" s="136"/>
      <c r="K93" s="135"/>
      <c r="L93" s="133"/>
      <c r="M93" s="213"/>
      <c r="N93" s="213"/>
      <c r="O93" s="213"/>
      <c r="P93" s="213"/>
      <c r="Q93" s="213"/>
      <c r="R93" s="213"/>
      <c r="S93" s="213"/>
      <c r="T93" s="213"/>
      <c r="U93" s="213"/>
      <c r="V93" s="213"/>
      <c r="W93" s="213"/>
      <c r="X93" s="213"/>
      <c r="Y93" s="213"/>
      <c r="AA93">
        <f>IF(AND('5 App'!C93&gt;Tmin, NOT('5 App'!$I93="")),'5 App'!$I93,0)</f>
        <v>0</v>
      </c>
      <c r="AB93">
        <f>IF(AND('5 App'!D93&gt;Tmin, NOT('5 App'!$I93="")),'5 App'!$I93,0)</f>
        <v>0</v>
      </c>
      <c r="AC93">
        <f>IF(AND('5 App'!E93&gt;Tmin, NOT('5 App'!$I93="")),'5 App'!$I93,0)</f>
        <v>0</v>
      </c>
      <c r="AD93">
        <f>IF(AND('5 App'!F93&gt;Tmin, NOT('5 App'!$I93="")),'5 App'!$I93,0)</f>
        <v>0</v>
      </c>
      <c r="AE93">
        <f>IF(AND('5 App'!C93&lt;Tmax, NOT('5 App'!$H93="")),'5 App'!$H93,4)</f>
        <v>4</v>
      </c>
      <c r="AF93">
        <f>IF(AND('5 App'!D93&lt;Tmax, NOT('5 App'!$H93="")),'5 App'!$H93,4)</f>
        <v>4</v>
      </c>
      <c r="AG93">
        <f>IF(AND('5 App'!E93&lt;Tmax, NOT('5 App'!$H93="")),'5 App'!$H93,4)</f>
        <v>4</v>
      </c>
      <c r="AH93">
        <f>IF(AND('5 App'!F93&lt;Tmax, NOT('5 App'!$H93="")),'5 App'!$H93,4)</f>
        <v>4</v>
      </c>
      <c r="AI93"/>
    </row>
    <row r="94" spans="1:47" ht="20.399999999999999" x14ac:dyDescent="0.25">
      <c r="A94" s="135" t="s">
        <v>1311</v>
      </c>
      <c r="B94" s="128" t="s">
        <v>97</v>
      </c>
      <c r="C94" s="243"/>
      <c r="D94" s="243"/>
      <c r="E94" s="304"/>
      <c r="F94" s="304"/>
      <c r="G94" s="133">
        <v>3</v>
      </c>
      <c r="H94" s="133">
        <v>2</v>
      </c>
      <c r="I94" s="136"/>
      <c r="J94" s="136"/>
      <c r="K94" s="135"/>
      <c r="L94" s="133"/>
      <c r="M94" s="213"/>
      <c r="N94" s="213"/>
      <c r="O94" s="213"/>
      <c r="P94" s="213"/>
      <c r="Q94" s="213"/>
      <c r="R94" s="213"/>
      <c r="S94" s="213"/>
      <c r="T94" s="213"/>
      <c r="U94" s="213"/>
      <c r="V94" s="213"/>
      <c r="W94" s="213"/>
      <c r="X94" s="213"/>
      <c r="Y94" s="213"/>
      <c r="AA94">
        <f>IF(AND('5 App'!C94&gt;Tmin, NOT('5 App'!$I94="")),'5 App'!$I94,0)</f>
        <v>0</v>
      </c>
      <c r="AB94">
        <f>IF(AND('5 App'!D94&gt;Tmin, NOT('5 App'!$I94="")),'5 App'!$I94,0)</f>
        <v>0</v>
      </c>
      <c r="AC94">
        <f>IF(AND('5 App'!E94&gt;Tmin, NOT('5 App'!$I94="")),'5 App'!$I94,0)</f>
        <v>0</v>
      </c>
      <c r="AD94">
        <f>IF(AND('5 App'!F94&gt;Tmin, NOT('5 App'!$I94="")),'5 App'!$I94,0)</f>
        <v>0</v>
      </c>
      <c r="AE94">
        <f>IF(AND('5 App'!C94&lt;Tmax, NOT('5 App'!$H94="")),'5 App'!$H94,4)</f>
        <v>2</v>
      </c>
      <c r="AF94">
        <f>IF(AND('5 App'!D94&lt;Tmax, NOT('5 App'!$H94="")),'5 App'!$H94,4)</f>
        <v>2</v>
      </c>
      <c r="AG94">
        <f>IF(AND('5 App'!E94&lt;Tmax, NOT('5 App'!$H94="")),'5 App'!$H94,4)</f>
        <v>2</v>
      </c>
      <c r="AH94">
        <f>IF(AND('5 App'!F94&lt;Tmax, NOT('5 App'!$H94="")),'5 App'!$H94,4)</f>
        <v>2</v>
      </c>
      <c r="AI94"/>
    </row>
    <row r="95" spans="1:47" x14ac:dyDescent="0.25">
      <c r="A95" s="135" t="s">
        <v>1312</v>
      </c>
      <c r="B95" s="128" t="s">
        <v>43</v>
      </c>
      <c r="C95" s="243"/>
      <c r="D95" s="243"/>
      <c r="E95" s="304"/>
      <c r="F95" s="304"/>
      <c r="G95" s="133">
        <v>3</v>
      </c>
      <c r="H95" s="133">
        <v>2</v>
      </c>
      <c r="I95" s="136"/>
      <c r="J95" s="136"/>
      <c r="K95" s="135"/>
      <c r="L95" s="133"/>
      <c r="M95" s="213"/>
      <c r="N95" s="213"/>
      <c r="O95" s="213"/>
      <c r="P95" s="213"/>
      <c r="Q95" s="213"/>
      <c r="R95" s="213"/>
      <c r="S95" s="213"/>
      <c r="T95" s="213"/>
      <c r="U95" s="213"/>
      <c r="V95" s="213"/>
      <c r="W95" s="213"/>
      <c r="X95" s="213"/>
      <c r="Y95" s="213"/>
      <c r="AA95">
        <f>IF(AND('5 App'!C95&gt;Tmin, NOT('5 App'!$I95="")),'5 App'!$I95,0)</f>
        <v>0</v>
      </c>
      <c r="AB95">
        <f>IF(AND('5 App'!D95&gt;Tmin, NOT('5 App'!$I95="")),'5 App'!$I95,0)</f>
        <v>0</v>
      </c>
      <c r="AC95">
        <f>IF(AND('5 App'!E95&gt;Tmin, NOT('5 App'!$I95="")),'5 App'!$I95,0)</f>
        <v>0</v>
      </c>
      <c r="AD95">
        <f>IF(AND('5 App'!F95&gt;Tmin, NOT('5 App'!$I95="")),'5 App'!$I95,0)</f>
        <v>0</v>
      </c>
      <c r="AE95">
        <f>IF(AND('5 App'!C95&lt;Tmax, NOT('5 App'!$H95="")),'5 App'!$H95,4)</f>
        <v>2</v>
      </c>
      <c r="AF95">
        <f>IF(AND('5 App'!D95&lt;Tmax, NOT('5 App'!$H95="")),'5 App'!$H95,4)</f>
        <v>2</v>
      </c>
      <c r="AG95">
        <f>IF(AND('5 App'!E95&lt;Tmax, NOT('5 App'!$H95="")),'5 App'!$H95,4)</f>
        <v>2</v>
      </c>
      <c r="AH95">
        <f>IF(AND('5 App'!F95&lt;Tmax, NOT('5 App'!$H95="")),'5 App'!$H95,4)</f>
        <v>2</v>
      </c>
      <c r="AI95"/>
    </row>
    <row r="96" spans="1:47" x14ac:dyDescent="0.25">
      <c r="A96" s="135" t="s">
        <v>700</v>
      </c>
      <c r="B96" s="128" t="s">
        <v>766</v>
      </c>
      <c r="C96" s="243"/>
      <c r="D96" s="243"/>
      <c r="E96" s="304"/>
      <c r="F96" s="304"/>
      <c r="G96" s="133"/>
      <c r="H96" s="133"/>
      <c r="I96" s="136"/>
      <c r="J96" s="136"/>
      <c r="K96" s="135"/>
      <c r="L96" s="251"/>
      <c r="M96" s="251"/>
      <c r="N96" s="251"/>
      <c r="O96" s="251"/>
      <c r="P96" s="251"/>
      <c r="Q96" s="251"/>
      <c r="R96" s="251"/>
      <c r="S96" s="251"/>
      <c r="T96" s="251"/>
      <c r="U96" s="251"/>
      <c r="V96" s="251"/>
      <c r="W96" s="251"/>
      <c r="X96" s="251"/>
      <c r="Y96" s="251"/>
      <c r="Z96" s="250"/>
      <c r="AA96"/>
      <c r="AB96"/>
      <c r="AC96"/>
      <c r="AD96"/>
      <c r="AE96"/>
      <c r="AF96"/>
      <c r="AG96"/>
      <c r="AH96"/>
      <c r="AI96"/>
      <c r="AJ96" s="227"/>
      <c r="AK96" s="227"/>
      <c r="AL96" s="227"/>
      <c r="AM96" s="227"/>
    </row>
    <row r="97" spans="1:39" ht="51" x14ac:dyDescent="0.25">
      <c r="A97" s="135" t="s">
        <v>1313</v>
      </c>
      <c r="B97" s="128" t="s">
        <v>1314</v>
      </c>
      <c r="C97" s="243">
        <v>0</v>
      </c>
      <c r="D97" s="243"/>
      <c r="E97" s="304"/>
      <c r="F97" s="304"/>
      <c r="G97" s="133">
        <v>4</v>
      </c>
      <c r="H97" s="133">
        <v>2</v>
      </c>
      <c r="I97" s="136"/>
      <c r="J97" s="136"/>
      <c r="K97" s="135" t="s">
        <v>7502</v>
      </c>
      <c r="AA97">
        <f>IF(AND('5 App'!C97&gt;Tmin, NOT('5 App'!$I97="")),'5 App'!$I97,0)</f>
        <v>0</v>
      </c>
      <c r="AB97">
        <f>IF(AND('5 App'!D97&gt;Tmin, NOT('5 App'!$I97="")),'5 App'!$I97,0)</f>
        <v>0</v>
      </c>
      <c r="AC97">
        <f>IF(AND('5 App'!E97&gt;Tmin, NOT('5 App'!$I97="")),'5 App'!$I97,0)</f>
        <v>0</v>
      </c>
      <c r="AD97">
        <f>IF(AND('5 App'!F97&gt;Tmin, NOT('5 App'!$I97="")),'5 App'!$I97,0)</f>
        <v>0</v>
      </c>
      <c r="AE97">
        <f>IF(AND('5 App'!C97&lt;Tmax, NOT('5 App'!$H97="")),'5 App'!$H97,4)</f>
        <v>2</v>
      </c>
      <c r="AF97">
        <f>IF(AND('5 App'!D97&lt;Tmax, NOT('5 App'!$H97="")),'5 App'!$H97,4)</f>
        <v>2</v>
      </c>
      <c r="AG97">
        <f>IF(AND('5 App'!E97&lt;Tmax, NOT('5 App'!$H97="")),'5 App'!$H97,4)</f>
        <v>2</v>
      </c>
      <c r="AH97">
        <f>IF(AND('5 App'!F97&lt;Tmax, NOT('5 App'!$H97="")),'5 App'!$H97,4)</f>
        <v>2</v>
      </c>
      <c r="AI97"/>
    </row>
    <row r="98" spans="1:39" ht="20.399999999999999" x14ac:dyDescent="0.25">
      <c r="A98" s="135" t="s">
        <v>1315</v>
      </c>
      <c r="B98" s="128" t="s">
        <v>4623</v>
      </c>
      <c r="C98" s="243">
        <v>0</v>
      </c>
      <c r="D98" s="243"/>
      <c r="E98" s="304"/>
      <c r="F98" s="304"/>
      <c r="G98" s="133">
        <v>4</v>
      </c>
      <c r="H98" s="133">
        <v>2</v>
      </c>
      <c r="I98" s="136"/>
      <c r="J98" s="136"/>
      <c r="K98" s="135" t="s">
        <v>7503</v>
      </c>
      <c r="AA98">
        <f>IF(AND('5 App'!C98&gt;Tmin, NOT('5 App'!$I98="")),'5 App'!$I98,0)</f>
        <v>0</v>
      </c>
      <c r="AB98">
        <f>IF(AND('5 App'!D98&gt;Tmin, NOT('5 App'!$I98="")),'5 App'!$I98,0)</f>
        <v>0</v>
      </c>
      <c r="AC98">
        <f>IF(AND('5 App'!E98&gt;Tmin, NOT('5 App'!$I98="")),'5 App'!$I98,0)</f>
        <v>0</v>
      </c>
      <c r="AD98">
        <f>IF(AND('5 App'!F98&gt;Tmin, NOT('5 App'!$I98="")),'5 App'!$I98,0)</f>
        <v>0</v>
      </c>
      <c r="AE98">
        <f>IF(AND('5 App'!C98&lt;Tmax, NOT('5 App'!$H98="")),'5 App'!$H98,4)</f>
        <v>2</v>
      </c>
      <c r="AF98">
        <f>IF(AND('5 App'!D98&lt;Tmax, NOT('5 App'!$H98="")),'5 App'!$H98,4)</f>
        <v>2</v>
      </c>
      <c r="AG98">
        <f>IF(AND('5 App'!E98&lt;Tmax, NOT('5 App'!$H98="")),'5 App'!$H98,4)</f>
        <v>2</v>
      </c>
      <c r="AH98">
        <f>IF(AND('5 App'!F98&lt;Tmax, NOT('5 App'!$H98="")),'5 App'!$H98,4)</f>
        <v>2</v>
      </c>
      <c r="AI98"/>
    </row>
    <row r="99" spans="1:39" ht="20.399999999999999" x14ac:dyDescent="0.25">
      <c r="A99" s="135" t="s">
        <v>1316</v>
      </c>
      <c r="B99" s="128" t="s">
        <v>1317</v>
      </c>
      <c r="C99" s="243">
        <v>0</v>
      </c>
      <c r="D99" s="243"/>
      <c r="E99" s="304"/>
      <c r="F99" s="304"/>
      <c r="G99" s="133">
        <v>4</v>
      </c>
      <c r="H99" s="133">
        <v>2</v>
      </c>
      <c r="I99" s="136"/>
      <c r="J99" s="136"/>
      <c r="K99" s="135" t="s">
        <v>7502</v>
      </c>
      <c r="AA99">
        <f>IF(AND('5 App'!C99&gt;Tmin, NOT('5 App'!$I99="")),'5 App'!$I99,0)</f>
        <v>0</v>
      </c>
      <c r="AB99">
        <f>IF(AND('5 App'!D99&gt;Tmin, NOT('5 App'!$I99="")),'5 App'!$I99,0)</f>
        <v>0</v>
      </c>
      <c r="AC99">
        <f>IF(AND('5 App'!E99&gt;Tmin, NOT('5 App'!$I99="")),'5 App'!$I99,0)</f>
        <v>0</v>
      </c>
      <c r="AD99">
        <f>IF(AND('5 App'!F99&gt;Tmin, NOT('5 App'!$I99="")),'5 App'!$I99,0)</f>
        <v>0</v>
      </c>
      <c r="AE99">
        <f>IF(AND('5 App'!C99&lt;Tmax, NOT('5 App'!$H99="")),'5 App'!$H99,4)</f>
        <v>2</v>
      </c>
      <c r="AF99">
        <f>IF(AND('5 App'!D99&lt;Tmax, NOT('5 App'!$H99="")),'5 App'!$H99,4)</f>
        <v>2</v>
      </c>
      <c r="AG99">
        <f>IF(AND('5 App'!E99&lt;Tmax, NOT('5 App'!$H99="")),'5 App'!$H99,4)</f>
        <v>2</v>
      </c>
      <c r="AH99">
        <f>IF(AND('5 App'!F99&lt;Tmax, NOT('5 App'!$H99="")),'5 App'!$H99,4)</f>
        <v>2</v>
      </c>
      <c r="AI99"/>
    </row>
    <row r="100" spans="1:39" x14ac:dyDescent="0.25">
      <c r="A100" s="135" t="s">
        <v>1318</v>
      </c>
      <c r="B100" s="128" t="s">
        <v>1319</v>
      </c>
      <c r="C100" s="243">
        <v>0</v>
      </c>
      <c r="D100" s="243"/>
      <c r="E100" s="304"/>
      <c r="F100" s="304"/>
      <c r="G100" s="133">
        <v>4</v>
      </c>
      <c r="H100" s="133">
        <v>2</v>
      </c>
      <c r="I100" s="136"/>
      <c r="J100" s="136"/>
      <c r="K100" s="135" t="s">
        <v>7504</v>
      </c>
      <c r="AA100">
        <f>IF(AND('5 App'!C100&gt;Tmin, NOT('5 App'!$I100="")),'5 App'!$I100,0)</f>
        <v>0</v>
      </c>
      <c r="AB100">
        <f>IF(AND('5 App'!D100&gt;Tmin, NOT('5 App'!$I100="")),'5 App'!$I100,0)</f>
        <v>0</v>
      </c>
      <c r="AC100">
        <f>IF(AND('5 App'!E100&gt;Tmin, NOT('5 App'!$I100="")),'5 App'!$I100,0)</f>
        <v>0</v>
      </c>
      <c r="AD100">
        <f>IF(AND('5 App'!F100&gt;Tmin, NOT('5 App'!$I100="")),'5 App'!$I100,0)</f>
        <v>0</v>
      </c>
      <c r="AE100">
        <f>IF(AND('5 App'!C100&lt;Tmax, NOT('5 App'!$H100="")),'5 App'!$H100,4)</f>
        <v>2</v>
      </c>
      <c r="AF100">
        <f>IF(AND('5 App'!D100&lt;Tmax, NOT('5 App'!$H100="")),'5 App'!$H100,4)</f>
        <v>2</v>
      </c>
      <c r="AG100">
        <f>IF(AND('5 App'!E100&lt;Tmax, NOT('5 App'!$H100="")),'5 App'!$H100,4)</f>
        <v>2</v>
      </c>
      <c r="AH100">
        <f>IF(AND('5 App'!F100&lt;Tmax, NOT('5 App'!$H100="")),'5 App'!$H100,4)</f>
        <v>2</v>
      </c>
      <c r="AI100"/>
    </row>
    <row r="101" spans="1:39" ht="20.399999999999999" x14ac:dyDescent="0.25">
      <c r="A101" s="135" t="s">
        <v>1320</v>
      </c>
      <c r="B101" s="128" t="s">
        <v>2312</v>
      </c>
      <c r="C101" s="243">
        <v>0</v>
      </c>
      <c r="D101" s="243"/>
      <c r="E101" s="304"/>
      <c r="F101" s="304"/>
      <c r="G101" s="133">
        <v>4</v>
      </c>
      <c r="H101" s="133">
        <v>2</v>
      </c>
      <c r="I101" s="136"/>
      <c r="J101" s="136"/>
      <c r="K101" s="135" t="s">
        <v>7502</v>
      </c>
      <c r="AA101">
        <f>IF(AND('5 App'!C101&gt;Tmin, NOT('5 App'!$I101="")),'5 App'!$I101,0)</f>
        <v>0</v>
      </c>
      <c r="AB101">
        <f>IF(AND('5 App'!D101&gt;Tmin, NOT('5 App'!$I101="")),'5 App'!$I101,0)</f>
        <v>0</v>
      </c>
      <c r="AC101">
        <f>IF(AND('5 App'!E101&gt;Tmin, NOT('5 App'!$I101="")),'5 App'!$I101,0)</f>
        <v>0</v>
      </c>
      <c r="AD101">
        <f>IF(AND('5 App'!F101&gt;Tmin, NOT('5 App'!$I101="")),'5 App'!$I101,0)</f>
        <v>0</v>
      </c>
      <c r="AE101">
        <f>IF(AND('5 App'!C101&lt;Tmax, NOT('5 App'!$H101="")),'5 App'!$H101,4)</f>
        <v>2</v>
      </c>
      <c r="AF101">
        <f>IF(AND('5 App'!D101&lt;Tmax, NOT('5 App'!$H101="")),'5 App'!$H101,4)</f>
        <v>2</v>
      </c>
      <c r="AG101">
        <f>IF(AND('5 App'!E101&lt;Tmax, NOT('5 App'!$H101="")),'5 App'!$H101,4)</f>
        <v>2</v>
      </c>
      <c r="AH101">
        <f>IF(AND('5 App'!F101&lt;Tmax, NOT('5 App'!$H101="")),'5 App'!$H101,4)</f>
        <v>2</v>
      </c>
      <c r="AI101"/>
    </row>
    <row r="102" spans="1:39" ht="20.399999999999999" x14ac:dyDescent="0.25">
      <c r="A102" s="135" t="s">
        <v>1321</v>
      </c>
      <c r="B102" s="128" t="s">
        <v>1322</v>
      </c>
      <c r="C102" s="243">
        <v>0</v>
      </c>
      <c r="D102" s="243"/>
      <c r="E102" s="304"/>
      <c r="F102" s="304"/>
      <c r="G102" s="133">
        <v>2</v>
      </c>
      <c r="H102" s="133">
        <v>3</v>
      </c>
      <c r="I102" s="136"/>
      <c r="J102" s="136"/>
      <c r="K102" s="135" t="s">
        <v>7494</v>
      </c>
      <c r="AA102">
        <f>IF(AND('5 App'!C102&gt;Tmin, NOT('5 App'!$I102="")),'5 App'!$I102,0)</f>
        <v>0</v>
      </c>
      <c r="AB102">
        <f>IF(AND('5 App'!D102&gt;Tmin, NOT('5 App'!$I102="")),'5 App'!$I102,0)</f>
        <v>0</v>
      </c>
      <c r="AC102">
        <f>IF(AND('5 App'!E102&gt;Tmin, NOT('5 App'!$I102="")),'5 App'!$I102,0)</f>
        <v>0</v>
      </c>
      <c r="AD102">
        <f>IF(AND('5 App'!F102&gt;Tmin, NOT('5 App'!$I102="")),'5 App'!$I102,0)</f>
        <v>0</v>
      </c>
      <c r="AE102">
        <f>IF(AND('5 App'!C102&lt;Tmax, NOT('5 App'!$H102="")),'5 App'!$H102,4)</f>
        <v>3</v>
      </c>
      <c r="AF102">
        <f>IF(AND('5 App'!D102&lt;Tmax, NOT('5 App'!$H102="")),'5 App'!$H102,4)</f>
        <v>3</v>
      </c>
      <c r="AG102">
        <f>IF(AND('5 App'!E102&lt;Tmax, NOT('5 App'!$H102="")),'5 App'!$H102,4)</f>
        <v>3</v>
      </c>
      <c r="AH102">
        <f>IF(AND('5 App'!F102&lt;Tmax, NOT('5 App'!$H102="")),'5 App'!$H102,4)</f>
        <v>3</v>
      </c>
      <c r="AI102"/>
    </row>
    <row r="103" spans="1:39" x14ac:dyDescent="0.25">
      <c r="A103" s="135" t="s">
        <v>702</v>
      </c>
      <c r="B103" s="128" t="s">
        <v>7248</v>
      </c>
      <c r="C103" s="243"/>
      <c r="D103" s="243"/>
      <c r="E103" s="304"/>
      <c r="F103" s="304"/>
      <c r="G103" s="133"/>
      <c r="H103" s="133"/>
      <c r="I103" s="136"/>
      <c r="J103" s="136"/>
      <c r="K103" s="135"/>
      <c r="L103" s="251"/>
      <c r="M103" s="251"/>
      <c r="N103" s="251"/>
      <c r="O103" s="251"/>
      <c r="P103" s="251"/>
      <c r="Q103" s="251"/>
      <c r="R103" s="251"/>
      <c r="S103" s="251"/>
      <c r="T103" s="251"/>
      <c r="U103" s="251"/>
      <c r="V103" s="251"/>
      <c r="W103" s="251"/>
      <c r="X103" s="251"/>
      <c r="Y103" s="251"/>
      <c r="Z103" s="250"/>
      <c r="AA103"/>
      <c r="AB103"/>
      <c r="AC103"/>
      <c r="AD103"/>
      <c r="AE103"/>
      <c r="AF103"/>
      <c r="AG103"/>
      <c r="AH103"/>
      <c r="AI103"/>
      <c r="AJ103" s="227"/>
      <c r="AK103" s="227"/>
      <c r="AL103" s="227"/>
      <c r="AM103" s="227"/>
    </row>
    <row r="104" spans="1:39" ht="20.399999999999999" x14ac:dyDescent="0.25">
      <c r="A104" s="164" t="s">
        <v>1323</v>
      </c>
      <c r="B104" s="164" t="s">
        <v>7249</v>
      </c>
      <c r="C104" s="136"/>
      <c r="D104" s="327"/>
      <c r="E104" s="327"/>
      <c r="F104" s="327"/>
      <c r="G104" s="133">
        <v>4</v>
      </c>
      <c r="H104" s="164"/>
      <c r="I104" s="164"/>
      <c r="J104" s="133" t="s">
        <v>6955</v>
      </c>
      <c r="K104" s="135"/>
      <c r="L104" s="251"/>
      <c r="M104" s="251"/>
      <c r="N104" s="251"/>
      <c r="O104" s="251"/>
      <c r="P104" s="251"/>
      <c r="Q104" s="251"/>
      <c r="R104" s="251"/>
      <c r="S104" s="251"/>
      <c r="T104" s="251"/>
      <c r="U104" s="251"/>
      <c r="V104" s="251"/>
      <c r="W104" s="251"/>
      <c r="X104" s="251"/>
      <c r="Y104" s="251"/>
      <c r="Z104" s="250"/>
      <c r="AA104">
        <f>IF(AND('5 App'!C104&gt;Tmin, NOT('5 App'!$I104="")),'5 App'!$I104,0)</f>
        <v>0</v>
      </c>
      <c r="AB104">
        <f>IF(AND('5 App'!D104&gt;Tmin, NOT('5 App'!$I104="")),'5 App'!$I104,0)</f>
        <v>0</v>
      </c>
      <c r="AC104">
        <f>IF(AND('5 App'!E104&gt;Tmin, NOT('5 App'!$I104="")),'5 App'!$I104,0)</f>
        <v>0</v>
      </c>
      <c r="AD104">
        <f>IF(AND('5 App'!F104&gt;Tmin, NOT('5 App'!$I104="")),'5 App'!$I104,0)</f>
        <v>0</v>
      </c>
      <c r="AE104">
        <f>IF(AND('5 App'!C104&lt;Tmax, NOT('5 App'!$H104="")),'5 App'!$H104,4)</f>
        <v>4</v>
      </c>
      <c r="AF104">
        <f>IF(AND('5 App'!D104&lt;Tmax, NOT('5 App'!$H104="")),'5 App'!$H104,4)</f>
        <v>4</v>
      </c>
      <c r="AG104">
        <f>IF(AND('5 App'!E104&lt;Tmax, NOT('5 App'!$H104="")),'5 App'!$H104,4)</f>
        <v>4</v>
      </c>
      <c r="AH104">
        <f>IF(AND('5 App'!F104&lt;Tmax, NOT('5 App'!$H104="")),'5 App'!$H104,4)</f>
        <v>4</v>
      </c>
      <c r="AI104"/>
      <c r="AJ104" s="227"/>
      <c r="AK104" s="227"/>
      <c r="AL104" s="227"/>
      <c r="AM104" s="227"/>
    </row>
    <row r="105" spans="1:39" ht="20.399999999999999" x14ac:dyDescent="0.25">
      <c r="A105" s="164" t="s">
        <v>1324</v>
      </c>
      <c r="B105" s="164" t="s">
        <v>6956</v>
      </c>
      <c r="C105" s="136"/>
      <c r="D105" s="327"/>
      <c r="E105" s="327"/>
      <c r="F105" s="327"/>
      <c r="G105" s="133">
        <v>4</v>
      </c>
      <c r="H105" s="164"/>
      <c r="I105" s="164"/>
      <c r="J105" s="133" t="s">
        <v>6955</v>
      </c>
      <c r="K105" s="135"/>
      <c r="L105" s="251"/>
      <c r="M105" s="251"/>
      <c r="N105" s="251"/>
      <c r="O105" s="251"/>
      <c r="P105" s="251"/>
      <c r="Q105" s="251"/>
      <c r="R105" s="251"/>
      <c r="S105" s="251"/>
      <c r="T105" s="251"/>
      <c r="U105" s="251"/>
      <c r="V105" s="251"/>
      <c r="W105" s="251"/>
      <c r="X105" s="251"/>
      <c r="Y105" s="251"/>
      <c r="Z105" s="250"/>
      <c r="AA105">
        <f>IF(AND('5 App'!C105&gt;Tmin, NOT('5 App'!$I105="")),'5 App'!$I105,0)</f>
        <v>0</v>
      </c>
      <c r="AB105">
        <f>IF(AND('5 App'!D105&gt;Tmin, NOT('5 App'!$I105="")),'5 App'!$I105,0)</f>
        <v>0</v>
      </c>
      <c r="AC105">
        <f>IF(AND('5 App'!E105&gt;Tmin, NOT('5 App'!$I105="")),'5 App'!$I105,0)</f>
        <v>0</v>
      </c>
      <c r="AD105">
        <f>IF(AND('5 App'!F105&gt;Tmin, NOT('5 App'!$I105="")),'5 App'!$I105,0)</f>
        <v>0</v>
      </c>
      <c r="AE105">
        <f>IF(AND('5 App'!C105&lt;Tmax, NOT('5 App'!$H105="")),'5 App'!$H105,4)</f>
        <v>4</v>
      </c>
      <c r="AF105">
        <f>IF(AND('5 App'!D105&lt;Tmax, NOT('5 App'!$H105="")),'5 App'!$H105,4)</f>
        <v>4</v>
      </c>
      <c r="AG105">
        <f>IF(AND('5 App'!E105&lt;Tmax, NOT('5 App'!$H105="")),'5 App'!$H105,4)</f>
        <v>4</v>
      </c>
      <c r="AH105">
        <f>IF(AND('5 App'!F105&lt;Tmax, NOT('5 App'!$H105="")),'5 App'!$H105,4)</f>
        <v>4</v>
      </c>
      <c r="AI105"/>
      <c r="AJ105" s="227"/>
      <c r="AK105" s="227"/>
      <c r="AL105" s="227"/>
      <c r="AM105" s="227"/>
    </row>
    <row r="106" spans="1:39" x14ac:dyDescent="0.25">
      <c r="A106" s="135" t="s">
        <v>4476</v>
      </c>
      <c r="B106" s="128" t="s">
        <v>4475</v>
      </c>
      <c r="C106" s="243"/>
      <c r="D106" s="243"/>
      <c r="E106" s="304"/>
      <c r="F106" s="304"/>
      <c r="G106" s="133"/>
      <c r="H106" s="133"/>
      <c r="I106" s="136"/>
      <c r="J106" s="136"/>
      <c r="K106" s="135"/>
      <c r="L106" s="251"/>
      <c r="M106" s="251"/>
      <c r="N106" s="251"/>
      <c r="O106" s="251"/>
      <c r="P106" s="251"/>
      <c r="Q106" s="251"/>
      <c r="R106" s="251"/>
      <c r="S106" s="251"/>
      <c r="T106" s="251"/>
      <c r="U106" s="251"/>
      <c r="V106" s="251"/>
      <c r="W106" s="251"/>
      <c r="X106" s="251"/>
      <c r="Y106" s="251"/>
      <c r="Z106" s="250"/>
      <c r="AA106"/>
      <c r="AB106"/>
      <c r="AC106"/>
      <c r="AD106"/>
      <c r="AE106"/>
      <c r="AF106"/>
      <c r="AG106"/>
      <c r="AH106"/>
      <c r="AI106"/>
      <c r="AJ106" s="227"/>
      <c r="AK106" s="227"/>
      <c r="AL106" s="227"/>
      <c r="AM106" s="227"/>
    </row>
    <row r="107" spans="1:39" ht="20.399999999999999" x14ac:dyDescent="0.25">
      <c r="A107" s="135" t="s">
        <v>4479</v>
      </c>
      <c r="B107" s="128" t="s">
        <v>6769</v>
      </c>
      <c r="C107" s="243"/>
      <c r="D107" s="243"/>
      <c r="E107" s="304"/>
      <c r="F107" s="304"/>
      <c r="G107" s="133">
        <v>4</v>
      </c>
      <c r="H107" s="133"/>
      <c r="I107" s="136"/>
      <c r="J107" s="136"/>
      <c r="K107" s="135"/>
      <c r="L107" s="251"/>
      <c r="M107" s="251"/>
      <c r="N107" s="251"/>
      <c r="O107" s="251"/>
      <c r="P107" s="251"/>
      <c r="Q107" s="251"/>
      <c r="R107" s="251"/>
      <c r="S107" s="251"/>
      <c r="T107" s="251"/>
      <c r="U107" s="251"/>
      <c r="V107" s="251"/>
      <c r="W107" s="251"/>
      <c r="X107" s="251"/>
      <c r="Y107" s="251"/>
      <c r="Z107" s="250"/>
      <c r="AA107">
        <f>IF(AND('5 App'!C107&gt;Tmin, NOT('5 App'!$I107="")),'5 App'!$I107,0)</f>
        <v>0</v>
      </c>
      <c r="AB107">
        <f>IF(AND('5 App'!D107&gt;Tmin, NOT('5 App'!$I107="")),'5 App'!$I107,0)</f>
        <v>0</v>
      </c>
      <c r="AC107">
        <f>IF(AND('5 App'!E107&gt;Tmin, NOT('5 App'!$I107="")),'5 App'!$I107,0)</f>
        <v>0</v>
      </c>
      <c r="AD107">
        <f>IF(AND('5 App'!F107&gt;Tmin, NOT('5 App'!$I107="")),'5 App'!$I107,0)</f>
        <v>0</v>
      </c>
      <c r="AE107">
        <f>IF(AND('5 App'!C107&lt;Tmax, NOT('5 App'!$H107="")),'5 App'!$H107,4)</f>
        <v>4</v>
      </c>
      <c r="AF107">
        <f>IF(AND('5 App'!D107&lt;Tmax, NOT('5 App'!$H107="")),'5 App'!$H107,4)</f>
        <v>4</v>
      </c>
      <c r="AG107">
        <f>IF(AND('5 App'!E107&lt;Tmax, NOT('5 App'!$H107="")),'5 App'!$H107,4)</f>
        <v>4</v>
      </c>
      <c r="AH107">
        <f>IF(AND('5 App'!F107&lt;Tmax, NOT('5 App'!$H107="")),'5 App'!$H107,4)</f>
        <v>4</v>
      </c>
      <c r="AI107"/>
      <c r="AJ107" s="227"/>
      <c r="AK107" s="227"/>
      <c r="AL107" s="227"/>
      <c r="AM107" s="227"/>
    </row>
    <row r="108" spans="1:39" x14ac:dyDescent="0.25">
      <c r="A108" s="135" t="s">
        <v>4480</v>
      </c>
      <c r="B108" s="128" t="s">
        <v>6770</v>
      </c>
      <c r="C108" s="243"/>
      <c r="D108" s="243"/>
      <c r="E108" s="304"/>
      <c r="F108" s="304"/>
      <c r="G108" s="133">
        <v>4</v>
      </c>
      <c r="H108" s="133">
        <v>3</v>
      </c>
      <c r="I108" s="136"/>
      <c r="J108" s="136"/>
      <c r="K108" s="135"/>
      <c r="AA108">
        <f>IF(AND('5 App'!C108&gt;Tmin, NOT('5 App'!$I108="")),'5 App'!$I108,0)</f>
        <v>0</v>
      </c>
      <c r="AB108">
        <f>IF(AND('5 App'!D108&gt;Tmin, NOT('5 App'!$I108="")),'5 App'!$I108,0)</f>
        <v>0</v>
      </c>
      <c r="AC108">
        <f>IF(AND('5 App'!E108&gt;Tmin, NOT('5 App'!$I108="")),'5 App'!$I108,0)</f>
        <v>0</v>
      </c>
      <c r="AD108">
        <f>IF(AND('5 App'!F108&gt;Tmin, NOT('5 App'!$I108="")),'5 App'!$I108,0)</f>
        <v>0</v>
      </c>
      <c r="AE108">
        <f>IF(AND('5 App'!C108&lt;Tmax, NOT('5 App'!$H108="")),'5 App'!$H108,4)</f>
        <v>3</v>
      </c>
      <c r="AF108">
        <f>IF(AND('5 App'!D108&lt;Tmax, NOT('5 App'!$H108="")),'5 App'!$H108,4)</f>
        <v>3</v>
      </c>
      <c r="AG108">
        <f>IF(AND('5 App'!E108&lt;Tmax, NOT('5 App'!$H108="")),'5 App'!$H108,4)</f>
        <v>3</v>
      </c>
      <c r="AH108">
        <f>IF(AND('5 App'!F108&lt;Tmax, NOT('5 App'!$H108="")),'5 App'!$H108,4)</f>
        <v>3</v>
      </c>
      <c r="AI108"/>
    </row>
    <row r="109" spans="1:39" x14ac:dyDescent="0.25">
      <c r="A109" s="135" t="s">
        <v>4481</v>
      </c>
      <c r="B109" s="128" t="s">
        <v>6771</v>
      </c>
      <c r="C109" s="243"/>
      <c r="D109" s="243"/>
      <c r="E109" s="304"/>
      <c r="F109" s="304"/>
      <c r="G109" s="133">
        <v>4</v>
      </c>
      <c r="H109" s="133">
        <v>3</v>
      </c>
      <c r="I109" s="136"/>
      <c r="J109" s="1141"/>
      <c r="K109" s="135"/>
      <c r="AA109">
        <f>IF(AND('5 App'!C109&gt;Tmin, NOT('5 App'!$I109="")),'5 App'!$I109,0)</f>
        <v>0</v>
      </c>
      <c r="AB109">
        <f>IF(AND('5 App'!D109&gt;Tmin, NOT('5 App'!$I109="")),'5 App'!$I109,0)</f>
        <v>0</v>
      </c>
      <c r="AC109">
        <f>IF(AND('5 App'!E109&gt;Tmin, NOT('5 App'!$I109="")),'5 App'!$I109,0)</f>
        <v>0</v>
      </c>
      <c r="AD109">
        <f>IF(AND('5 App'!F109&gt;Tmin, NOT('5 App'!$I109="")),'5 App'!$I109,0)</f>
        <v>0</v>
      </c>
      <c r="AE109">
        <f>IF(AND('5 App'!C109&lt;Tmax, NOT('5 App'!$H109="")),'5 App'!$H109,4)</f>
        <v>3</v>
      </c>
      <c r="AF109">
        <f>IF(AND('5 App'!D109&lt;Tmax, NOT('5 App'!$H109="")),'5 App'!$H109,4)</f>
        <v>3</v>
      </c>
      <c r="AG109">
        <f>IF(AND('5 App'!E109&lt;Tmax, NOT('5 App'!$H109="")),'5 App'!$H109,4)</f>
        <v>3</v>
      </c>
      <c r="AH109">
        <f>IF(AND('5 App'!F109&lt;Tmax, NOT('5 App'!$H109="")),'5 App'!$H109,4)</f>
        <v>3</v>
      </c>
      <c r="AI109"/>
    </row>
    <row r="110" spans="1:39" ht="20.399999999999999" x14ac:dyDescent="0.25">
      <c r="A110" s="135" t="s">
        <v>4482</v>
      </c>
      <c r="B110" s="128" t="s">
        <v>4477</v>
      </c>
      <c r="C110" s="243"/>
      <c r="D110" s="243"/>
      <c r="E110" s="304"/>
      <c r="F110" s="304"/>
      <c r="G110" s="133">
        <v>4</v>
      </c>
      <c r="H110" s="133">
        <v>3</v>
      </c>
      <c r="I110" s="136"/>
      <c r="J110" s="136"/>
      <c r="K110" s="135"/>
      <c r="AA110">
        <f>IF(AND('5 App'!C110&gt;Tmin, NOT('5 App'!$I110="")),'5 App'!$I110,0)</f>
        <v>0</v>
      </c>
      <c r="AB110">
        <f>IF(AND('5 App'!D110&gt;Tmin, NOT('5 App'!$I110="")),'5 App'!$I110,0)</f>
        <v>0</v>
      </c>
      <c r="AC110">
        <f>IF(AND('5 App'!E110&gt;Tmin, NOT('5 App'!$I110="")),'5 App'!$I110,0)</f>
        <v>0</v>
      </c>
      <c r="AD110">
        <f>IF(AND('5 App'!F110&gt;Tmin, NOT('5 App'!$I110="")),'5 App'!$I110,0)</f>
        <v>0</v>
      </c>
      <c r="AE110">
        <f>IF(AND('5 App'!C110&lt;Tmax, NOT('5 App'!$H110="")),'5 App'!$H110,4)</f>
        <v>3</v>
      </c>
      <c r="AF110">
        <f>IF(AND('5 App'!D110&lt;Tmax, NOT('5 App'!$H110="")),'5 App'!$H110,4)</f>
        <v>3</v>
      </c>
      <c r="AG110">
        <f>IF(AND('5 App'!E110&lt;Tmax, NOT('5 App'!$H110="")),'5 App'!$H110,4)</f>
        <v>3</v>
      </c>
      <c r="AH110">
        <f>IF(AND('5 App'!F110&lt;Tmax, NOT('5 App'!$H110="")),'5 App'!$H110,4)</f>
        <v>3</v>
      </c>
      <c r="AI110"/>
    </row>
    <row r="111" spans="1:39" x14ac:dyDescent="0.25">
      <c r="A111" s="135" t="s">
        <v>4483</v>
      </c>
      <c r="B111" s="128" t="s">
        <v>4478</v>
      </c>
      <c r="C111" s="243"/>
      <c r="D111" s="243"/>
      <c r="E111" s="304"/>
      <c r="F111" s="304"/>
      <c r="G111" s="133">
        <v>2</v>
      </c>
      <c r="H111" s="133">
        <v>3</v>
      </c>
      <c r="I111" s="136"/>
      <c r="J111" s="136"/>
      <c r="K111" s="696"/>
      <c r="AA111">
        <f>IF(AND('5 App'!C111&gt;Tmin, NOT('5 App'!$I111="")),'5 App'!$I111,0)</f>
        <v>0</v>
      </c>
      <c r="AB111">
        <f>IF(AND('5 App'!D111&gt;Tmin, NOT('5 App'!$I111="")),'5 App'!$I111,0)</f>
        <v>0</v>
      </c>
      <c r="AC111">
        <f>IF(AND('5 App'!E111&gt;Tmin, NOT('5 App'!$I111="")),'5 App'!$I111,0)</f>
        <v>0</v>
      </c>
      <c r="AD111">
        <f>IF(AND('5 App'!F111&gt;Tmin, NOT('5 App'!$I111="")),'5 App'!$I111,0)</f>
        <v>0</v>
      </c>
      <c r="AE111">
        <f>IF(AND('5 App'!C111&lt;Tmax, NOT('5 App'!$H111="")),'5 App'!$H111,4)</f>
        <v>3</v>
      </c>
      <c r="AF111">
        <f>IF(AND('5 App'!D111&lt;Tmax, NOT('5 App'!$H111="")),'5 App'!$H111,4)</f>
        <v>3</v>
      </c>
      <c r="AG111">
        <f>IF(AND('5 App'!E111&lt;Tmax, NOT('5 App'!$H111="")),'5 App'!$H111,4)</f>
        <v>3</v>
      </c>
      <c r="AH111">
        <f>IF(AND('5 App'!F111&lt;Tmax, NOT('5 App'!$H111="")),'5 App'!$H111,4)</f>
        <v>3</v>
      </c>
      <c r="AI111"/>
    </row>
    <row r="112" spans="1:39" ht="20.399999999999999" x14ac:dyDescent="0.25">
      <c r="A112" s="135" t="s">
        <v>4484</v>
      </c>
      <c r="B112" s="128" t="s">
        <v>4485</v>
      </c>
      <c r="C112" s="243"/>
      <c r="D112" s="243"/>
      <c r="E112" s="304"/>
      <c r="F112" s="304"/>
      <c r="G112" s="133">
        <v>2</v>
      </c>
      <c r="H112" s="133">
        <v>3</v>
      </c>
      <c r="I112" s="136"/>
      <c r="J112" s="136"/>
      <c r="K112" s="135"/>
      <c r="AA112">
        <f>IF(AND('5 App'!C112&gt;Tmin, NOT('5 App'!$I112="")),'5 App'!$I112,0)</f>
        <v>0</v>
      </c>
      <c r="AB112">
        <f>IF(AND('5 App'!D112&gt;Tmin, NOT('5 App'!$I112="")),'5 App'!$I112,0)</f>
        <v>0</v>
      </c>
      <c r="AC112">
        <f>IF(AND('5 App'!E112&gt;Tmin, NOT('5 App'!$I112="")),'5 App'!$I112,0)</f>
        <v>0</v>
      </c>
      <c r="AD112">
        <f>IF(AND('5 App'!F112&gt;Tmin, NOT('5 App'!$I112="")),'5 App'!$I112,0)</f>
        <v>0</v>
      </c>
      <c r="AE112">
        <f>IF(AND('5 App'!C112&lt;Tmax, NOT('5 App'!$H112="")),'5 App'!$H112,4)</f>
        <v>3</v>
      </c>
      <c r="AF112">
        <f>IF(AND('5 App'!D112&lt;Tmax, NOT('5 App'!$H112="")),'5 App'!$H112,4)</f>
        <v>3</v>
      </c>
      <c r="AG112">
        <f>IF(AND('5 App'!E112&lt;Tmax, NOT('5 App'!$H112="")),'5 App'!$H112,4)</f>
        <v>3</v>
      </c>
      <c r="AH112">
        <f>IF(AND('5 App'!F112&lt;Tmax, NOT('5 App'!$H112="")),'5 App'!$H112,4)</f>
        <v>3</v>
      </c>
      <c r="AI112"/>
    </row>
    <row r="113" spans="1:35" x14ac:dyDescent="0.25">
      <c r="A113" s="1139" t="s">
        <v>1325</v>
      </c>
      <c r="B113" s="1102" t="s">
        <v>294</v>
      </c>
      <c r="C113" s="243"/>
      <c r="D113" s="243"/>
      <c r="E113" s="304"/>
      <c r="F113" s="304"/>
      <c r="G113" s="133"/>
      <c r="H113" s="133"/>
      <c r="I113" s="136"/>
      <c r="J113" s="136"/>
      <c r="K113" s="135"/>
      <c r="AA113"/>
      <c r="AB113"/>
      <c r="AC113"/>
      <c r="AD113"/>
      <c r="AE113"/>
      <c r="AF113"/>
      <c r="AG113"/>
      <c r="AH113"/>
      <c r="AI113"/>
    </row>
    <row r="114" spans="1:35" x14ac:dyDescent="0.25">
      <c r="A114" s="135" t="s">
        <v>769</v>
      </c>
      <c r="B114" s="128" t="s">
        <v>55</v>
      </c>
      <c r="C114" s="243"/>
      <c r="D114" s="243"/>
      <c r="E114" s="304"/>
      <c r="F114" s="304"/>
      <c r="G114" s="133"/>
      <c r="H114" s="133"/>
      <c r="I114" s="136"/>
      <c r="J114" s="136"/>
      <c r="K114" s="135"/>
      <c r="AA114"/>
      <c r="AB114"/>
      <c r="AC114"/>
      <c r="AD114"/>
      <c r="AE114"/>
      <c r="AF114"/>
      <c r="AG114"/>
      <c r="AH114"/>
      <c r="AI114"/>
    </row>
    <row r="115" spans="1:35" ht="20.399999999999999" x14ac:dyDescent="0.25">
      <c r="A115" s="135" t="s">
        <v>1326</v>
      </c>
      <c r="B115" s="128" t="s">
        <v>292</v>
      </c>
      <c r="C115" s="243"/>
      <c r="D115" s="243"/>
      <c r="E115" s="304"/>
      <c r="F115" s="304"/>
      <c r="G115" s="133">
        <v>4</v>
      </c>
      <c r="H115" s="133"/>
      <c r="I115" s="136"/>
      <c r="J115" s="136"/>
      <c r="K115" s="135"/>
      <c r="L115" s="133"/>
      <c r="M115" s="213"/>
      <c r="N115" s="213"/>
      <c r="O115" s="213"/>
      <c r="P115" s="213"/>
      <c r="Q115" s="213"/>
      <c r="R115" s="213"/>
      <c r="S115" s="213"/>
      <c r="T115" s="213"/>
      <c r="U115" s="213"/>
      <c r="V115" s="213"/>
      <c r="W115" s="213"/>
      <c r="X115" s="213"/>
      <c r="Y115" s="213"/>
      <c r="AA115">
        <f>IF(AND('5 App'!C115&gt;Tmin, NOT('5 App'!$I115="")),'5 App'!$I115,0)</f>
        <v>0</v>
      </c>
      <c r="AB115">
        <f>IF(AND('5 App'!D115&gt;Tmin, NOT('5 App'!$I115="")),'5 App'!$I115,0)</f>
        <v>0</v>
      </c>
      <c r="AC115">
        <f>IF(AND('5 App'!E115&gt;Tmin, NOT('5 App'!$I115="")),'5 App'!$I115,0)</f>
        <v>0</v>
      </c>
      <c r="AD115">
        <f>IF(AND('5 App'!F115&gt;Tmin, NOT('5 App'!$I115="")),'5 App'!$I115,0)</f>
        <v>0</v>
      </c>
      <c r="AE115">
        <f>IF(AND('5 App'!C115&lt;Tmax, NOT('5 App'!$H115="")),'5 App'!$H115,4)</f>
        <v>4</v>
      </c>
      <c r="AF115">
        <f>IF(AND('5 App'!D115&lt;Tmax, NOT('5 App'!$H115="")),'5 App'!$H115,4)</f>
        <v>4</v>
      </c>
      <c r="AG115">
        <f>IF(AND('5 App'!E115&lt;Tmax, NOT('5 App'!$H115="")),'5 App'!$H115,4)</f>
        <v>4</v>
      </c>
      <c r="AH115">
        <f>IF(AND('5 App'!F115&lt;Tmax, NOT('5 App'!$H115="")),'5 App'!$H115,4)</f>
        <v>4</v>
      </c>
      <c r="AI115"/>
    </row>
    <row r="116" spans="1:35" x14ac:dyDescent="0.25">
      <c r="A116" s="135" t="s">
        <v>1327</v>
      </c>
      <c r="B116" s="128" t="s">
        <v>293</v>
      </c>
      <c r="C116" s="243"/>
      <c r="D116" s="243"/>
      <c r="E116" s="304"/>
      <c r="F116" s="304"/>
      <c r="G116" s="133">
        <v>4</v>
      </c>
      <c r="H116" s="133">
        <v>2</v>
      </c>
      <c r="I116" s="136"/>
      <c r="J116" s="136"/>
      <c r="K116" s="135"/>
      <c r="L116" s="134"/>
      <c r="M116" s="213"/>
      <c r="N116" s="213"/>
      <c r="O116" s="213"/>
      <c r="P116" s="213"/>
      <c r="Q116" s="213"/>
      <c r="R116" s="213"/>
      <c r="S116" s="213"/>
      <c r="T116" s="213"/>
      <c r="U116" s="213"/>
      <c r="V116" s="213"/>
      <c r="W116" s="213"/>
      <c r="X116" s="213"/>
      <c r="Y116" s="213"/>
      <c r="AA116">
        <f>IF(AND('5 App'!C116&gt;Tmin, NOT('5 App'!$I116="")),'5 App'!$I116,0)</f>
        <v>0</v>
      </c>
      <c r="AB116">
        <f>IF(AND('5 App'!D116&gt;Tmin, NOT('5 App'!$I116="")),'5 App'!$I116,0)</f>
        <v>0</v>
      </c>
      <c r="AC116">
        <f>IF(AND('5 App'!E116&gt;Tmin, NOT('5 App'!$I116="")),'5 App'!$I116,0)</f>
        <v>0</v>
      </c>
      <c r="AD116">
        <f>IF(AND('5 App'!F116&gt;Tmin, NOT('5 App'!$I116="")),'5 App'!$I116,0)</f>
        <v>0</v>
      </c>
      <c r="AE116">
        <f>IF(AND('5 App'!C116&lt;Tmax, NOT('5 App'!$H116="")),'5 App'!$H116,4)</f>
        <v>2</v>
      </c>
      <c r="AF116">
        <f>IF(AND('5 App'!D116&lt;Tmax, NOT('5 App'!$H116="")),'5 App'!$H116,4)</f>
        <v>2</v>
      </c>
      <c r="AG116">
        <f>IF(AND('5 App'!E116&lt;Tmax, NOT('5 App'!$H116="")),'5 App'!$H116,4)</f>
        <v>2</v>
      </c>
      <c r="AH116">
        <f>IF(AND('5 App'!F116&lt;Tmax, NOT('5 App'!$H116="")),'5 App'!$H116,4)</f>
        <v>2</v>
      </c>
      <c r="AI116"/>
    </row>
    <row r="117" spans="1:35" ht="40.5" customHeight="1" x14ac:dyDescent="0.25">
      <c r="A117" s="135" t="s">
        <v>1328</v>
      </c>
      <c r="B117" s="128" t="s">
        <v>98</v>
      </c>
      <c r="C117" s="243"/>
      <c r="D117" s="243"/>
      <c r="E117" s="304"/>
      <c r="F117" s="304"/>
      <c r="G117" s="133">
        <v>4</v>
      </c>
      <c r="H117" s="133">
        <v>2</v>
      </c>
      <c r="I117" s="136"/>
      <c r="J117" s="136"/>
      <c r="K117" s="135"/>
      <c r="L117" s="134"/>
      <c r="M117" s="213"/>
      <c r="N117" s="213"/>
      <c r="O117" s="213"/>
      <c r="P117" s="213"/>
      <c r="Q117" s="213"/>
      <c r="R117" s="213"/>
      <c r="S117" s="213"/>
      <c r="T117" s="213"/>
      <c r="U117" s="213"/>
      <c r="V117" s="213"/>
      <c r="W117" s="213"/>
      <c r="X117" s="213"/>
      <c r="Y117" s="213"/>
      <c r="AA117">
        <f>IF(AND('5 App'!C117&gt;Tmin, NOT('5 App'!$I117="")),'5 App'!$I117,0)</f>
        <v>0</v>
      </c>
      <c r="AB117">
        <f>IF(AND('5 App'!D117&gt;Tmin, NOT('5 App'!$I117="")),'5 App'!$I117,0)</f>
        <v>0</v>
      </c>
      <c r="AC117">
        <f>IF(AND('5 App'!E117&gt;Tmin, NOT('5 App'!$I117="")),'5 App'!$I117,0)</f>
        <v>0</v>
      </c>
      <c r="AD117">
        <f>IF(AND('5 App'!F117&gt;Tmin, NOT('5 App'!$I117="")),'5 App'!$I117,0)</f>
        <v>0</v>
      </c>
      <c r="AE117">
        <f>IF(AND('5 App'!C117&lt;Tmax, NOT('5 App'!$H117="")),'5 App'!$H117,4)</f>
        <v>2</v>
      </c>
      <c r="AF117">
        <f>IF(AND('5 App'!D117&lt;Tmax, NOT('5 App'!$H117="")),'5 App'!$H117,4)</f>
        <v>2</v>
      </c>
      <c r="AG117">
        <f>IF(AND('5 App'!E117&lt;Tmax, NOT('5 App'!$H117="")),'5 App'!$H117,4)</f>
        <v>2</v>
      </c>
      <c r="AH117">
        <f>IF(AND('5 App'!F117&lt;Tmax, NOT('5 App'!$H117="")),'5 App'!$H117,4)</f>
        <v>2</v>
      </c>
      <c r="AI117"/>
    </row>
    <row r="118" spans="1:35" ht="20.399999999999999" x14ac:dyDescent="0.25">
      <c r="A118" s="135" t="s">
        <v>1329</v>
      </c>
      <c r="B118" s="128" t="s">
        <v>99</v>
      </c>
      <c r="C118" s="243"/>
      <c r="D118" s="243"/>
      <c r="E118" s="304"/>
      <c r="F118" s="304"/>
      <c r="G118" s="133">
        <v>4</v>
      </c>
      <c r="H118" s="133">
        <v>2</v>
      </c>
      <c r="I118" s="136"/>
      <c r="J118" s="136"/>
      <c r="K118" s="135"/>
      <c r="L118" s="134"/>
      <c r="M118" s="213"/>
      <c r="N118" s="213"/>
      <c r="O118" s="213"/>
      <c r="P118" s="213"/>
      <c r="Q118" s="213"/>
      <c r="R118" s="213"/>
      <c r="S118" s="213"/>
      <c r="T118" s="213"/>
      <c r="U118" s="213"/>
      <c r="V118" s="213"/>
      <c r="W118" s="213"/>
      <c r="X118" s="213"/>
      <c r="Y118" s="213"/>
      <c r="AA118">
        <f>IF(AND('5 App'!C118&gt;Tmin, NOT('5 App'!$I118="")),'5 App'!$I118,0)</f>
        <v>0</v>
      </c>
      <c r="AB118">
        <f>IF(AND('5 App'!D118&gt;Tmin, NOT('5 App'!$I118="")),'5 App'!$I118,0)</f>
        <v>0</v>
      </c>
      <c r="AC118">
        <f>IF(AND('5 App'!E118&gt;Tmin, NOT('5 App'!$I118="")),'5 App'!$I118,0)</f>
        <v>0</v>
      </c>
      <c r="AD118">
        <f>IF(AND('5 App'!F118&gt;Tmin, NOT('5 App'!$I118="")),'5 App'!$I118,0)</f>
        <v>0</v>
      </c>
      <c r="AE118">
        <f>IF(AND('5 App'!C118&lt;Tmax, NOT('5 App'!$H118="")),'5 App'!$H118,4)</f>
        <v>2</v>
      </c>
      <c r="AF118">
        <f>IF(AND('5 App'!D118&lt;Tmax, NOT('5 App'!$H118="")),'5 App'!$H118,4)</f>
        <v>2</v>
      </c>
      <c r="AG118">
        <f>IF(AND('5 App'!E118&lt;Tmax, NOT('5 App'!$H118="")),'5 App'!$H118,4)</f>
        <v>2</v>
      </c>
      <c r="AH118">
        <f>IF(AND('5 App'!F118&lt;Tmax, NOT('5 App'!$H118="")),'5 App'!$H118,4)</f>
        <v>2</v>
      </c>
      <c r="AI118"/>
    </row>
    <row r="119" spans="1:35" x14ac:dyDescent="0.25">
      <c r="A119" s="135" t="s">
        <v>1330</v>
      </c>
      <c r="B119" s="128" t="s">
        <v>325</v>
      </c>
      <c r="C119" s="243"/>
      <c r="D119" s="243"/>
      <c r="E119" s="304"/>
      <c r="F119" s="304"/>
      <c r="G119" s="133">
        <v>3</v>
      </c>
      <c r="H119" s="133"/>
      <c r="I119" s="136">
        <v>2</v>
      </c>
      <c r="J119" s="136"/>
      <c r="K119" s="135"/>
      <c r="L119" s="134"/>
      <c r="M119" s="213"/>
      <c r="N119" s="213"/>
      <c r="O119" s="213"/>
      <c r="P119" s="213"/>
      <c r="Q119" s="213"/>
      <c r="R119" s="213"/>
      <c r="S119" s="213"/>
      <c r="T119" s="213"/>
      <c r="U119" s="213"/>
      <c r="V119" s="213"/>
      <c r="W119" s="213"/>
      <c r="X119" s="213"/>
      <c r="Y119" s="213"/>
      <c r="AA119">
        <f>IF(AND('5 App'!C119&gt;Tmin, NOT('5 App'!$I119="")),'5 App'!$I119,0)</f>
        <v>0</v>
      </c>
      <c r="AB119">
        <f>IF(AND('5 App'!D119&gt;Tmin, NOT('5 App'!$I119="")),'5 App'!$I119,0)</f>
        <v>0</v>
      </c>
      <c r="AC119">
        <f>IF(AND('5 App'!E119&gt;Tmin, NOT('5 App'!$I119="")),'5 App'!$I119,0)</f>
        <v>0</v>
      </c>
      <c r="AD119">
        <f>IF(AND('5 App'!F119&gt;Tmin, NOT('5 App'!$I119="")),'5 App'!$I119,0)</f>
        <v>0</v>
      </c>
      <c r="AE119">
        <f>IF(AND('5 App'!C119&lt;Tmax, NOT('5 App'!$H119="")),'5 App'!$H119,4)</f>
        <v>4</v>
      </c>
      <c r="AF119">
        <f>IF(AND('5 App'!D119&lt;Tmax, NOT('5 App'!$H119="")),'5 App'!$H119,4)</f>
        <v>4</v>
      </c>
      <c r="AG119">
        <f>IF(AND('5 App'!E119&lt;Tmax, NOT('5 App'!$H119="")),'5 App'!$H119,4)</f>
        <v>4</v>
      </c>
      <c r="AH119">
        <f>IF(AND('5 App'!F119&lt;Tmax, NOT('5 App'!$H119="")),'5 App'!$H119,4)</f>
        <v>4</v>
      </c>
      <c r="AI119"/>
    </row>
    <row r="120" spans="1:35" x14ac:dyDescent="0.25">
      <c r="A120" s="135" t="s">
        <v>1331</v>
      </c>
      <c r="B120" s="128" t="s">
        <v>327</v>
      </c>
      <c r="C120" s="243"/>
      <c r="D120" s="243"/>
      <c r="E120" s="304"/>
      <c r="F120" s="304"/>
      <c r="G120" s="133">
        <v>4</v>
      </c>
      <c r="H120" s="133">
        <v>3</v>
      </c>
      <c r="I120" s="136"/>
      <c r="J120" s="136"/>
      <c r="K120" s="135"/>
      <c r="L120" s="134"/>
      <c r="M120" s="213"/>
      <c r="N120" s="213"/>
      <c r="O120" s="213"/>
      <c r="P120" s="213"/>
      <c r="Q120" s="213"/>
      <c r="R120" s="213"/>
      <c r="S120" s="213"/>
      <c r="T120" s="213"/>
      <c r="U120" s="213"/>
      <c r="V120" s="213"/>
      <c r="W120" s="213"/>
      <c r="X120" s="213"/>
      <c r="Y120" s="213"/>
      <c r="AA120">
        <f>IF(AND('5 App'!C120&gt;Tmin, NOT('5 App'!$I120="")),'5 App'!$I120,0)</f>
        <v>0</v>
      </c>
      <c r="AB120">
        <f>IF(AND('5 App'!D120&gt;Tmin, NOT('5 App'!$I120="")),'5 App'!$I120,0)</f>
        <v>0</v>
      </c>
      <c r="AC120">
        <f>IF(AND('5 App'!E120&gt;Tmin, NOT('5 App'!$I120="")),'5 App'!$I120,0)</f>
        <v>0</v>
      </c>
      <c r="AD120">
        <f>IF(AND('5 App'!F120&gt;Tmin, NOT('5 App'!$I120="")),'5 App'!$I120,0)</f>
        <v>0</v>
      </c>
      <c r="AE120">
        <f>IF(AND('5 App'!C120&lt;Tmax, NOT('5 App'!$H120="")),'5 App'!$H120,4)</f>
        <v>3</v>
      </c>
      <c r="AF120">
        <f>IF(AND('5 App'!D120&lt;Tmax, NOT('5 App'!$H120="")),'5 App'!$H120,4)</f>
        <v>3</v>
      </c>
      <c r="AG120">
        <f>IF(AND('5 App'!E120&lt;Tmax, NOT('5 App'!$H120="")),'5 App'!$H120,4)</f>
        <v>3</v>
      </c>
      <c r="AH120">
        <f>IF(AND('5 App'!F120&lt;Tmax, NOT('5 App'!$H120="")),'5 App'!$H120,4)</f>
        <v>3</v>
      </c>
      <c r="AI120"/>
    </row>
    <row r="121" spans="1:35" x14ac:dyDescent="0.25">
      <c r="A121" s="135" t="s">
        <v>770</v>
      </c>
      <c r="B121" s="128" t="s">
        <v>328</v>
      </c>
      <c r="C121" s="243"/>
      <c r="D121" s="243"/>
      <c r="E121" s="304"/>
      <c r="F121" s="304"/>
      <c r="G121" s="133"/>
      <c r="H121" s="133"/>
      <c r="I121" s="136"/>
      <c r="J121" s="136"/>
      <c r="K121" s="135"/>
      <c r="L121" s="134"/>
      <c r="M121" s="213"/>
      <c r="N121" s="213"/>
      <c r="O121" s="213"/>
      <c r="P121" s="213"/>
      <c r="Q121" s="213"/>
      <c r="R121" s="213"/>
      <c r="S121" s="213"/>
      <c r="T121" s="213"/>
      <c r="U121" s="213"/>
      <c r="V121" s="213"/>
      <c r="W121" s="213"/>
      <c r="X121" s="213"/>
      <c r="Y121" s="213"/>
      <c r="AA121"/>
      <c r="AB121"/>
      <c r="AC121"/>
      <c r="AD121"/>
      <c r="AE121"/>
      <c r="AF121"/>
      <c r="AG121"/>
      <c r="AH121"/>
      <c r="AI121"/>
    </row>
    <row r="122" spans="1:35" ht="20.399999999999999" x14ac:dyDescent="0.25">
      <c r="A122" s="135" t="s">
        <v>1332</v>
      </c>
      <c r="B122" s="128" t="s">
        <v>329</v>
      </c>
      <c r="C122" s="243"/>
      <c r="D122" s="243"/>
      <c r="E122" s="304"/>
      <c r="F122" s="304"/>
      <c r="G122" s="133">
        <v>4</v>
      </c>
      <c r="H122" s="133"/>
      <c r="I122" s="136"/>
      <c r="J122" s="136"/>
      <c r="K122" s="135"/>
      <c r="L122" s="134"/>
      <c r="M122" s="213"/>
      <c r="N122" s="213"/>
      <c r="O122" s="213"/>
      <c r="P122" s="213"/>
      <c r="Q122" s="213"/>
      <c r="R122" s="213"/>
      <c r="S122" s="213"/>
      <c r="T122" s="213"/>
      <c r="U122" s="213"/>
      <c r="V122" s="213"/>
      <c r="W122" s="213"/>
      <c r="X122" s="213"/>
      <c r="Y122" s="213"/>
      <c r="AA122">
        <f>IF(AND('5 App'!C122&gt;Tmin, NOT('5 App'!$I122="")),'5 App'!$I122,0)</f>
        <v>0</v>
      </c>
      <c r="AB122">
        <f>IF(AND('5 App'!D122&gt;Tmin, NOT('5 App'!$I122="")),'5 App'!$I122,0)</f>
        <v>0</v>
      </c>
      <c r="AC122">
        <f>IF(AND('5 App'!E122&gt;Tmin, NOT('5 App'!$I122="")),'5 App'!$I122,0)</f>
        <v>0</v>
      </c>
      <c r="AD122">
        <f>IF(AND('5 App'!F122&gt;Tmin, NOT('5 App'!$I122="")),'5 App'!$I122,0)</f>
        <v>0</v>
      </c>
      <c r="AE122">
        <f>IF(AND('5 App'!C122&lt;Tmax, NOT('5 App'!$H122="")),'5 App'!$H122,4)</f>
        <v>4</v>
      </c>
      <c r="AF122">
        <f>IF(AND('5 App'!D122&lt;Tmax, NOT('5 App'!$H122="")),'5 App'!$H122,4)</f>
        <v>4</v>
      </c>
      <c r="AG122">
        <f>IF(AND('5 App'!E122&lt;Tmax, NOT('5 App'!$H122="")),'5 App'!$H122,4)</f>
        <v>4</v>
      </c>
      <c r="AH122">
        <f>IF(AND('5 App'!F122&lt;Tmax, NOT('5 App'!$H122="")),'5 App'!$H122,4)</f>
        <v>4</v>
      </c>
      <c r="AI122"/>
    </row>
    <row r="123" spans="1:35" ht="15" customHeight="1" x14ac:dyDescent="0.25">
      <c r="A123" s="135" t="s">
        <v>1333</v>
      </c>
      <c r="B123" s="128" t="s">
        <v>592</v>
      </c>
      <c r="C123" s="243"/>
      <c r="D123" s="243"/>
      <c r="E123" s="304"/>
      <c r="F123" s="304"/>
      <c r="G123" s="133">
        <v>4</v>
      </c>
      <c r="H123" s="133">
        <v>2</v>
      </c>
      <c r="I123" s="136"/>
      <c r="J123" s="136"/>
      <c r="K123" s="135"/>
      <c r="L123" s="134"/>
      <c r="M123" s="213"/>
      <c r="N123" s="213"/>
      <c r="O123" s="213"/>
      <c r="P123" s="213"/>
      <c r="Q123" s="213"/>
      <c r="R123" s="213"/>
      <c r="S123" s="213"/>
      <c r="T123" s="213"/>
      <c r="U123" s="213"/>
      <c r="V123" s="213"/>
      <c r="W123" s="213"/>
      <c r="X123" s="213"/>
      <c r="Y123" s="213"/>
      <c r="AA123">
        <f>IF(AND('5 App'!C123&gt;Tmin, NOT('5 App'!$I123="")),'5 App'!$I123,0)</f>
        <v>0</v>
      </c>
      <c r="AB123">
        <f>IF(AND('5 App'!D123&gt;Tmin, NOT('5 App'!$I123="")),'5 App'!$I123,0)</f>
        <v>0</v>
      </c>
      <c r="AC123">
        <f>IF(AND('5 App'!E123&gt;Tmin, NOT('5 App'!$I123="")),'5 App'!$I123,0)</f>
        <v>0</v>
      </c>
      <c r="AD123">
        <f>IF(AND('5 App'!F123&gt;Tmin, NOT('5 App'!$I123="")),'5 App'!$I123,0)</f>
        <v>0</v>
      </c>
      <c r="AE123">
        <f>IF(AND('5 App'!C123&lt;Tmax, NOT('5 App'!$H123="")),'5 App'!$H123,4)</f>
        <v>2</v>
      </c>
      <c r="AF123">
        <f>IF(AND('5 App'!D123&lt;Tmax, NOT('5 App'!$H123="")),'5 App'!$H123,4)</f>
        <v>2</v>
      </c>
      <c r="AG123">
        <f>IF(AND('5 App'!E123&lt;Tmax, NOT('5 App'!$H123="")),'5 App'!$H123,4)</f>
        <v>2</v>
      </c>
      <c r="AH123">
        <f>IF(AND('5 App'!F123&lt;Tmax, NOT('5 App'!$H123="")),'5 App'!$H123,4)</f>
        <v>2</v>
      </c>
      <c r="AI123"/>
    </row>
    <row r="124" spans="1:35" ht="30.6" x14ac:dyDescent="0.25">
      <c r="A124" s="135" t="s">
        <v>1334</v>
      </c>
      <c r="B124" s="128" t="s">
        <v>100</v>
      </c>
      <c r="C124" s="243"/>
      <c r="D124" s="243"/>
      <c r="E124" s="304"/>
      <c r="F124" s="304"/>
      <c r="G124" s="133">
        <v>4</v>
      </c>
      <c r="H124" s="133">
        <v>2</v>
      </c>
      <c r="I124" s="136"/>
      <c r="J124" s="136"/>
      <c r="K124" s="135"/>
      <c r="L124" s="134"/>
      <c r="M124" s="213"/>
      <c r="N124" s="213"/>
      <c r="O124" s="213"/>
      <c r="P124" s="213"/>
      <c r="Q124" s="213"/>
      <c r="R124" s="213"/>
      <c r="S124" s="213"/>
      <c r="T124" s="213"/>
      <c r="U124" s="213"/>
      <c r="V124" s="213"/>
      <c r="W124" s="213"/>
      <c r="X124" s="213"/>
      <c r="Y124" s="213"/>
      <c r="AA124">
        <f>IF(AND('5 App'!C124&gt;Tmin, NOT('5 App'!$I124="")),'5 App'!$I124,0)</f>
        <v>0</v>
      </c>
      <c r="AB124">
        <f>IF(AND('5 App'!D124&gt;Tmin, NOT('5 App'!$I124="")),'5 App'!$I124,0)</f>
        <v>0</v>
      </c>
      <c r="AC124">
        <f>IF(AND('5 App'!E124&gt;Tmin, NOT('5 App'!$I124="")),'5 App'!$I124,0)</f>
        <v>0</v>
      </c>
      <c r="AD124">
        <f>IF(AND('5 App'!F124&gt;Tmin, NOT('5 App'!$I124="")),'5 App'!$I124,0)</f>
        <v>0</v>
      </c>
      <c r="AE124">
        <f>IF(AND('5 App'!C124&lt;Tmax, NOT('5 App'!$H124="")),'5 App'!$H124,4)</f>
        <v>2</v>
      </c>
      <c r="AF124">
        <f>IF(AND('5 App'!D124&lt;Tmax, NOT('5 App'!$H124="")),'5 App'!$H124,4)</f>
        <v>2</v>
      </c>
      <c r="AG124">
        <f>IF(AND('5 App'!E124&lt;Tmax, NOT('5 App'!$H124="")),'5 App'!$H124,4)</f>
        <v>2</v>
      </c>
      <c r="AH124">
        <f>IF(AND('5 App'!F124&lt;Tmax, NOT('5 App'!$H124="")),'5 App'!$H124,4)</f>
        <v>2</v>
      </c>
      <c r="AI124"/>
    </row>
    <row r="125" spans="1:35" ht="20.399999999999999" x14ac:dyDescent="0.25">
      <c r="A125" s="135" t="s">
        <v>1335</v>
      </c>
      <c r="B125" s="128" t="s">
        <v>101</v>
      </c>
      <c r="C125" s="243"/>
      <c r="D125" s="243"/>
      <c r="E125" s="304"/>
      <c r="F125" s="304"/>
      <c r="G125" s="133">
        <v>4</v>
      </c>
      <c r="H125" s="133">
        <v>2</v>
      </c>
      <c r="I125" s="136"/>
      <c r="J125" s="136"/>
      <c r="K125" s="135"/>
      <c r="L125" s="134"/>
      <c r="M125" s="213"/>
      <c r="N125" s="213"/>
      <c r="O125" s="213"/>
      <c r="P125" s="213"/>
      <c r="Q125" s="213"/>
      <c r="R125" s="213"/>
      <c r="S125" s="213"/>
      <c r="T125" s="213"/>
      <c r="U125" s="213"/>
      <c r="V125" s="213"/>
      <c r="W125" s="213"/>
      <c r="X125" s="213"/>
      <c r="Y125" s="213"/>
      <c r="AA125">
        <f>IF(AND('5 App'!C125&gt;Tmin, NOT('5 App'!$I125="")),'5 App'!$I125,0)</f>
        <v>0</v>
      </c>
      <c r="AB125">
        <f>IF(AND('5 App'!D125&gt;Tmin, NOT('5 App'!$I125="")),'5 App'!$I125,0)</f>
        <v>0</v>
      </c>
      <c r="AC125">
        <f>IF(AND('5 App'!E125&gt;Tmin, NOT('5 App'!$I125="")),'5 App'!$I125,0)</f>
        <v>0</v>
      </c>
      <c r="AD125">
        <f>IF(AND('5 App'!F125&gt;Tmin, NOT('5 App'!$I125="")),'5 App'!$I125,0)</f>
        <v>0</v>
      </c>
      <c r="AE125">
        <f>IF(AND('5 App'!C125&lt;Tmax, NOT('5 App'!$H125="")),'5 App'!$H125,4)</f>
        <v>2</v>
      </c>
      <c r="AF125">
        <f>IF(AND('5 App'!D125&lt;Tmax, NOT('5 App'!$H125="")),'5 App'!$H125,4)</f>
        <v>2</v>
      </c>
      <c r="AG125">
        <f>IF(AND('5 App'!E125&lt;Tmax, NOT('5 App'!$H125="")),'5 App'!$H125,4)</f>
        <v>2</v>
      </c>
      <c r="AH125">
        <f>IF(AND('5 App'!F125&lt;Tmax, NOT('5 App'!$H125="")),'5 App'!$H125,4)</f>
        <v>2</v>
      </c>
      <c r="AI125"/>
    </row>
    <row r="126" spans="1:35" x14ac:dyDescent="0.25">
      <c r="A126" s="135" t="s">
        <v>1336</v>
      </c>
      <c r="B126" s="128" t="s">
        <v>325</v>
      </c>
      <c r="C126" s="243"/>
      <c r="D126" s="243"/>
      <c r="E126" s="304"/>
      <c r="F126" s="304"/>
      <c r="G126" s="133">
        <v>3</v>
      </c>
      <c r="H126" s="133"/>
      <c r="I126" s="136">
        <v>2</v>
      </c>
      <c r="J126" s="136"/>
      <c r="K126" s="135"/>
      <c r="L126" s="134"/>
      <c r="M126" s="213"/>
      <c r="N126" s="213"/>
      <c r="O126" s="213"/>
      <c r="P126" s="213"/>
      <c r="Q126" s="213"/>
      <c r="R126" s="213"/>
      <c r="S126" s="213"/>
      <c r="T126" s="213"/>
      <c r="U126" s="213"/>
      <c r="V126" s="213"/>
      <c r="W126" s="213"/>
      <c r="X126" s="213"/>
      <c r="Y126" s="213"/>
      <c r="AA126">
        <f>IF(AND('5 App'!C126&gt;Tmin, NOT('5 App'!$I126="")),'5 App'!$I126,0)</f>
        <v>0</v>
      </c>
      <c r="AB126">
        <f>IF(AND('5 App'!D126&gt;Tmin, NOT('5 App'!$I126="")),'5 App'!$I126,0)</f>
        <v>0</v>
      </c>
      <c r="AC126">
        <f>IF(AND('5 App'!E126&gt;Tmin, NOT('5 App'!$I126="")),'5 App'!$I126,0)</f>
        <v>0</v>
      </c>
      <c r="AD126">
        <f>IF(AND('5 App'!F126&gt;Tmin, NOT('5 App'!$I126="")),'5 App'!$I126,0)</f>
        <v>0</v>
      </c>
      <c r="AE126">
        <f>IF(AND('5 App'!C126&lt;Tmax, NOT('5 App'!$H126="")),'5 App'!$H126,4)</f>
        <v>4</v>
      </c>
      <c r="AF126">
        <f>IF(AND('5 App'!D126&lt;Tmax, NOT('5 App'!$H126="")),'5 App'!$H126,4)</f>
        <v>4</v>
      </c>
      <c r="AG126">
        <f>IF(AND('5 App'!E126&lt;Tmax, NOT('5 App'!$H126="")),'5 App'!$H126,4)</f>
        <v>4</v>
      </c>
      <c r="AH126">
        <f>IF(AND('5 App'!F126&lt;Tmax, NOT('5 App'!$H126="")),'5 App'!$H126,4)</f>
        <v>4</v>
      </c>
      <c r="AI126"/>
    </row>
    <row r="127" spans="1:35" ht="20.399999999999999" x14ac:dyDescent="0.25">
      <c r="A127" s="135" t="s">
        <v>1337</v>
      </c>
      <c r="B127" s="128" t="s">
        <v>593</v>
      </c>
      <c r="C127" s="243"/>
      <c r="D127" s="243"/>
      <c r="E127" s="304"/>
      <c r="F127" s="304"/>
      <c r="G127" s="133">
        <v>4</v>
      </c>
      <c r="H127" s="133">
        <v>3</v>
      </c>
      <c r="I127" s="136"/>
      <c r="J127" s="136"/>
      <c r="K127" s="135"/>
      <c r="L127" s="134"/>
      <c r="M127" s="213"/>
      <c r="N127" s="213"/>
      <c r="O127" s="213"/>
      <c r="P127" s="213"/>
      <c r="Q127" s="213"/>
      <c r="R127" s="213"/>
      <c r="S127" s="213"/>
      <c r="T127" s="213"/>
      <c r="U127" s="213"/>
      <c r="V127" s="213"/>
      <c r="W127" s="213"/>
      <c r="X127" s="213"/>
      <c r="Y127" s="213"/>
      <c r="AA127">
        <f>IF(AND('5 App'!C127&gt;Tmin, NOT('5 App'!$I127="")),'5 App'!$I127,0)</f>
        <v>0</v>
      </c>
      <c r="AB127">
        <f>IF(AND('5 App'!D127&gt;Tmin, NOT('5 App'!$I127="")),'5 App'!$I127,0)</f>
        <v>0</v>
      </c>
      <c r="AC127">
        <f>IF(AND('5 App'!E127&gt;Tmin, NOT('5 App'!$I127="")),'5 App'!$I127,0)</f>
        <v>0</v>
      </c>
      <c r="AD127">
        <f>IF(AND('5 App'!F127&gt;Tmin, NOT('5 App'!$I127="")),'5 App'!$I127,0)</f>
        <v>0</v>
      </c>
      <c r="AE127">
        <f>IF(AND('5 App'!C127&lt;Tmax, NOT('5 App'!$H127="")),'5 App'!$H127,4)</f>
        <v>3</v>
      </c>
      <c r="AF127">
        <f>IF(AND('5 App'!D127&lt;Tmax, NOT('5 App'!$H127="")),'5 App'!$H127,4)</f>
        <v>3</v>
      </c>
      <c r="AG127">
        <f>IF(AND('5 App'!E127&lt;Tmax, NOT('5 App'!$H127="")),'5 App'!$H127,4)</f>
        <v>3</v>
      </c>
      <c r="AH127">
        <f>IF(AND('5 App'!F127&lt;Tmax, NOT('5 App'!$H127="")),'5 App'!$H127,4)</f>
        <v>3</v>
      </c>
      <c r="AI127"/>
    </row>
    <row r="128" spans="1:35" x14ac:dyDescent="0.25">
      <c r="A128" s="135" t="s">
        <v>771</v>
      </c>
      <c r="B128" s="128" t="s">
        <v>3251</v>
      </c>
      <c r="C128" s="243"/>
      <c r="D128" s="243"/>
      <c r="E128" s="304"/>
      <c r="F128" s="304"/>
      <c r="G128" s="133"/>
      <c r="H128" s="133"/>
      <c r="I128" s="136"/>
      <c r="J128" s="136"/>
      <c r="K128" s="135"/>
      <c r="L128" s="134"/>
      <c r="M128" s="213"/>
      <c r="N128" s="213"/>
      <c r="O128" s="213"/>
      <c r="P128" s="213"/>
      <c r="Q128" s="213"/>
      <c r="R128" s="213"/>
      <c r="S128" s="213"/>
      <c r="T128" s="213"/>
      <c r="U128" s="213"/>
      <c r="V128" s="213"/>
      <c r="W128" s="213"/>
      <c r="X128" s="213"/>
      <c r="Y128" s="213"/>
      <c r="AA128"/>
      <c r="AB128"/>
      <c r="AC128"/>
      <c r="AD128"/>
      <c r="AE128"/>
      <c r="AF128"/>
      <c r="AG128"/>
      <c r="AH128"/>
      <c r="AI128"/>
    </row>
    <row r="129" spans="1:35" ht="20.399999999999999" x14ac:dyDescent="0.25">
      <c r="A129" s="135" t="s">
        <v>1338</v>
      </c>
      <c r="B129" s="128" t="s">
        <v>147</v>
      </c>
      <c r="C129" s="243"/>
      <c r="D129" s="243"/>
      <c r="E129" s="304"/>
      <c r="F129" s="304"/>
      <c r="G129" s="133">
        <v>4</v>
      </c>
      <c r="H129" s="133"/>
      <c r="I129" s="136"/>
      <c r="J129" s="136"/>
      <c r="K129" s="135"/>
      <c r="L129" s="134"/>
      <c r="M129" s="213"/>
      <c r="N129" s="213"/>
      <c r="O129" s="213"/>
      <c r="P129" s="213"/>
      <c r="Q129" s="213"/>
      <c r="R129" s="213"/>
      <c r="S129" s="213"/>
      <c r="T129" s="213"/>
      <c r="U129" s="213"/>
      <c r="V129" s="213"/>
      <c r="W129" s="213"/>
      <c r="X129" s="213"/>
      <c r="Y129" s="213"/>
      <c r="AA129">
        <f>IF(AND('5 App'!C129&gt;Tmin, NOT('5 App'!$I129="")),'5 App'!$I129,0)</f>
        <v>0</v>
      </c>
      <c r="AB129">
        <f>IF(AND('5 App'!D129&gt;Tmin, NOT('5 App'!$I129="")),'5 App'!$I129,0)</f>
        <v>0</v>
      </c>
      <c r="AC129">
        <f>IF(AND('5 App'!E129&gt;Tmin, NOT('5 App'!$I129="")),'5 App'!$I129,0)</f>
        <v>0</v>
      </c>
      <c r="AD129">
        <f>IF(AND('5 App'!F129&gt;Tmin, NOT('5 App'!$I129="")),'5 App'!$I129,0)</f>
        <v>0</v>
      </c>
      <c r="AE129">
        <f>IF(AND('5 App'!C129&lt;Tmax, NOT('5 App'!$H129="")),'5 App'!$H129,4)</f>
        <v>4</v>
      </c>
      <c r="AF129">
        <f>IF(AND('5 App'!D129&lt;Tmax, NOT('5 App'!$H129="")),'5 App'!$H129,4)</f>
        <v>4</v>
      </c>
      <c r="AG129">
        <f>IF(AND('5 App'!E129&lt;Tmax, NOT('5 App'!$H129="")),'5 App'!$H129,4)</f>
        <v>4</v>
      </c>
      <c r="AH129">
        <f>IF(AND('5 App'!F129&lt;Tmax, NOT('5 App'!$H129="")),'5 App'!$H129,4)</f>
        <v>4</v>
      </c>
      <c r="AI129"/>
    </row>
    <row r="130" spans="1:35" x14ac:dyDescent="0.25">
      <c r="A130" s="135" t="s">
        <v>1339</v>
      </c>
      <c r="B130" s="128" t="s">
        <v>102</v>
      </c>
      <c r="C130" s="243"/>
      <c r="D130" s="243"/>
      <c r="E130" s="304"/>
      <c r="F130" s="304"/>
      <c r="G130" s="133">
        <v>4</v>
      </c>
      <c r="H130" s="133">
        <v>2</v>
      </c>
      <c r="I130" s="136"/>
      <c r="J130" s="136"/>
      <c r="K130" s="135"/>
      <c r="L130" s="134"/>
      <c r="M130" s="213"/>
      <c r="N130" s="213"/>
      <c r="O130" s="213"/>
      <c r="P130" s="213"/>
      <c r="Q130" s="213"/>
      <c r="R130" s="213"/>
      <c r="S130" s="213"/>
      <c r="T130" s="213"/>
      <c r="U130" s="213"/>
      <c r="V130" s="213"/>
      <c r="W130" s="213"/>
      <c r="X130" s="213"/>
      <c r="Y130" s="213"/>
      <c r="AA130">
        <f>IF(AND('5 App'!C130&gt;Tmin, NOT('5 App'!$I130="")),'5 App'!$I130,0)</f>
        <v>0</v>
      </c>
      <c r="AB130">
        <f>IF(AND('5 App'!D130&gt;Tmin, NOT('5 App'!$I130="")),'5 App'!$I130,0)</f>
        <v>0</v>
      </c>
      <c r="AC130">
        <f>IF(AND('5 App'!E130&gt;Tmin, NOT('5 App'!$I130="")),'5 App'!$I130,0)</f>
        <v>0</v>
      </c>
      <c r="AD130">
        <f>IF(AND('5 App'!F130&gt;Tmin, NOT('5 App'!$I130="")),'5 App'!$I130,0)</f>
        <v>0</v>
      </c>
      <c r="AE130">
        <f>IF(AND('5 App'!C130&lt;Tmax, NOT('5 App'!$H130="")),'5 App'!$H130,4)</f>
        <v>2</v>
      </c>
      <c r="AF130">
        <f>IF(AND('5 App'!D130&lt;Tmax, NOT('5 App'!$H130="")),'5 App'!$H130,4)</f>
        <v>2</v>
      </c>
      <c r="AG130">
        <f>IF(AND('5 App'!E130&lt;Tmax, NOT('5 App'!$H130="")),'5 App'!$H130,4)</f>
        <v>2</v>
      </c>
      <c r="AH130">
        <f>IF(AND('5 App'!F130&lt;Tmax, NOT('5 App'!$H130="")),'5 App'!$H130,4)</f>
        <v>2</v>
      </c>
      <c r="AI130"/>
    </row>
    <row r="131" spans="1:35" ht="26.25" customHeight="1" x14ac:dyDescent="0.25">
      <c r="A131" s="135" t="s">
        <v>1340</v>
      </c>
      <c r="B131" s="128" t="s">
        <v>27</v>
      </c>
      <c r="C131" s="243"/>
      <c r="D131" s="243"/>
      <c r="E131" s="304"/>
      <c r="F131" s="304"/>
      <c r="G131" s="133">
        <v>4</v>
      </c>
      <c r="H131" s="133">
        <v>3</v>
      </c>
      <c r="I131" s="136"/>
      <c r="J131" s="136"/>
      <c r="K131" s="135"/>
      <c r="L131" s="134"/>
      <c r="M131" s="213"/>
      <c r="N131" s="213"/>
      <c r="O131" s="213"/>
      <c r="P131" s="213"/>
      <c r="Q131" s="213"/>
      <c r="R131" s="213"/>
      <c r="S131" s="213"/>
      <c r="T131" s="213"/>
      <c r="U131" s="213"/>
      <c r="V131" s="213"/>
      <c r="W131" s="213"/>
      <c r="X131" s="213"/>
      <c r="Y131" s="213"/>
      <c r="AA131">
        <f>IF(AND('5 App'!C131&gt;Tmin, NOT('5 App'!$I131="")),'5 App'!$I131,0)</f>
        <v>0</v>
      </c>
      <c r="AB131">
        <f>IF(AND('5 App'!D131&gt;Tmin, NOT('5 App'!$I131="")),'5 App'!$I131,0)</f>
        <v>0</v>
      </c>
      <c r="AC131">
        <f>IF(AND('5 App'!E131&gt;Tmin, NOT('5 App'!$I131="")),'5 App'!$I131,0)</f>
        <v>0</v>
      </c>
      <c r="AD131">
        <f>IF(AND('5 App'!F131&gt;Tmin, NOT('5 App'!$I131="")),'5 App'!$I131,0)</f>
        <v>0</v>
      </c>
      <c r="AE131">
        <f>IF(AND('5 App'!C131&lt;Tmax, NOT('5 App'!$H131="")),'5 App'!$H131,4)</f>
        <v>3</v>
      </c>
      <c r="AF131">
        <f>IF(AND('5 App'!D131&lt;Tmax, NOT('5 App'!$H131="")),'5 App'!$H131,4)</f>
        <v>3</v>
      </c>
      <c r="AG131">
        <f>IF(AND('5 App'!E131&lt;Tmax, NOT('5 App'!$H131="")),'5 App'!$H131,4)</f>
        <v>3</v>
      </c>
      <c r="AH131">
        <f>IF(AND('5 App'!F131&lt;Tmax, NOT('5 App'!$H131="")),'5 App'!$H131,4)</f>
        <v>3</v>
      </c>
      <c r="AI131"/>
    </row>
    <row r="132" spans="1:35" ht="30.6" x14ac:dyDescent="0.25">
      <c r="A132" s="135" t="s">
        <v>1341</v>
      </c>
      <c r="B132" s="128" t="s">
        <v>6772</v>
      </c>
      <c r="C132" s="243"/>
      <c r="D132" s="243"/>
      <c r="E132" s="304"/>
      <c r="F132" s="304"/>
      <c r="G132" s="133">
        <v>4</v>
      </c>
      <c r="H132" s="133">
        <v>3</v>
      </c>
      <c r="I132" s="136"/>
      <c r="J132" s="136"/>
      <c r="K132" s="135"/>
      <c r="L132" s="134"/>
      <c r="M132" s="213"/>
      <c r="N132" s="213"/>
      <c r="O132" s="213"/>
      <c r="P132" s="213"/>
      <c r="Q132" s="213"/>
      <c r="R132" s="213"/>
      <c r="S132" s="213"/>
      <c r="T132" s="213"/>
      <c r="U132" s="213"/>
      <c r="V132" s="213"/>
      <c r="W132" s="213"/>
      <c r="X132" s="213"/>
      <c r="Y132" s="213"/>
      <c r="AA132">
        <f>IF(AND('5 App'!C132&gt;Tmin, NOT('5 App'!$I132="")),'5 App'!$I132,0)</f>
        <v>0</v>
      </c>
      <c r="AB132">
        <f>IF(AND('5 App'!D132&gt;Tmin, NOT('5 App'!$I132="")),'5 App'!$I132,0)</f>
        <v>0</v>
      </c>
      <c r="AC132">
        <f>IF(AND('5 App'!E132&gt;Tmin, NOT('5 App'!$I132="")),'5 App'!$I132,0)</f>
        <v>0</v>
      </c>
      <c r="AD132">
        <f>IF(AND('5 App'!F132&gt;Tmin, NOT('5 App'!$I132="")),'5 App'!$I132,0)</f>
        <v>0</v>
      </c>
      <c r="AE132">
        <f>IF(AND('5 App'!C132&lt;Tmax, NOT('5 App'!$H132="")),'5 App'!$H132,4)</f>
        <v>3</v>
      </c>
      <c r="AF132">
        <f>IF(AND('5 App'!D132&lt;Tmax, NOT('5 App'!$H132="")),'5 App'!$H132,4)</f>
        <v>3</v>
      </c>
      <c r="AG132">
        <f>IF(AND('5 App'!E132&lt;Tmax, NOT('5 App'!$H132="")),'5 App'!$H132,4)</f>
        <v>3</v>
      </c>
      <c r="AH132">
        <f>IF(AND('5 App'!F132&lt;Tmax, NOT('5 App'!$H132="")),'5 App'!$H132,4)</f>
        <v>3</v>
      </c>
      <c r="AI132"/>
    </row>
    <row r="133" spans="1:35" x14ac:dyDescent="0.25">
      <c r="A133" s="135" t="s">
        <v>1342</v>
      </c>
      <c r="B133" s="128" t="s">
        <v>594</v>
      </c>
      <c r="C133" s="243"/>
      <c r="D133" s="243"/>
      <c r="E133" s="304"/>
      <c r="F133" s="304"/>
      <c r="G133" s="133">
        <v>2</v>
      </c>
      <c r="H133" s="133">
        <v>3</v>
      </c>
      <c r="I133" s="136"/>
      <c r="J133" s="136"/>
      <c r="K133" s="135"/>
      <c r="L133" s="134"/>
      <c r="M133" s="213"/>
      <c r="N133" s="213"/>
      <c r="O133" s="213"/>
      <c r="P133" s="213"/>
      <c r="Q133" s="213"/>
      <c r="R133" s="213"/>
      <c r="S133" s="213"/>
      <c r="T133" s="213"/>
      <c r="U133" s="213"/>
      <c r="V133" s="213"/>
      <c r="W133" s="213"/>
      <c r="X133" s="213"/>
      <c r="Y133" s="213"/>
      <c r="AA133">
        <f>IF(AND('5 App'!C133&gt;Tmin, NOT('5 App'!$I133="")),'5 App'!$I133,0)</f>
        <v>0</v>
      </c>
      <c r="AB133">
        <f>IF(AND('5 App'!D133&gt;Tmin, NOT('5 App'!$I133="")),'5 App'!$I133,0)</f>
        <v>0</v>
      </c>
      <c r="AC133">
        <f>IF(AND('5 App'!E133&gt;Tmin, NOT('5 App'!$I133="")),'5 App'!$I133,0)</f>
        <v>0</v>
      </c>
      <c r="AD133">
        <f>IF(AND('5 App'!F133&gt;Tmin, NOT('5 App'!$I133="")),'5 App'!$I133,0)</f>
        <v>0</v>
      </c>
      <c r="AE133">
        <f>IF(AND('5 App'!C133&lt;Tmax, NOT('5 App'!$H133="")),'5 App'!$H133,4)</f>
        <v>3</v>
      </c>
      <c r="AF133">
        <f>IF(AND('5 App'!D133&lt;Tmax, NOT('5 App'!$H133="")),'5 App'!$H133,4)</f>
        <v>3</v>
      </c>
      <c r="AG133">
        <f>IF(AND('5 App'!E133&lt;Tmax, NOT('5 App'!$H133="")),'5 App'!$H133,4)</f>
        <v>3</v>
      </c>
      <c r="AH133">
        <f>IF(AND('5 App'!F133&lt;Tmax, NOT('5 App'!$H133="")),'5 App'!$H133,4)</f>
        <v>3</v>
      </c>
      <c r="AI133"/>
    </row>
    <row r="134" spans="1:35" x14ac:dyDescent="0.25">
      <c r="A134" s="135" t="s">
        <v>1343</v>
      </c>
      <c r="B134" s="128" t="s">
        <v>595</v>
      </c>
      <c r="C134" s="243"/>
      <c r="D134" s="243"/>
      <c r="E134" s="304"/>
      <c r="F134" s="304"/>
      <c r="G134" s="133">
        <v>3</v>
      </c>
      <c r="H134" s="133">
        <v>2</v>
      </c>
      <c r="I134" s="136"/>
      <c r="J134" s="136"/>
      <c r="K134" s="135"/>
      <c r="L134" s="134"/>
      <c r="M134" s="213"/>
      <c r="N134" s="213"/>
      <c r="O134" s="213"/>
      <c r="P134" s="213"/>
      <c r="Q134" s="213"/>
      <c r="R134" s="213"/>
      <c r="S134" s="213"/>
      <c r="T134" s="213"/>
      <c r="U134" s="213"/>
      <c r="V134" s="213"/>
      <c r="W134" s="213"/>
      <c r="X134" s="213"/>
      <c r="Y134" s="213"/>
      <c r="AA134">
        <f>IF(AND('5 App'!C134&gt;Tmin, NOT('5 App'!$I134="")),'5 App'!$I134,0)</f>
        <v>0</v>
      </c>
      <c r="AB134">
        <f>IF(AND('5 App'!D134&gt;Tmin, NOT('5 App'!$I134="")),'5 App'!$I134,0)</f>
        <v>0</v>
      </c>
      <c r="AC134">
        <f>IF(AND('5 App'!E134&gt;Tmin, NOT('5 App'!$I134="")),'5 App'!$I134,0)</f>
        <v>0</v>
      </c>
      <c r="AD134">
        <f>IF(AND('5 App'!F134&gt;Tmin, NOT('5 App'!$I134="")),'5 App'!$I134,0)</f>
        <v>0</v>
      </c>
      <c r="AE134">
        <f>IF(AND('5 App'!C134&lt;Tmax, NOT('5 App'!$H134="")),'5 App'!$H134,4)</f>
        <v>2</v>
      </c>
      <c r="AF134">
        <f>IF(AND('5 App'!D134&lt;Tmax, NOT('5 App'!$H134="")),'5 App'!$H134,4)</f>
        <v>2</v>
      </c>
      <c r="AG134">
        <f>IF(AND('5 App'!E134&lt;Tmax, NOT('5 App'!$H134="")),'5 App'!$H134,4)</f>
        <v>2</v>
      </c>
      <c r="AH134">
        <f>IF(AND('5 App'!F134&lt;Tmax, NOT('5 App'!$H134="")),'5 App'!$H134,4)</f>
        <v>2</v>
      </c>
      <c r="AI134"/>
    </row>
    <row r="135" spans="1:35" x14ac:dyDescent="0.25">
      <c r="A135" s="135" t="s">
        <v>4597</v>
      </c>
      <c r="B135" s="128" t="s">
        <v>596</v>
      </c>
      <c r="C135" s="243"/>
      <c r="D135" s="243"/>
      <c r="E135" s="304"/>
      <c r="F135" s="304"/>
      <c r="G135" s="133">
        <v>3</v>
      </c>
      <c r="H135" s="133">
        <v>2</v>
      </c>
      <c r="I135" s="136"/>
      <c r="J135" s="136"/>
      <c r="K135" s="135"/>
      <c r="L135" s="134"/>
      <c r="M135" s="213"/>
      <c r="N135" s="213"/>
      <c r="O135" s="213"/>
      <c r="P135" s="213"/>
      <c r="Q135" s="213"/>
      <c r="R135" s="213"/>
      <c r="S135" s="213"/>
      <c r="T135" s="213"/>
      <c r="U135" s="213"/>
      <c r="V135" s="213"/>
      <c r="W135" s="213"/>
      <c r="X135" s="213"/>
      <c r="Y135" s="213"/>
      <c r="AA135">
        <f>IF(AND('5 App'!C135&gt;Tmin, NOT('5 App'!$I135="")),'5 App'!$I135,0)</f>
        <v>0</v>
      </c>
      <c r="AB135">
        <f>IF(AND('5 App'!D135&gt;Tmin, NOT('5 App'!$I135="")),'5 App'!$I135,0)</f>
        <v>0</v>
      </c>
      <c r="AC135">
        <f>IF(AND('5 App'!E135&gt;Tmin, NOT('5 App'!$I135="")),'5 App'!$I135,0)</f>
        <v>0</v>
      </c>
      <c r="AD135">
        <f>IF(AND('5 App'!F135&gt;Tmin, NOT('5 App'!$I135="")),'5 App'!$I135,0)</f>
        <v>0</v>
      </c>
      <c r="AE135">
        <f>IF(AND('5 App'!C135&lt;Tmax, NOT('5 App'!$H135="")),'5 App'!$H135,4)</f>
        <v>2</v>
      </c>
      <c r="AF135">
        <f>IF(AND('5 App'!D135&lt;Tmax, NOT('5 App'!$H135="")),'5 App'!$H135,4)</f>
        <v>2</v>
      </c>
      <c r="AG135">
        <f>IF(AND('5 App'!E135&lt;Tmax, NOT('5 App'!$H135="")),'5 App'!$H135,4)</f>
        <v>2</v>
      </c>
      <c r="AH135">
        <f>IF(AND('5 App'!F135&lt;Tmax, NOT('5 App'!$H135="")),'5 App'!$H135,4)</f>
        <v>2</v>
      </c>
      <c r="AI135"/>
    </row>
    <row r="136" spans="1:35" x14ac:dyDescent="0.25">
      <c r="A136" s="785" t="s">
        <v>4591</v>
      </c>
      <c r="B136" s="128" t="s">
        <v>4590</v>
      </c>
      <c r="C136" s="243"/>
      <c r="D136" s="243"/>
      <c r="E136" s="304"/>
      <c r="F136" s="304"/>
      <c r="G136" s="133"/>
      <c r="H136" s="133"/>
      <c r="I136" s="136"/>
      <c r="J136" s="136"/>
      <c r="K136" s="135"/>
      <c r="L136" s="134"/>
      <c r="M136" s="213"/>
      <c r="N136" s="213"/>
      <c r="O136" s="213"/>
      <c r="P136" s="213"/>
      <c r="Q136" s="213"/>
      <c r="R136" s="213"/>
      <c r="S136" s="213"/>
      <c r="T136" s="213"/>
      <c r="U136" s="213"/>
      <c r="V136" s="213"/>
      <c r="W136" s="213"/>
      <c r="X136" s="213"/>
      <c r="Y136" s="213"/>
      <c r="AA136"/>
      <c r="AB136"/>
      <c r="AC136"/>
      <c r="AD136"/>
      <c r="AE136"/>
      <c r="AF136"/>
      <c r="AG136"/>
      <c r="AH136"/>
      <c r="AI136"/>
    </row>
    <row r="137" spans="1:35" ht="26.25" customHeight="1" x14ac:dyDescent="0.25">
      <c r="A137" s="135" t="s">
        <v>4592</v>
      </c>
      <c r="B137" s="128" t="s">
        <v>6773</v>
      </c>
      <c r="C137" s="243"/>
      <c r="D137" s="243"/>
      <c r="E137" s="304"/>
      <c r="F137" s="304"/>
      <c r="G137" s="133">
        <v>4</v>
      </c>
      <c r="H137" s="133"/>
      <c r="I137" s="136"/>
      <c r="J137" s="136"/>
      <c r="K137" s="135"/>
      <c r="L137" s="134"/>
      <c r="M137" s="213"/>
      <c r="N137" s="213"/>
      <c r="O137" s="213"/>
      <c r="P137" s="213"/>
      <c r="Q137" s="213"/>
      <c r="R137" s="213"/>
      <c r="S137" s="213"/>
      <c r="T137" s="213"/>
      <c r="U137" s="213"/>
      <c r="V137" s="213"/>
      <c r="W137" s="213"/>
      <c r="X137" s="213"/>
      <c r="Y137" s="213"/>
      <c r="AA137">
        <f>IF(AND('5 App'!C137&gt;Tmin, NOT('5 App'!$I137="")),'5 App'!$I137,0)</f>
        <v>0</v>
      </c>
      <c r="AB137">
        <f>IF(AND('5 App'!D137&gt;Tmin, NOT('5 App'!$I137="")),'5 App'!$I137,0)</f>
        <v>0</v>
      </c>
      <c r="AC137">
        <f>IF(AND('5 App'!E137&gt;Tmin, NOT('5 App'!$I137="")),'5 App'!$I137,0)</f>
        <v>0</v>
      </c>
      <c r="AD137">
        <f>IF(AND('5 App'!F137&gt;Tmin, NOT('5 App'!$I137="")),'5 App'!$I137,0)</f>
        <v>0</v>
      </c>
      <c r="AE137">
        <f>IF(AND('5 App'!C137&lt;Tmax, NOT('5 App'!$H137="")),'5 App'!$H137,4)</f>
        <v>4</v>
      </c>
      <c r="AF137">
        <f>IF(AND('5 App'!D137&lt;Tmax, NOT('5 App'!$H137="")),'5 App'!$H137,4)</f>
        <v>4</v>
      </c>
      <c r="AG137">
        <f>IF(AND('5 App'!E137&lt;Tmax, NOT('5 App'!$H137="")),'5 App'!$H137,4)</f>
        <v>4</v>
      </c>
      <c r="AH137">
        <f>IF(AND('5 App'!F137&lt;Tmax, NOT('5 App'!$H137="")),'5 App'!$H137,4)</f>
        <v>4</v>
      </c>
      <c r="AI137"/>
    </row>
    <row r="138" spans="1:35" ht="20.399999999999999" x14ac:dyDescent="0.25">
      <c r="A138" s="135" t="s">
        <v>4593</v>
      </c>
      <c r="B138" s="128" t="s">
        <v>4598</v>
      </c>
      <c r="C138" s="243"/>
      <c r="D138" s="243"/>
      <c r="E138" s="304"/>
      <c r="F138" s="304"/>
      <c r="G138" s="133">
        <v>4</v>
      </c>
      <c r="H138" s="133">
        <v>2</v>
      </c>
      <c r="I138" s="136"/>
      <c r="J138" s="136"/>
      <c r="K138" s="135"/>
      <c r="L138" s="134"/>
      <c r="M138" s="213"/>
      <c r="N138" s="213"/>
      <c r="O138" s="213"/>
      <c r="P138" s="213"/>
      <c r="Q138" s="213"/>
      <c r="R138" s="213"/>
      <c r="S138" s="213"/>
      <c r="T138" s="213"/>
      <c r="U138" s="213"/>
      <c r="V138" s="213"/>
      <c r="W138" s="213"/>
      <c r="X138" s="213"/>
      <c r="Y138" s="213"/>
      <c r="AA138">
        <f>IF(AND('5 App'!C138&gt;Tmin, NOT('5 App'!$I138="")),'5 App'!$I138,0)</f>
        <v>0</v>
      </c>
      <c r="AB138">
        <f>IF(AND('5 App'!D138&gt;Tmin, NOT('5 App'!$I138="")),'5 App'!$I138,0)</f>
        <v>0</v>
      </c>
      <c r="AC138">
        <f>IF(AND('5 App'!E138&gt;Tmin, NOT('5 App'!$I138="")),'5 App'!$I138,0)</f>
        <v>0</v>
      </c>
      <c r="AD138">
        <f>IF(AND('5 App'!F138&gt;Tmin, NOT('5 App'!$I138="")),'5 App'!$I138,0)</f>
        <v>0</v>
      </c>
      <c r="AE138">
        <f>IF(AND('5 App'!C138&lt;Tmax, NOT('5 App'!$H138="")),'5 App'!$H138,4)</f>
        <v>2</v>
      </c>
      <c r="AF138">
        <f>IF(AND('5 App'!D138&lt;Tmax, NOT('5 App'!$H138="")),'5 App'!$H138,4)</f>
        <v>2</v>
      </c>
      <c r="AG138">
        <f>IF(AND('5 App'!E138&lt;Tmax, NOT('5 App'!$H138="")),'5 App'!$H138,4)</f>
        <v>2</v>
      </c>
      <c r="AH138">
        <f>IF(AND('5 App'!F138&lt;Tmax, NOT('5 App'!$H138="")),'5 App'!$H138,4)</f>
        <v>2</v>
      </c>
      <c r="AI138"/>
    </row>
    <row r="139" spans="1:35" x14ac:dyDescent="0.25">
      <c r="A139" s="135" t="s">
        <v>4594</v>
      </c>
      <c r="B139" s="128" t="s">
        <v>4599</v>
      </c>
      <c r="C139" s="243"/>
      <c r="D139" s="243"/>
      <c r="E139" s="304"/>
      <c r="F139" s="304"/>
      <c r="G139" s="133">
        <v>2</v>
      </c>
      <c r="H139" s="133">
        <v>3</v>
      </c>
      <c r="I139" s="136"/>
      <c r="J139" s="136"/>
      <c r="K139" s="135"/>
      <c r="L139" s="134"/>
      <c r="M139" s="213"/>
      <c r="N139" s="213"/>
      <c r="O139" s="213"/>
      <c r="P139" s="213"/>
      <c r="Q139" s="213"/>
      <c r="R139" s="213"/>
      <c r="S139" s="213"/>
      <c r="T139" s="213"/>
      <c r="U139" s="213"/>
      <c r="V139" s="213"/>
      <c r="W139" s="213"/>
      <c r="X139" s="213"/>
      <c r="Y139" s="213"/>
      <c r="AA139">
        <f>IF(AND('5 App'!C139&gt;Tmin, NOT('5 App'!$I139="")),'5 App'!$I139,0)</f>
        <v>0</v>
      </c>
      <c r="AB139">
        <f>IF(AND('5 App'!D139&gt;Tmin, NOT('5 App'!$I139="")),'5 App'!$I139,0)</f>
        <v>0</v>
      </c>
      <c r="AC139">
        <f>IF(AND('5 App'!E139&gt;Tmin, NOT('5 App'!$I139="")),'5 App'!$I139,0)</f>
        <v>0</v>
      </c>
      <c r="AD139">
        <f>IF(AND('5 App'!F139&gt;Tmin, NOT('5 App'!$I139="")),'5 App'!$I139,0)</f>
        <v>0</v>
      </c>
      <c r="AE139">
        <f>IF(AND('5 App'!C139&lt;Tmax, NOT('5 App'!$H139="")),'5 App'!$H139,4)</f>
        <v>3</v>
      </c>
      <c r="AF139">
        <f>IF(AND('5 App'!D139&lt;Tmax, NOT('5 App'!$H139="")),'5 App'!$H139,4)</f>
        <v>3</v>
      </c>
      <c r="AG139">
        <f>IF(AND('5 App'!E139&lt;Tmax, NOT('5 App'!$H139="")),'5 App'!$H139,4)</f>
        <v>3</v>
      </c>
      <c r="AH139">
        <f>IF(AND('5 App'!F139&lt;Tmax, NOT('5 App'!$H139="")),'5 App'!$H139,4)</f>
        <v>3</v>
      </c>
      <c r="AI139"/>
    </row>
    <row r="140" spans="1:35" x14ac:dyDescent="0.25">
      <c r="A140" s="135" t="s">
        <v>4595</v>
      </c>
      <c r="B140" s="128" t="s">
        <v>595</v>
      </c>
      <c r="C140" s="243"/>
      <c r="D140" s="243"/>
      <c r="E140" s="304"/>
      <c r="F140" s="304"/>
      <c r="G140" s="133">
        <v>3</v>
      </c>
      <c r="H140" s="133">
        <v>2</v>
      </c>
      <c r="I140" s="136"/>
      <c r="J140" s="136"/>
      <c r="K140" s="135"/>
      <c r="L140" s="134"/>
      <c r="M140" s="213"/>
      <c r="N140" s="213"/>
      <c r="O140" s="213"/>
      <c r="P140" s="213"/>
      <c r="Q140" s="213"/>
      <c r="R140" s="213"/>
      <c r="S140" s="213"/>
      <c r="T140" s="213"/>
      <c r="U140" s="213"/>
      <c r="V140" s="213"/>
      <c r="W140" s="213"/>
      <c r="X140" s="213"/>
      <c r="Y140" s="213"/>
      <c r="AA140">
        <f>IF(AND('5 App'!C140&gt;Tmin, NOT('5 App'!$I140="")),'5 App'!$I140,0)</f>
        <v>0</v>
      </c>
      <c r="AB140">
        <f>IF(AND('5 App'!D140&gt;Tmin, NOT('5 App'!$I140="")),'5 App'!$I140,0)</f>
        <v>0</v>
      </c>
      <c r="AC140">
        <f>IF(AND('5 App'!E140&gt;Tmin, NOT('5 App'!$I140="")),'5 App'!$I140,0)</f>
        <v>0</v>
      </c>
      <c r="AD140">
        <f>IF(AND('5 App'!F140&gt;Tmin, NOT('5 App'!$I140="")),'5 App'!$I140,0)</f>
        <v>0</v>
      </c>
      <c r="AE140">
        <f>IF(AND('5 App'!C140&lt;Tmax, NOT('5 App'!$H140="")),'5 App'!$H140,4)</f>
        <v>2</v>
      </c>
      <c r="AF140">
        <f>IF(AND('5 App'!D140&lt;Tmax, NOT('5 App'!$H140="")),'5 App'!$H140,4)</f>
        <v>2</v>
      </c>
      <c r="AG140">
        <f>IF(AND('5 App'!E140&lt;Tmax, NOT('5 App'!$H140="")),'5 App'!$H140,4)</f>
        <v>2</v>
      </c>
      <c r="AH140">
        <f>IF(AND('5 App'!F140&lt;Tmax, NOT('5 App'!$H140="")),'5 App'!$H140,4)</f>
        <v>2</v>
      </c>
      <c r="AI140"/>
    </row>
    <row r="141" spans="1:35" x14ac:dyDescent="0.25">
      <c r="A141" s="135" t="s">
        <v>4596</v>
      </c>
      <c r="B141" s="128" t="s">
        <v>4600</v>
      </c>
      <c r="C141" s="243"/>
      <c r="D141" s="243"/>
      <c r="E141" s="304"/>
      <c r="F141" s="304"/>
      <c r="G141" s="133">
        <v>3</v>
      </c>
      <c r="H141" s="133">
        <v>2</v>
      </c>
      <c r="I141" s="136"/>
      <c r="J141" s="136"/>
      <c r="K141" s="135"/>
      <c r="L141" s="134"/>
      <c r="M141" s="213"/>
      <c r="N141" s="213"/>
      <c r="O141" s="213"/>
      <c r="P141" s="213"/>
      <c r="Q141" s="213"/>
      <c r="R141" s="213"/>
      <c r="S141" s="213"/>
      <c r="T141" s="213"/>
      <c r="U141" s="213"/>
      <c r="V141" s="213"/>
      <c r="W141" s="213"/>
      <c r="X141" s="213"/>
      <c r="Y141" s="213"/>
      <c r="AA141">
        <f>IF(AND('5 App'!C141&gt;Tmin, NOT('5 App'!$I141="")),'5 App'!$I141,0)</f>
        <v>0</v>
      </c>
      <c r="AB141">
        <f>IF(AND('5 App'!D141&gt;Tmin, NOT('5 App'!$I141="")),'5 App'!$I141,0)</f>
        <v>0</v>
      </c>
      <c r="AC141">
        <f>IF(AND('5 App'!E141&gt;Tmin, NOT('5 App'!$I141="")),'5 App'!$I141,0)</f>
        <v>0</v>
      </c>
      <c r="AD141">
        <f>IF(AND('5 App'!F141&gt;Tmin, NOT('5 App'!$I141="")),'5 App'!$I141,0)</f>
        <v>0</v>
      </c>
      <c r="AE141">
        <f>IF(AND('5 App'!C141&lt;Tmax, NOT('5 App'!$H141="")),'5 App'!$H141,4)</f>
        <v>2</v>
      </c>
      <c r="AF141">
        <f>IF(AND('5 App'!D141&lt;Tmax, NOT('5 App'!$H141="")),'5 App'!$H141,4)</f>
        <v>2</v>
      </c>
      <c r="AG141">
        <f>IF(AND('5 App'!E141&lt;Tmax, NOT('5 App'!$H141="")),'5 App'!$H141,4)</f>
        <v>2</v>
      </c>
      <c r="AH141">
        <f>IF(AND('5 App'!F141&lt;Tmax, NOT('5 App'!$H141="")),'5 App'!$H141,4)</f>
        <v>2</v>
      </c>
      <c r="AI141"/>
    </row>
    <row r="142" spans="1:35" x14ac:dyDescent="0.25">
      <c r="A142" s="1139" t="s">
        <v>1918</v>
      </c>
      <c r="B142" s="1102" t="s">
        <v>3090</v>
      </c>
      <c r="C142" s="243"/>
      <c r="D142" s="243"/>
      <c r="E142" s="304"/>
      <c r="F142" s="304"/>
      <c r="G142" s="133"/>
      <c r="H142" s="133"/>
      <c r="I142" s="136"/>
      <c r="J142" s="136"/>
      <c r="K142" s="135"/>
      <c r="L142" s="134"/>
      <c r="M142" s="213"/>
      <c r="N142" s="213"/>
      <c r="O142" s="213"/>
      <c r="P142" s="213"/>
      <c r="Q142" s="213"/>
      <c r="R142" s="213"/>
      <c r="S142" s="213"/>
      <c r="T142" s="213"/>
      <c r="U142" s="213"/>
      <c r="V142" s="213"/>
      <c r="W142" s="213"/>
      <c r="X142" s="213"/>
      <c r="Y142" s="213"/>
      <c r="AA142"/>
      <c r="AB142"/>
      <c r="AC142"/>
      <c r="AD142"/>
      <c r="AE142"/>
      <c r="AF142"/>
      <c r="AG142"/>
      <c r="AH142"/>
      <c r="AI142"/>
    </row>
    <row r="143" spans="1:35" x14ac:dyDescent="0.25">
      <c r="A143" s="135" t="s">
        <v>1607</v>
      </c>
      <c r="B143" s="128" t="s">
        <v>2313</v>
      </c>
      <c r="C143" s="243"/>
      <c r="D143" s="243"/>
      <c r="E143" s="304"/>
      <c r="F143" s="304"/>
      <c r="G143" s="133"/>
      <c r="H143" s="133"/>
      <c r="I143" s="136"/>
      <c r="J143" s="136"/>
      <c r="K143" s="135"/>
      <c r="L143" s="134"/>
      <c r="M143" s="213"/>
      <c r="N143" s="213"/>
      <c r="O143" s="213"/>
      <c r="P143" s="213"/>
      <c r="Q143" s="213"/>
      <c r="R143" s="213"/>
      <c r="S143" s="213"/>
      <c r="T143" s="213"/>
      <c r="U143" s="213"/>
      <c r="V143" s="213"/>
      <c r="W143" s="213"/>
      <c r="X143" s="213"/>
      <c r="Y143" s="213"/>
      <c r="AA143"/>
      <c r="AB143"/>
      <c r="AC143"/>
      <c r="AD143"/>
      <c r="AE143"/>
      <c r="AF143"/>
      <c r="AG143"/>
      <c r="AH143"/>
      <c r="AI143"/>
    </row>
    <row r="144" spans="1:35" ht="20.399999999999999" x14ac:dyDescent="0.25">
      <c r="A144" s="135" t="s">
        <v>1924</v>
      </c>
      <c r="B144" s="128" t="s">
        <v>1919</v>
      </c>
      <c r="C144" s="243"/>
      <c r="D144" s="243"/>
      <c r="E144" s="304"/>
      <c r="F144" s="304"/>
      <c r="G144" s="133">
        <v>4</v>
      </c>
      <c r="H144" s="133"/>
      <c r="I144" s="136"/>
      <c r="J144" s="136"/>
      <c r="K144" s="135"/>
      <c r="AA144">
        <f>IF(AND('5 App'!C144&gt;Tmin, NOT('5 App'!$I144="")),'5 App'!$I144,0)</f>
        <v>0</v>
      </c>
      <c r="AB144">
        <f>IF(AND('5 App'!D144&gt;Tmin, NOT('5 App'!$I144="")),'5 App'!$I144,0)</f>
        <v>0</v>
      </c>
      <c r="AC144">
        <f>IF(AND('5 App'!E144&gt;Tmin, NOT('5 App'!$I144="")),'5 App'!$I144,0)</f>
        <v>0</v>
      </c>
      <c r="AD144">
        <f>IF(AND('5 App'!F144&gt;Tmin, NOT('5 App'!$I144="")),'5 App'!$I144,0)</f>
        <v>0</v>
      </c>
      <c r="AE144">
        <f>IF(AND('5 App'!C144&lt;Tmax, NOT('5 App'!$H144="")),'5 App'!$H144,4)</f>
        <v>4</v>
      </c>
      <c r="AF144">
        <f>IF(AND('5 App'!D144&lt;Tmax, NOT('5 App'!$H144="")),'5 App'!$H144,4)</f>
        <v>4</v>
      </c>
      <c r="AG144">
        <f>IF(AND('5 App'!E144&lt;Tmax, NOT('5 App'!$H144="")),'5 App'!$H144,4)</f>
        <v>4</v>
      </c>
      <c r="AH144">
        <f>IF(AND('5 App'!F144&lt;Tmax, NOT('5 App'!$H144="")),'5 App'!$H144,4)</f>
        <v>4</v>
      </c>
      <c r="AI144"/>
    </row>
    <row r="145" spans="1:35" x14ac:dyDescent="0.25">
      <c r="A145" s="135" t="s">
        <v>1925</v>
      </c>
      <c r="B145" s="128" t="s">
        <v>1920</v>
      </c>
      <c r="C145" s="243"/>
      <c r="D145" s="243"/>
      <c r="E145" s="304"/>
      <c r="F145" s="304"/>
      <c r="G145" s="133">
        <v>4</v>
      </c>
      <c r="H145" s="133">
        <v>2</v>
      </c>
      <c r="I145" s="136"/>
      <c r="J145" s="136"/>
      <c r="K145" s="135"/>
      <c r="AA145">
        <f>IF(AND('5 App'!C145&gt;Tmin, NOT('5 App'!$I145="")),'5 App'!$I145,0)</f>
        <v>0</v>
      </c>
      <c r="AB145">
        <f>IF(AND('5 App'!D145&gt;Tmin, NOT('5 App'!$I145="")),'5 App'!$I145,0)</f>
        <v>0</v>
      </c>
      <c r="AC145">
        <f>IF(AND('5 App'!E145&gt;Tmin, NOT('5 App'!$I145="")),'5 App'!$I145,0)</f>
        <v>0</v>
      </c>
      <c r="AD145">
        <f>IF(AND('5 App'!F145&gt;Tmin, NOT('5 App'!$I145="")),'5 App'!$I145,0)</f>
        <v>0</v>
      </c>
      <c r="AE145">
        <f>IF(AND('5 App'!C145&lt;Tmax, NOT('5 App'!$H145="")),'5 App'!$H145,4)</f>
        <v>2</v>
      </c>
      <c r="AF145">
        <f>IF(AND('5 App'!D145&lt;Tmax, NOT('5 App'!$H145="")),'5 App'!$H145,4)</f>
        <v>2</v>
      </c>
      <c r="AG145">
        <f>IF(AND('5 App'!E145&lt;Tmax, NOT('5 App'!$H145="")),'5 App'!$H145,4)</f>
        <v>2</v>
      </c>
      <c r="AH145">
        <f>IF(AND('5 App'!F145&lt;Tmax, NOT('5 App'!$H145="")),'5 App'!$H145,4)</f>
        <v>2</v>
      </c>
      <c r="AI145"/>
    </row>
    <row r="146" spans="1:35" ht="38.25" customHeight="1" x14ac:dyDescent="0.25">
      <c r="A146" s="135" t="s">
        <v>1926</v>
      </c>
      <c r="B146" s="128" t="s">
        <v>601</v>
      </c>
      <c r="C146" s="243"/>
      <c r="D146" s="243"/>
      <c r="E146" s="304"/>
      <c r="F146" s="304"/>
      <c r="G146" s="133">
        <v>4</v>
      </c>
      <c r="H146" s="133">
        <v>2</v>
      </c>
      <c r="I146" s="136"/>
      <c r="J146" s="136"/>
      <c r="K146" s="135"/>
      <c r="AA146">
        <f>IF(AND('5 App'!C146&gt;Tmin, NOT('5 App'!$I146="")),'5 App'!$I146,0)</f>
        <v>0</v>
      </c>
      <c r="AB146">
        <f>IF(AND('5 App'!D146&gt;Tmin, NOT('5 App'!$I146="")),'5 App'!$I146,0)</f>
        <v>0</v>
      </c>
      <c r="AC146">
        <f>IF(AND('5 App'!E146&gt;Tmin, NOT('5 App'!$I146="")),'5 App'!$I146,0)</f>
        <v>0</v>
      </c>
      <c r="AD146">
        <f>IF(AND('5 App'!F146&gt;Tmin, NOT('5 App'!$I146="")),'5 App'!$I146,0)</f>
        <v>0</v>
      </c>
      <c r="AE146">
        <f>IF(AND('5 App'!C146&lt;Tmax, NOT('5 App'!$H146="")),'5 App'!$H146,4)</f>
        <v>2</v>
      </c>
      <c r="AF146">
        <f>IF(AND('5 App'!D146&lt;Tmax, NOT('5 App'!$H146="")),'5 App'!$H146,4)</f>
        <v>2</v>
      </c>
      <c r="AG146">
        <f>IF(AND('5 App'!E146&lt;Tmax, NOT('5 App'!$H146="")),'5 App'!$H146,4)</f>
        <v>2</v>
      </c>
      <c r="AH146">
        <f>IF(AND('5 App'!F146&lt;Tmax, NOT('5 App'!$H146="")),'5 App'!$H146,4)</f>
        <v>2</v>
      </c>
      <c r="AI146"/>
    </row>
    <row r="147" spans="1:35" ht="20.399999999999999" x14ac:dyDescent="0.25">
      <c r="A147" s="135" t="s">
        <v>1927</v>
      </c>
      <c r="B147" s="128" t="s">
        <v>41</v>
      </c>
      <c r="C147" s="243"/>
      <c r="D147" s="243"/>
      <c r="E147" s="304"/>
      <c r="F147" s="304"/>
      <c r="G147" s="133">
        <v>4</v>
      </c>
      <c r="H147" s="133">
        <v>2</v>
      </c>
      <c r="I147" s="136"/>
      <c r="J147" s="136"/>
      <c r="K147" s="135"/>
      <c r="AA147">
        <f>IF(AND('5 App'!C147&gt;Tmin, NOT('5 App'!$I147="")),'5 App'!$I147,0)</f>
        <v>0</v>
      </c>
      <c r="AB147">
        <f>IF(AND('5 App'!D147&gt;Tmin, NOT('5 App'!$I147="")),'5 App'!$I147,0)</f>
        <v>0</v>
      </c>
      <c r="AC147">
        <f>IF(AND('5 App'!E147&gt;Tmin, NOT('5 App'!$I147="")),'5 App'!$I147,0)</f>
        <v>0</v>
      </c>
      <c r="AD147">
        <f>IF(AND('5 App'!F147&gt;Tmin, NOT('5 App'!$I147="")),'5 App'!$I147,0)</f>
        <v>0</v>
      </c>
      <c r="AE147">
        <f>IF(AND('5 App'!C147&lt;Tmax, NOT('5 App'!$H147="")),'5 App'!$H147,4)</f>
        <v>2</v>
      </c>
      <c r="AF147">
        <f>IF(AND('5 App'!D147&lt;Tmax, NOT('5 App'!$H147="")),'5 App'!$H147,4)</f>
        <v>2</v>
      </c>
      <c r="AG147">
        <f>IF(AND('5 App'!E147&lt;Tmax, NOT('5 App'!$H147="")),'5 App'!$H147,4)</f>
        <v>2</v>
      </c>
      <c r="AH147">
        <f>IF(AND('5 App'!F147&lt;Tmax, NOT('5 App'!$H147="")),'5 App'!$H147,4)</f>
        <v>2</v>
      </c>
      <c r="AI147"/>
    </row>
    <row r="148" spans="1:35" x14ac:dyDescent="0.25">
      <c r="A148" s="135" t="s">
        <v>1928</v>
      </c>
      <c r="B148" s="128" t="s">
        <v>325</v>
      </c>
      <c r="C148" s="243"/>
      <c r="D148" s="243"/>
      <c r="E148" s="304"/>
      <c r="F148" s="304"/>
      <c r="G148" s="133">
        <v>3</v>
      </c>
      <c r="H148" s="133"/>
      <c r="I148" s="136">
        <v>2</v>
      </c>
      <c r="J148" s="136"/>
      <c r="K148" s="135"/>
      <c r="AA148">
        <f>IF(AND('5 App'!C148&gt;Tmin, NOT('5 App'!$I148="")),'5 App'!$I148,0)</f>
        <v>0</v>
      </c>
      <c r="AB148">
        <f>IF(AND('5 App'!D148&gt;Tmin, NOT('5 App'!$I148="")),'5 App'!$I148,0)</f>
        <v>0</v>
      </c>
      <c r="AC148">
        <f>IF(AND('5 App'!E148&gt;Tmin, NOT('5 App'!$I148="")),'5 App'!$I148,0)</f>
        <v>0</v>
      </c>
      <c r="AD148">
        <f>IF(AND('5 App'!F148&gt;Tmin, NOT('5 App'!$I148="")),'5 App'!$I148,0)</f>
        <v>0</v>
      </c>
      <c r="AE148">
        <f>IF(AND('5 App'!C148&lt;Tmax, NOT('5 App'!$H148="")),'5 App'!$H148,4)</f>
        <v>4</v>
      </c>
      <c r="AF148">
        <f>IF(AND('5 App'!D148&lt;Tmax, NOT('5 App'!$H148="")),'5 App'!$H148,4)</f>
        <v>4</v>
      </c>
      <c r="AG148">
        <f>IF(AND('5 App'!E148&lt;Tmax, NOT('5 App'!$H148="")),'5 App'!$H148,4)</f>
        <v>4</v>
      </c>
      <c r="AH148">
        <f>IF(AND('5 App'!F148&lt;Tmax, NOT('5 App'!$H148="")),'5 App'!$H148,4)</f>
        <v>4</v>
      </c>
      <c r="AI148"/>
    </row>
    <row r="149" spans="1:35" x14ac:dyDescent="0.25">
      <c r="A149" s="135" t="s">
        <v>1929</v>
      </c>
      <c r="B149" s="128" t="s">
        <v>305</v>
      </c>
      <c r="C149" s="243"/>
      <c r="D149" s="243"/>
      <c r="E149" s="304"/>
      <c r="F149" s="304"/>
      <c r="G149" s="133">
        <v>4</v>
      </c>
      <c r="H149" s="133">
        <v>3</v>
      </c>
      <c r="I149" s="136"/>
      <c r="J149" s="136"/>
      <c r="K149" s="135"/>
      <c r="AA149">
        <f>IF(AND('5 App'!C149&gt;Tmin, NOT('5 App'!$I149="")),'5 App'!$I149,0)</f>
        <v>0</v>
      </c>
      <c r="AB149">
        <f>IF(AND('5 App'!D149&gt;Tmin, NOT('5 App'!$I149="")),'5 App'!$I149,0)</f>
        <v>0</v>
      </c>
      <c r="AC149">
        <f>IF(AND('5 App'!E149&gt;Tmin, NOT('5 App'!$I149="")),'5 App'!$I149,0)</f>
        <v>0</v>
      </c>
      <c r="AD149">
        <f>IF(AND('5 App'!F149&gt;Tmin, NOT('5 App'!$I149="")),'5 App'!$I149,0)</f>
        <v>0</v>
      </c>
      <c r="AE149">
        <f>IF(AND('5 App'!C149&lt;Tmax, NOT('5 App'!$H149="")),'5 App'!$H149,4)</f>
        <v>3</v>
      </c>
      <c r="AF149">
        <f>IF(AND('5 App'!D149&lt;Tmax, NOT('5 App'!$H149="")),'5 App'!$H149,4)</f>
        <v>3</v>
      </c>
      <c r="AG149">
        <f>IF(AND('5 App'!E149&lt;Tmax, NOT('5 App'!$H149="")),'5 App'!$H149,4)</f>
        <v>3</v>
      </c>
      <c r="AH149">
        <f>IF(AND('5 App'!F149&lt;Tmax, NOT('5 App'!$H149="")),'5 App'!$H149,4)</f>
        <v>3</v>
      </c>
      <c r="AI149"/>
    </row>
    <row r="150" spans="1:35" x14ac:dyDescent="0.25">
      <c r="A150" s="135" t="s">
        <v>1608</v>
      </c>
      <c r="B150" s="128" t="s">
        <v>1921</v>
      </c>
      <c r="C150" s="243"/>
      <c r="D150" s="243"/>
      <c r="E150" s="304"/>
      <c r="F150" s="304"/>
      <c r="G150" s="133"/>
      <c r="H150" s="133"/>
      <c r="I150" s="136"/>
      <c r="J150" s="136"/>
      <c r="K150" s="135"/>
      <c r="AA150"/>
      <c r="AB150"/>
      <c r="AC150"/>
      <c r="AD150"/>
      <c r="AE150"/>
      <c r="AF150"/>
      <c r="AG150"/>
      <c r="AH150"/>
      <c r="AI150"/>
    </row>
    <row r="151" spans="1:35" ht="20.399999999999999" x14ac:dyDescent="0.25">
      <c r="A151" s="135" t="s">
        <v>1930</v>
      </c>
      <c r="B151" s="128" t="s">
        <v>2314</v>
      </c>
      <c r="C151" s="243"/>
      <c r="D151" s="243"/>
      <c r="E151" s="304"/>
      <c r="F151" s="304"/>
      <c r="G151" s="133">
        <v>4</v>
      </c>
      <c r="H151" s="133"/>
      <c r="I151" s="136"/>
      <c r="J151" s="136"/>
      <c r="K151" s="135"/>
      <c r="AA151">
        <f>IF(AND('5 App'!C151&gt;Tmin, NOT('5 App'!$I151="")),'5 App'!$I151,0)</f>
        <v>0</v>
      </c>
      <c r="AB151">
        <f>IF(AND('5 App'!D151&gt;Tmin, NOT('5 App'!$I151="")),'5 App'!$I151,0)</f>
        <v>0</v>
      </c>
      <c r="AC151">
        <f>IF(AND('5 App'!E151&gt;Tmin, NOT('5 App'!$I151="")),'5 App'!$I151,0)</f>
        <v>0</v>
      </c>
      <c r="AD151">
        <f>IF(AND('5 App'!F151&gt;Tmin, NOT('5 App'!$I151="")),'5 App'!$I151,0)</f>
        <v>0</v>
      </c>
      <c r="AE151">
        <f>IF(AND('5 App'!C151&lt;Tmax, NOT('5 App'!$H151="")),'5 App'!$H151,4)</f>
        <v>4</v>
      </c>
      <c r="AF151">
        <f>IF(AND('5 App'!D151&lt;Tmax, NOT('5 App'!$H151="")),'5 App'!$H151,4)</f>
        <v>4</v>
      </c>
      <c r="AG151">
        <f>IF(AND('5 App'!E151&lt;Tmax, NOT('5 App'!$H151="")),'5 App'!$H151,4)</f>
        <v>4</v>
      </c>
      <c r="AH151">
        <f>IF(AND('5 App'!F151&lt;Tmax, NOT('5 App'!$H151="")),'5 App'!$H151,4)</f>
        <v>4</v>
      </c>
      <c r="AI151"/>
    </row>
    <row r="152" spans="1:35" x14ac:dyDescent="0.25">
      <c r="A152" s="135" t="s">
        <v>1931</v>
      </c>
      <c r="B152" s="128" t="s">
        <v>1255</v>
      </c>
      <c r="C152" s="243"/>
      <c r="D152" s="243"/>
      <c r="E152" s="304"/>
      <c r="F152" s="304"/>
      <c r="G152" s="133">
        <v>4</v>
      </c>
      <c r="H152" s="133">
        <v>2</v>
      </c>
      <c r="I152" s="136"/>
      <c r="J152" s="136"/>
      <c r="K152" s="135"/>
      <c r="AA152">
        <f>IF(AND('5 App'!C152&gt;Tmin, NOT('5 App'!$I152="")),'5 App'!$I152,0)</f>
        <v>0</v>
      </c>
      <c r="AB152">
        <f>IF(AND('5 App'!D152&gt;Tmin, NOT('5 App'!$I152="")),'5 App'!$I152,0)</f>
        <v>0</v>
      </c>
      <c r="AC152">
        <f>IF(AND('5 App'!E152&gt;Tmin, NOT('5 App'!$I152="")),'5 App'!$I152,0)</f>
        <v>0</v>
      </c>
      <c r="AD152">
        <f>IF(AND('5 App'!F152&gt;Tmin, NOT('5 App'!$I152="")),'5 App'!$I152,0)</f>
        <v>0</v>
      </c>
      <c r="AE152">
        <f>IF(AND('5 App'!C152&lt;Tmax, NOT('5 App'!$H152="")),'5 App'!$H152,4)</f>
        <v>2</v>
      </c>
      <c r="AF152">
        <f>IF(AND('5 App'!D152&lt;Tmax, NOT('5 App'!$H152="")),'5 App'!$H152,4)</f>
        <v>2</v>
      </c>
      <c r="AG152">
        <f>IF(AND('5 App'!E152&lt;Tmax, NOT('5 App'!$H152="")),'5 App'!$H152,4)</f>
        <v>2</v>
      </c>
      <c r="AH152">
        <f>IF(AND('5 App'!F152&lt;Tmax, NOT('5 App'!$H152="")),'5 App'!$H152,4)</f>
        <v>2</v>
      </c>
      <c r="AI152"/>
    </row>
    <row r="153" spans="1:35" ht="36" customHeight="1" x14ac:dyDescent="0.25">
      <c r="A153" s="135" t="s">
        <v>1932</v>
      </c>
      <c r="B153" s="128" t="s">
        <v>601</v>
      </c>
      <c r="C153" s="243"/>
      <c r="D153" s="243"/>
      <c r="E153" s="304"/>
      <c r="F153" s="304"/>
      <c r="G153" s="133">
        <v>4</v>
      </c>
      <c r="H153" s="133">
        <v>2</v>
      </c>
      <c r="I153" s="136"/>
      <c r="J153" s="136"/>
      <c r="K153" s="135"/>
      <c r="Z153" s="227"/>
      <c r="AA153">
        <f>IF(AND('5 App'!C153&gt;Tmin, NOT('5 App'!$I153="")),'5 App'!$I153,0)</f>
        <v>0</v>
      </c>
      <c r="AB153">
        <f>IF(AND('5 App'!D153&gt;Tmin, NOT('5 App'!$I153="")),'5 App'!$I153,0)</f>
        <v>0</v>
      </c>
      <c r="AC153">
        <f>IF(AND('5 App'!E153&gt;Tmin, NOT('5 App'!$I153="")),'5 App'!$I153,0)</f>
        <v>0</v>
      </c>
      <c r="AD153">
        <f>IF(AND('5 App'!F153&gt;Tmin, NOT('5 App'!$I153="")),'5 App'!$I153,0)</f>
        <v>0</v>
      </c>
      <c r="AE153">
        <f>IF(AND('5 App'!C153&lt;Tmax, NOT('5 App'!$H153="")),'5 App'!$H153,4)</f>
        <v>2</v>
      </c>
      <c r="AF153">
        <f>IF(AND('5 App'!D153&lt;Tmax, NOT('5 App'!$H153="")),'5 App'!$H153,4)</f>
        <v>2</v>
      </c>
      <c r="AG153">
        <f>IF(AND('5 App'!E153&lt;Tmax, NOT('5 App'!$H153="")),'5 App'!$H153,4)</f>
        <v>2</v>
      </c>
      <c r="AH153">
        <f>IF(AND('5 App'!F153&lt;Tmax, NOT('5 App'!$H153="")),'5 App'!$H153,4)</f>
        <v>2</v>
      </c>
      <c r="AI153"/>
    </row>
    <row r="154" spans="1:35" ht="27.75" customHeight="1" x14ac:dyDescent="0.25">
      <c r="A154" s="135" t="s">
        <v>1933</v>
      </c>
      <c r="B154" s="128" t="s">
        <v>1550</v>
      </c>
      <c r="C154" s="243"/>
      <c r="D154" s="243"/>
      <c r="E154" s="304"/>
      <c r="F154" s="304"/>
      <c r="G154" s="133">
        <v>4</v>
      </c>
      <c r="H154" s="133">
        <v>2</v>
      </c>
      <c r="I154" s="136"/>
      <c r="J154" s="136"/>
      <c r="K154" s="135"/>
      <c r="AA154">
        <f>IF(AND('5 App'!C154&gt;Tmin, NOT('5 App'!$I154="")),'5 App'!$I154,0)</f>
        <v>0</v>
      </c>
      <c r="AB154">
        <f>IF(AND('5 App'!D154&gt;Tmin, NOT('5 App'!$I154="")),'5 App'!$I154,0)</f>
        <v>0</v>
      </c>
      <c r="AC154">
        <f>IF(AND('5 App'!E154&gt;Tmin, NOT('5 App'!$I154="")),'5 App'!$I154,0)</f>
        <v>0</v>
      </c>
      <c r="AD154">
        <f>IF(AND('5 App'!F154&gt;Tmin, NOT('5 App'!$I154="")),'5 App'!$I154,0)</f>
        <v>0</v>
      </c>
      <c r="AE154">
        <f>IF(AND('5 App'!C154&lt;Tmax, NOT('5 App'!$H154="")),'5 App'!$H154,4)</f>
        <v>2</v>
      </c>
      <c r="AF154">
        <f>IF(AND('5 App'!D154&lt;Tmax, NOT('5 App'!$H154="")),'5 App'!$H154,4)</f>
        <v>2</v>
      </c>
      <c r="AG154">
        <f>IF(AND('5 App'!E154&lt;Tmax, NOT('5 App'!$H154="")),'5 App'!$H154,4)</f>
        <v>2</v>
      </c>
      <c r="AH154">
        <f>IF(AND('5 App'!F154&lt;Tmax, NOT('5 App'!$H154="")),'5 App'!$H154,4)</f>
        <v>2</v>
      </c>
      <c r="AI154"/>
    </row>
    <row r="155" spans="1:35" x14ac:dyDescent="0.25">
      <c r="A155" s="135" t="s">
        <v>1934</v>
      </c>
      <c r="B155" s="128" t="s">
        <v>325</v>
      </c>
      <c r="C155" s="243"/>
      <c r="D155" s="243"/>
      <c r="E155" s="304"/>
      <c r="F155" s="304"/>
      <c r="G155" s="133">
        <v>3</v>
      </c>
      <c r="H155" s="133"/>
      <c r="I155" s="136">
        <v>2</v>
      </c>
      <c r="J155" s="136"/>
      <c r="K155" s="135"/>
      <c r="AA155">
        <f>IF(AND('5 App'!C155&gt;Tmin, NOT('5 App'!$I155="")),'5 App'!$I155,0)</f>
        <v>0</v>
      </c>
      <c r="AB155">
        <f>IF(AND('5 App'!D155&gt;Tmin, NOT('5 App'!$I155="")),'5 App'!$I155,0)</f>
        <v>0</v>
      </c>
      <c r="AC155">
        <f>IF(AND('5 App'!E155&gt;Tmin, NOT('5 App'!$I155="")),'5 App'!$I155,0)</f>
        <v>0</v>
      </c>
      <c r="AD155">
        <f>IF(AND('5 App'!F155&gt;Tmin, NOT('5 App'!$I155="")),'5 App'!$I155,0)</f>
        <v>0</v>
      </c>
      <c r="AE155">
        <f>IF(AND('5 App'!C155&lt;Tmax, NOT('5 App'!$H155="")),'5 App'!$H155,4)</f>
        <v>4</v>
      </c>
      <c r="AF155">
        <f>IF(AND('5 App'!D155&lt;Tmax, NOT('5 App'!$H155="")),'5 App'!$H155,4)</f>
        <v>4</v>
      </c>
      <c r="AG155">
        <f>IF(AND('5 App'!E155&lt;Tmax, NOT('5 App'!$H155="")),'5 App'!$H155,4)</f>
        <v>4</v>
      </c>
      <c r="AH155">
        <f>IF(AND('5 App'!F155&lt;Tmax, NOT('5 App'!$H155="")),'5 App'!$H155,4)</f>
        <v>4</v>
      </c>
      <c r="AI155"/>
    </row>
    <row r="156" spans="1:35" ht="20.399999999999999" x14ac:dyDescent="0.25">
      <c r="A156" s="135" t="s">
        <v>1935</v>
      </c>
      <c r="B156" s="128" t="s">
        <v>1551</v>
      </c>
      <c r="C156" s="243"/>
      <c r="D156" s="243"/>
      <c r="E156" s="304"/>
      <c r="F156" s="304"/>
      <c r="G156" s="133">
        <v>4</v>
      </c>
      <c r="H156" s="133">
        <v>3</v>
      </c>
      <c r="I156" s="136"/>
      <c r="J156" s="136"/>
      <c r="K156" s="135"/>
      <c r="AA156">
        <f>IF(AND('5 App'!C156&gt;Tmin, NOT('5 App'!$I156="")),'5 App'!$I156,0)</f>
        <v>0</v>
      </c>
      <c r="AB156">
        <f>IF(AND('5 App'!D156&gt;Tmin, NOT('5 App'!$I156="")),'5 App'!$I156,0)</f>
        <v>0</v>
      </c>
      <c r="AC156">
        <f>IF(AND('5 App'!E156&gt;Tmin, NOT('5 App'!$I156="")),'5 App'!$I156,0)</f>
        <v>0</v>
      </c>
      <c r="AD156">
        <f>IF(AND('5 App'!F156&gt;Tmin, NOT('5 App'!$I156="")),'5 App'!$I156,0)</f>
        <v>0</v>
      </c>
      <c r="AE156">
        <f>IF(AND('5 App'!C156&lt;Tmax, NOT('5 App'!$H156="")),'5 App'!$H156,4)</f>
        <v>3</v>
      </c>
      <c r="AF156">
        <f>IF(AND('5 App'!D156&lt;Tmax, NOT('5 App'!$H156="")),'5 App'!$H156,4)</f>
        <v>3</v>
      </c>
      <c r="AG156">
        <f>IF(AND('5 App'!E156&lt;Tmax, NOT('5 App'!$H156="")),'5 App'!$H156,4)</f>
        <v>3</v>
      </c>
      <c r="AH156">
        <f>IF(AND('5 App'!F156&lt;Tmax, NOT('5 App'!$H156="")),'5 App'!$H156,4)</f>
        <v>3</v>
      </c>
      <c r="AI156"/>
    </row>
    <row r="157" spans="1:35" x14ac:dyDescent="0.25">
      <c r="A157" s="135" t="s">
        <v>3087</v>
      </c>
      <c r="B157" s="128" t="s">
        <v>4680</v>
      </c>
      <c r="C157" s="243"/>
      <c r="D157" s="243"/>
      <c r="E157" s="304"/>
      <c r="F157" s="304"/>
      <c r="G157" s="133"/>
      <c r="H157" s="133"/>
      <c r="I157" s="136"/>
      <c r="J157" s="136"/>
      <c r="K157" s="135"/>
      <c r="AA157"/>
      <c r="AB157"/>
      <c r="AC157"/>
      <c r="AD157"/>
      <c r="AE157"/>
      <c r="AF157"/>
      <c r="AG157"/>
      <c r="AH157"/>
      <c r="AI157"/>
    </row>
    <row r="158" spans="1:35" ht="30.6" x14ac:dyDescent="0.25">
      <c r="A158" s="135" t="s">
        <v>3088</v>
      </c>
      <c r="B158" s="128" t="s">
        <v>3089</v>
      </c>
      <c r="C158" s="243"/>
      <c r="D158" s="243"/>
      <c r="E158" s="304"/>
      <c r="F158" s="304"/>
      <c r="G158" s="133">
        <v>4</v>
      </c>
      <c r="H158" s="133">
        <v>2</v>
      </c>
      <c r="I158" s="136"/>
      <c r="J158" s="136"/>
      <c r="K158" s="135"/>
      <c r="AA158">
        <f>IF(AND('5 App'!C158&gt;Tmin, NOT('5 App'!$I158="")),'5 App'!$I158,0)</f>
        <v>0</v>
      </c>
      <c r="AB158">
        <f>IF(AND('5 App'!D158&gt;Tmin, NOT('5 App'!$I158="")),'5 App'!$I158,0)</f>
        <v>0</v>
      </c>
      <c r="AC158">
        <f>IF(AND('5 App'!E158&gt;Tmin, NOT('5 App'!$I158="")),'5 App'!$I158,0)</f>
        <v>0</v>
      </c>
      <c r="AD158">
        <f>IF(AND('5 App'!F158&gt;Tmin, NOT('5 App'!$I158="")),'5 App'!$I158,0)</f>
        <v>0</v>
      </c>
      <c r="AE158">
        <f>IF(AND('5 App'!C158&lt;Tmax, NOT('5 App'!$H158="")),'5 App'!$H158,4)</f>
        <v>2</v>
      </c>
      <c r="AF158">
        <f>IF(AND('5 App'!D158&lt;Tmax, NOT('5 App'!$H158="")),'5 App'!$H158,4)</f>
        <v>2</v>
      </c>
      <c r="AG158">
        <f>IF(AND('5 App'!E158&lt;Tmax, NOT('5 App'!$H158="")),'5 App'!$H158,4)</f>
        <v>2</v>
      </c>
      <c r="AH158">
        <f>IF(AND('5 App'!F158&lt;Tmax, NOT('5 App'!$H158="")),'5 App'!$H158,4)</f>
        <v>2</v>
      </c>
      <c r="AI158"/>
    </row>
    <row r="159" spans="1:35" x14ac:dyDescent="0.25">
      <c r="A159" s="135" t="s">
        <v>3092</v>
      </c>
      <c r="B159" s="128" t="s">
        <v>212</v>
      </c>
      <c r="C159" s="243"/>
      <c r="D159" s="243"/>
      <c r="E159" s="304"/>
      <c r="F159" s="304"/>
      <c r="G159" s="133">
        <v>4</v>
      </c>
      <c r="H159" s="133"/>
      <c r="I159" s="136"/>
      <c r="J159" s="136"/>
      <c r="K159" s="135"/>
      <c r="AA159">
        <f>IF(AND('5 App'!C159&gt;Tmin, NOT('5 App'!$I159="")),'5 App'!$I159,0)</f>
        <v>0</v>
      </c>
      <c r="AB159">
        <f>IF(AND('5 App'!D159&gt;Tmin, NOT('5 App'!$I159="")),'5 App'!$I159,0)</f>
        <v>0</v>
      </c>
      <c r="AC159">
        <f>IF(AND('5 App'!E159&gt;Tmin, NOT('5 App'!$I159="")),'5 App'!$I159,0)</f>
        <v>0</v>
      </c>
      <c r="AD159">
        <f>IF(AND('5 App'!F159&gt;Tmin, NOT('5 App'!$I159="")),'5 App'!$I159,0)</f>
        <v>0</v>
      </c>
      <c r="AE159">
        <f>IF(AND('5 App'!C159&lt;Tmax, NOT('5 App'!$H159="")),'5 App'!$H159,4)</f>
        <v>4</v>
      </c>
      <c r="AF159">
        <f>IF(AND('5 App'!D159&lt;Tmax, NOT('5 App'!$H159="")),'5 App'!$H159,4)</f>
        <v>4</v>
      </c>
      <c r="AG159">
        <f>IF(AND('5 App'!E159&lt;Tmax, NOT('5 App'!$H159="")),'5 App'!$H159,4)</f>
        <v>4</v>
      </c>
      <c r="AH159">
        <f>IF(AND('5 App'!F159&lt;Tmax, NOT('5 App'!$H159="")),'5 App'!$H159,4)</f>
        <v>4</v>
      </c>
      <c r="AI159"/>
    </row>
    <row r="160" spans="1:35" ht="40.799999999999997" x14ac:dyDescent="0.25">
      <c r="A160" s="135" t="s">
        <v>3093</v>
      </c>
      <c r="B160" s="128" t="s">
        <v>145</v>
      </c>
      <c r="C160" s="243"/>
      <c r="D160" s="243"/>
      <c r="E160" s="304"/>
      <c r="F160" s="304"/>
      <c r="G160" s="133">
        <v>4</v>
      </c>
      <c r="H160" s="133">
        <v>3</v>
      </c>
      <c r="I160" s="136"/>
      <c r="J160" s="136"/>
      <c r="K160" s="135"/>
      <c r="AA160">
        <f>IF(AND('5 App'!C160&gt;Tmin, NOT('5 App'!$I160="")),'5 App'!$I160,0)</f>
        <v>0</v>
      </c>
      <c r="AB160">
        <f>IF(AND('5 App'!D160&gt;Tmin, NOT('5 App'!$I160="")),'5 App'!$I160,0)</f>
        <v>0</v>
      </c>
      <c r="AC160">
        <f>IF(AND('5 App'!E160&gt;Tmin, NOT('5 App'!$I160="")),'5 App'!$I160,0)</f>
        <v>0</v>
      </c>
      <c r="AD160">
        <f>IF(AND('5 App'!F160&gt;Tmin, NOT('5 App'!$I160="")),'5 App'!$I160,0)</f>
        <v>0</v>
      </c>
      <c r="AE160">
        <f>IF(AND('5 App'!C160&lt;Tmax, NOT('5 App'!$H160="")),'5 App'!$H160,4)</f>
        <v>3</v>
      </c>
      <c r="AF160">
        <f>IF(AND('5 App'!D160&lt;Tmax, NOT('5 App'!$H160="")),'5 App'!$H160,4)</f>
        <v>3</v>
      </c>
      <c r="AG160">
        <f>IF(AND('5 App'!E160&lt;Tmax, NOT('5 App'!$H160="")),'5 App'!$H160,4)</f>
        <v>3</v>
      </c>
      <c r="AH160">
        <f>IF(AND('5 App'!F160&lt;Tmax, NOT('5 App'!$H160="")),'5 App'!$H160,4)</f>
        <v>3</v>
      </c>
      <c r="AI160"/>
    </row>
    <row r="161" spans="1:35" ht="38.25" customHeight="1" x14ac:dyDescent="0.25">
      <c r="A161" s="135" t="s">
        <v>3094</v>
      </c>
      <c r="B161" s="128" t="s">
        <v>146</v>
      </c>
      <c r="C161" s="243"/>
      <c r="D161" s="243"/>
      <c r="E161" s="304"/>
      <c r="F161" s="304"/>
      <c r="G161" s="133">
        <v>4</v>
      </c>
      <c r="H161" s="133">
        <v>2</v>
      </c>
      <c r="I161" s="136"/>
      <c r="J161" s="136"/>
      <c r="K161" s="135"/>
      <c r="AA161">
        <f>IF(AND('5 App'!C161&gt;Tmin, NOT('5 App'!$I161="")),'5 App'!$I161,0)</f>
        <v>0</v>
      </c>
      <c r="AB161">
        <f>IF(AND('5 App'!D161&gt;Tmin, NOT('5 App'!$I161="")),'5 App'!$I161,0)</f>
        <v>0</v>
      </c>
      <c r="AC161">
        <f>IF(AND('5 App'!E161&gt;Tmin, NOT('5 App'!$I161="")),'5 App'!$I161,0)</f>
        <v>0</v>
      </c>
      <c r="AD161">
        <f>IF(AND('5 App'!F161&gt;Tmin, NOT('5 App'!$I161="")),'5 App'!$I161,0)</f>
        <v>0</v>
      </c>
      <c r="AE161">
        <f>IF(AND('5 App'!C161&lt;Tmax, NOT('5 App'!$H161="")),'5 App'!$H161,4)</f>
        <v>2</v>
      </c>
      <c r="AF161">
        <f>IF(AND('5 App'!D161&lt;Tmax, NOT('5 App'!$H161="")),'5 App'!$H161,4)</f>
        <v>2</v>
      </c>
      <c r="AG161">
        <f>IF(AND('5 App'!E161&lt;Tmax, NOT('5 App'!$H161="")),'5 App'!$H161,4)</f>
        <v>2</v>
      </c>
      <c r="AH161">
        <f>IF(AND('5 App'!F161&lt;Tmax, NOT('5 App'!$H161="")),'5 App'!$H161,4)</f>
        <v>2</v>
      </c>
      <c r="AI161"/>
    </row>
    <row r="162" spans="1:35" ht="15" customHeight="1" x14ac:dyDescent="0.25">
      <c r="A162" s="135" t="s">
        <v>3095</v>
      </c>
      <c r="B162" s="128" t="s">
        <v>258</v>
      </c>
      <c r="C162" s="243"/>
      <c r="D162" s="243"/>
      <c r="E162" s="304"/>
      <c r="F162" s="304"/>
      <c r="G162" s="133">
        <v>4</v>
      </c>
      <c r="H162" s="133"/>
      <c r="I162" s="136"/>
      <c r="J162" s="136"/>
      <c r="K162" s="135"/>
      <c r="AA162">
        <f>IF(AND('5 App'!C162&gt;Tmin, NOT('5 App'!$I162="")),'5 App'!$I162,0)</f>
        <v>0</v>
      </c>
      <c r="AB162">
        <f>IF(AND('5 App'!D162&gt;Tmin, NOT('5 App'!$I162="")),'5 App'!$I162,0)</f>
        <v>0</v>
      </c>
      <c r="AC162">
        <f>IF(AND('5 App'!E162&gt;Tmin, NOT('5 App'!$I162="")),'5 App'!$I162,0)</f>
        <v>0</v>
      </c>
      <c r="AD162">
        <f>IF(AND('5 App'!F162&gt;Tmin, NOT('5 App'!$I162="")),'5 App'!$I162,0)</f>
        <v>0</v>
      </c>
      <c r="AE162">
        <f>IF(AND('5 App'!C162&lt;Tmax, NOT('5 App'!$H162="")),'5 App'!$H162,4)</f>
        <v>4</v>
      </c>
      <c r="AF162">
        <f>IF(AND('5 App'!D162&lt;Tmax, NOT('5 App'!$H162="")),'5 App'!$H162,4)</f>
        <v>4</v>
      </c>
      <c r="AG162">
        <f>IF(AND('5 App'!E162&lt;Tmax, NOT('5 App'!$H162="")),'5 App'!$H162,4)</f>
        <v>4</v>
      </c>
      <c r="AH162">
        <f>IF(AND('5 App'!F162&lt;Tmax, NOT('5 App'!$H162="")),'5 App'!$H162,4)</f>
        <v>4</v>
      </c>
      <c r="AI162"/>
    </row>
    <row r="163" spans="1:35" x14ac:dyDescent="0.25">
      <c r="A163" s="1139" t="s">
        <v>1922</v>
      </c>
      <c r="B163" s="1102" t="s">
        <v>1923</v>
      </c>
      <c r="C163" s="243"/>
      <c r="D163" s="243"/>
      <c r="E163" s="304"/>
      <c r="F163" s="304"/>
      <c r="G163" s="133"/>
      <c r="H163" s="133"/>
      <c r="I163" s="136"/>
      <c r="J163" s="136"/>
      <c r="K163" s="135"/>
      <c r="AA163"/>
      <c r="AB163"/>
      <c r="AC163"/>
      <c r="AD163"/>
      <c r="AE163"/>
      <c r="AF163"/>
      <c r="AG163"/>
      <c r="AH163"/>
      <c r="AI163"/>
    </row>
    <row r="164" spans="1:35" x14ac:dyDescent="0.25">
      <c r="A164" s="135" t="s">
        <v>1610</v>
      </c>
      <c r="B164" s="128" t="s">
        <v>1936</v>
      </c>
      <c r="C164" s="243"/>
      <c r="D164" s="243"/>
      <c r="E164" s="304"/>
      <c r="F164" s="304"/>
      <c r="G164" s="133"/>
      <c r="H164" s="133"/>
      <c r="I164" s="136"/>
      <c r="J164" s="136"/>
      <c r="K164" s="135"/>
      <c r="AA164"/>
      <c r="AB164"/>
      <c r="AC164"/>
      <c r="AD164"/>
      <c r="AE164"/>
      <c r="AF164"/>
      <c r="AG164"/>
      <c r="AH164"/>
      <c r="AI164"/>
    </row>
    <row r="165" spans="1:35" ht="20.399999999999999" x14ac:dyDescent="0.25">
      <c r="A165" s="135" t="s">
        <v>1940</v>
      </c>
      <c r="B165" s="128" t="s">
        <v>1937</v>
      </c>
      <c r="C165" s="243"/>
      <c r="D165" s="243"/>
      <c r="E165" s="304"/>
      <c r="F165" s="304"/>
      <c r="G165" s="133">
        <v>4</v>
      </c>
      <c r="H165" s="133"/>
      <c r="I165" s="136"/>
      <c r="J165" s="136"/>
      <c r="K165" s="135"/>
      <c r="AA165">
        <f>IF(AND('5 App'!C165&gt;Tmin, NOT('5 App'!$I165="")),'5 App'!$I165,0)</f>
        <v>0</v>
      </c>
      <c r="AB165">
        <f>IF(AND('5 App'!D165&gt;Tmin, NOT('5 App'!$I165="")),'5 App'!$I165,0)</f>
        <v>0</v>
      </c>
      <c r="AC165">
        <f>IF(AND('5 App'!E165&gt;Tmin, NOT('5 App'!$I165="")),'5 App'!$I165,0)</f>
        <v>0</v>
      </c>
      <c r="AD165">
        <f>IF(AND('5 App'!F165&gt;Tmin, NOT('5 App'!$I165="")),'5 App'!$I165,0)</f>
        <v>0</v>
      </c>
      <c r="AE165">
        <f>IF(AND('5 App'!C165&lt;Tmax, NOT('5 App'!$H165="")),'5 App'!$H165,4)</f>
        <v>4</v>
      </c>
      <c r="AF165">
        <f>IF(AND('5 App'!D165&lt;Tmax, NOT('5 App'!$H165="")),'5 App'!$H165,4)</f>
        <v>4</v>
      </c>
      <c r="AG165">
        <f>IF(AND('5 App'!E165&lt;Tmax, NOT('5 App'!$H165="")),'5 App'!$H165,4)</f>
        <v>4</v>
      </c>
      <c r="AH165">
        <f>IF(AND('5 App'!F165&lt;Tmax, NOT('5 App'!$H165="")),'5 App'!$H165,4)</f>
        <v>4</v>
      </c>
      <c r="AI165"/>
    </row>
    <row r="166" spans="1:35" ht="37.5" customHeight="1" x14ac:dyDescent="0.25">
      <c r="A166" s="135" t="s">
        <v>1941</v>
      </c>
      <c r="B166" s="128" t="s">
        <v>0</v>
      </c>
      <c r="C166" s="243"/>
      <c r="D166" s="243"/>
      <c r="E166" s="304"/>
      <c r="F166" s="304"/>
      <c r="G166" s="133">
        <v>4</v>
      </c>
      <c r="H166" s="133">
        <v>2</v>
      </c>
      <c r="I166" s="136"/>
      <c r="J166" s="136"/>
      <c r="K166" s="135"/>
      <c r="AA166">
        <f>IF(AND('5 App'!C166&gt;Tmin, NOT('5 App'!$I166="")),'5 App'!$I166,0)</f>
        <v>0</v>
      </c>
      <c r="AB166">
        <f>IF(AND('5 App'!D166&gt;Tmin, NOT('5 App'!$I166="")),'5 App'!$I166,0)</f>
        <v>0</v>
      </c>
      <c r="AC166">
        <f>IF(AND('5 App'!E166&gt;Tmin, NOT('5 App'!$I166="")),'5 App'!$I166,0)</f>
        <v>0</v>
      </c>
      <c r="AD166">
        <f>IF(AND('5 App'!F166&gt;Tmin, NOT('5 App'!$I166="")),'5 App'!$I166,0)</f>
        <v>0</v>
      </c>
      <c r="AE166">
        <f>IF(AND('5 App'!C166&lt;Tmax, NOT('5 App'!$H166="")),'5 App'!$H166,4)</f>
        <v>2</v>
      </c>
      <c r="AF166">
        <f>IF(AND('5 App'!D166&lt;Tmax, NOT('5 App'!$H166="")),'5 App'!$H166,4)</f>
        <v>2</v>
      </c>
      <c r="AG166">
        <f>IF(AND('5 App'!E166&lt;Tmax, NOT('5 App'!$H166="")),'5 App'!$H166,4)</f>
        <v>2</v>
      </c>
      <c r="AH166">
        <f>IF(AND('5 App'!F166&lt;Tmax, NOT('5 App'!$H166="")),'5 App'!$H166,4)</f>
        <v>2</v>
      </c>
      <c r="AI166"/>
    </row>
    <row r="167" spans="1:35" ht="20.399999999999999" x14ac:dyDescent="0.25">
      <c r="A167" s="135" t="s">
        <v>1942</v>
      </c>
      <c r="B167" s="128" t="s">
        <v>1</v>
      </c>
      <c r="C167" s="243"/>
      <c r="D167" s="243"/>
      <c r="E167" s="304"/>
      <c r="F167" s="304"/>
      <c r="G167" s="133">
        <v>4</v>
      </c>
      <c r="H167" s="133">
        <v>2</v>
      </c>
      <c r="I167" s="136"/>
      <c r="J167" s="136"/>
      <c r="K167" s="135"/>
      <c r="AA167">
        <f>IF(AND('5 App'!C167&gt;Tmin, NOT('5 App'!$I167="")),'5 App'!$I167,0)</f>
        <v>0</v>
      </c>
      <c r="AB167">
        <f>IF(AND('5 App'!D167&gt;Tmin, NOT('5 App'!$I167="")),'5 App'!$I167,0)</f>
        <v>0</v>
      </c>
      <c r="AC167">
        <f>IF(AND('5 App'!E167&gt;Tmin, NOT('5 App'!$I167="")),'5 App'!$I167,0)</f>
        <v>0</v>
      </c>
      <c r="AD167">
        <f>IF(AND('5 App'!F167&gt;Tmin, NOT('5 App'!$I167="")),'5 App'!$I167,0)</f>
        <v>0</v>
      </c>
      <c r="AE167">
        <f>IF(AND('5 App'!C167&lt;Tmax, NOT('5 App'!$H167="")),'5 App'!$H167,4)</f>
        <v>2</v>
      </c>
      <c r="AF167">
        <f>IF(AND('5 App'!D167&lt;Tmax, NOT('5 App'!$H167="")),'5 App'!$H167,4)</f>
        <v>2</v>
      </c>
      <c r="AG167">
        <f>IF(AND('5 App'!E167&lt;Tmax, NOT('5 App'!$H167="")),'5 App'!$H167,4)</f>
        <v>2</v>
      </c>
      <c r="AH167">
        <f>IF(AND('5 App'!F167&lt;Tmax, NOT('5 App'!$H167="")),'5 App'!$H167,4)</f>
        <v>2</v>
      </c>
      <c r="AI167"/>
    </row>
    <row r="168" spans="1:35" ht="16.5" customHeight="1" x14ac:dyDescent="0.25">
      <c r="A168" s="135" t="s">
        <v>1943</v>
      </c>
      <c r="B168" s="128" t="s">
        <v>409</v>
      </c>
      <c r="C168" s="243"/>
      <c r="D168" s="243"/>
      <c r="E168" s="304"/>
      <c r="F168" s="304"/>
      <c r="G168" s="133">
        <v>4</v>
      </c>
      <c r="H168" s="133">
        <v>3</v>
      </c>
      <c r="I168" s="136"/>
      <c r="J168" s="136"/>
      <c r="K168" s="135"/>
      <c r="AA168">
        <f>IF(AND('5 App'!C168&gt;Tmin, NOT('5 App'!$I168="")),'5 App'!$I168,0)</f>
        <v>0</v>
      </c>
      <c r="AB168">
        <f>IF(AND('5 App'!D168&gt;Tmin, NOT('5 App'!$I168="")),'5 App'!$I168,0)</f>
        <v>0</v>
      </c>
      <c r="AC168">
        <f>IF(AND('5 App'!E168&gt;Tmin, NOT('5 App'!$I168="")),'5 App'!$I168,0)</f>
        <v>0</v>
      </c>
      <c r="AD168">
        <f>IF(AND('5 App'!F168&gt;Tmin, NOT('5 App'!$I168="")),'5 App'!$I168,0)</f>
        <v>0</v>
      </c>
      <c r="AE168">
        <f>IF(AND('5 App'!C168&lt;Tmax, NOT('5 App'!$H168="")),'5 App'!$H168,4)</f>
        <v>3</v>
      </c>
      <c r="AF168">
        <f>IF(AND('5 App'!D168&lt;Tmax, NOT('5 App'!$H168="")),'5 App'!$H168,4)</f>
        <v>3</v>
      </c>
      <c r="AG168">
        <f>IF(AND('5 App'!E168&lt;Tmax, NOT('5 App'!$H168="")),'5 App'!$H168,4)</f>
        <v>3</v>
      </c>
      <c r="AH168">
        <f>IF(AND('5 App'!F168&lt;Tmax, NOT('5 App'!$H168="")),'5 App'!$H168,4)</f>
        <v>3</v>
      </c>
      <c r="AI168"/>
    </row>
    <row r="169" spans="1:35" x14ac:dyDescent="0.25">
      <c r="A169" s="135" t="s">
        <v>1611</v>
      </c>
      <c r="B169" s="128" t="s">
        <v>1938</v>
      </c>
      <c r="C169" s="243"/>
      <c r="D169" s="243"/>
      <c r="E169" s="304"/>
      <c r="F169" s="304"/>
      <c r="G169" s="133"/>
      <c r="H169" s="133"/>
      <c r="I169" s="136"/>
      <c r="J169" s="136"/>
      <c r="K169" s="135"/>
      <c r="AA169"/>
      <c r="AB169"/>
      <c r="AC169"/>
      <c r="AD169"/>
      <c r="AE169"/>
      <c r="AF169"/>
      <c r="AG169"/>
      <c r="AH169"/>
      <c r="AI169"/>
    </row>
    <row r="170" spans="1:35" ht="20.399999999999999" x14ac:dyDescent="0.25">
      <c r="A170" s="135" t="s">
        <v>1944</v>
      </c>
      <c r="B170" s="128" t="s">
        <v>1939</v>
      </c>
      <c r="C170" s="243"/>
      <c r="D170" s="243"/>
      <c r="E170" s="304"/>
      <c r="F170" s="304"/>
      <c r="G170" s="133">
        <v>4</v>
      </c>
      <c r="H170" s="133"/>
      <c r="I170" s="136"/>
      <c r="J170" s="136"/>
      <c r="K170" s="135"/>
      <c r="AA170">
        <f>IF(AND('5 App'!C170&gt;Tmin, NOT('5 App'!$I170="")),'5 App'!$I170,0)</f>
        <v>0</v>
      </c>
      <c r="AB170">
        <f>IF(AND('5 App'!D170&gt;Tmin, NOT('5 App'!$I170="")),'5 App'!$I170,0)</f>
        <v>0</v>
      </c>
      <c r="AC170">
        <f>IF(AND('5 App'!E170&gt;Tmin, NOT('5 App'!$I170="")),'5 App'!$I170,0)</f>
        <v>0</v>
      </c>
      <c r="AD170">
        <f>IF(AND('5 App'!F170&gt;Tmin, NOT('5 App'!$I170="")),'5 App'!$I170,0)</f>
        <v>0</v>
      </c>
      <c r="AE170">
        <f>IF(AND('5 App'!C170&lt;Tmax, NOT('5 App'!$H170="")),'5 App'!$H170,4)</f>
        <v>4</v>
      </c>
      <c r="AF170">
        <f>IF(AND('5 App'!D170&lt;Tmax, NOT('5 App'!$H170="")),'5 App'!$H170,4)</f>
        <v>4</v>
      </c>
      <c r="AG170">
        <f>IF(AND('5 App'!E170&lt;Tmax, NOT('5 App'!$H170="")),'5 App'!$H170,4)</f>
        <v>4</v>
      </c>
      <c r="AH170">
        <f>IF(AND('5 App'!F170&lt;Tmax, NOT('5 App'!$H170="")),'5 App'!$H170,4)</f>
        <v>4</v>
      </c>
      <c r="AI170"/>
    </row>
    <row r="171" spans="1:35" ht="20.399999999999999" x14ac:dyDescent="0.25">
      <c r="A171" s="135" t="s">
        <v>1945</v>
      </c>
      <c r="B171" s="128" t="s">
        <v>236</v>
      </c>
      <c r="C171" s="243"/>
      <c r="D171" s="243"/>
      <c r="E171" s="304"/>
      <c r="F171" s="304"/>
      <c r="G171" s="133">
        <v>2</v>
      </c>
      <c r="H171" s="133">
        <v>3</v>
      </c>
      <c r="I171" s="136"/>
      <c r="J171" s="136"/>
      <c r="K171" s="135"/>
      <c r="AA171">
        <f>IF(AND('5 App'!C171&gt;Tmin, NOT('5 App'!$I171="")),'5 App'!$I171,0)</f>
        <v>0</v>
      </c>
      <c r="AB171">
        <f>IF(AND('5 App'!D171&gt;Tmin, NOT('5 App'!$I171="")),'5 App'!$I171,0)</f>
        <v>0</v>
      </c>
      <c r="AC171">
        <f>IF(AND('5 App'!E171&gt;Tmin, NOT('5 App'!$I171="")),'5 App'!$I171,0)</f>
        <v>0</v>
      </c>
      <c r="AD171">
        <f>IF(AND('5 App'!F171&gt;Tmin, NOT('5 App'!$I171="")),'5 App'!$I171,0)</f>
        <v>0</v>
      </c>
      <c r="AE171">
        <f>IF(AND('5 App'!C171&lt;Tmax, NOT('5 App'!$H171="")),'5 App'!$H171,4)</f>
        <v>3</v>
      </c>
      <c r="AF171">
        <f>IF(AND('5 App'!D171&lt;Tmax, NOT('5 App'!$H171="")),'5 App'!$H171,4)</f>
        <v>3</v>
      </c>
      <c r="AG171">
        <f>IF(AND('5 App'!E171&lt;Tmax, NOT('5 App'!$H171="")),'5 App'!$H171,4)</f>
        <v>3</v>
      </c>
      <c r="AH171">
        <f>IF(AND('5 App'!F171&lt;Tmax, NOT('5 App'!$H171="")),'5 App'!$H171,4)</f>
        <v>3</v>
      </c>
      <c r="AI171"/>
    </row>
    <row r="172" spans="1:35" ht="38.25" customHeight="1" x14ac:dyDescent="0.25">
      <c r="A172" s="135" t="s">
        <v>1946</v>
      </c>
      <c r="B172" s="128" t="s">
        <v>0</v>
      </c>
      <c r="C172" s="243"/>
      <c r="D172" s="243"/>
      <c r="E172" s="304"/>
      <c r="F172" s="304"/>
      <c r="G172" s="133">
        <v>4</v>
      </c>
      <c r="H172" s="133">
        <v>2</v>
      </c>
      <c r="I172" s="136"/>
      <c r="J172" s="136"/>
      <c r="K172" s="135"/>
      <c r="AA172">
        <f>IF(AND('5 App'!C172&gt;Tmin, NOT('5 App'!$I172="")),'5 App'!$I172,0)</f>
        <v>0</v>
      </c>
      <c r="AB172">
        <f>IF(AND('5 App'!D172&gt;Tmin, NOT('5 App'!$I172="")),'5 App'!$I172,0)</f>
        <v>0</v>
      </c>
      <c r="AC172">
        <f>IF(AND('5 App'!E172&gt;Tmin, NOT('5 App'!$I172="")),'5 App'!$I172,0)</f>
        <v>0</v>
      </c>
      <c r="AD172">
        <f>IF(AND('5 App'!F172&gt;Tmin, NOT('5 App'!$I172="")),'5 App'!$I172,0)</f>
        <v>0</v>
      </c>
      <c r="AE172">
        <f>IF(AND('5 App'!C172&lt;Tmax, NOT('5 App'!$H172="")),'5 App'!$H172,4)</f>
        <v>2</v>
      </c>
      <c r="AF172">
        <f>IF(AND('5 App'!D172&lt;Tmax, NOT('5 App'!$H172="")),'5 App'!$H172,4)</f>
        <v>2</v>
      </c>
      <c r="AG172">
        <f>IF(AND('5 App'!E172&lt;Tmax, NOT('5 App'!$H172="")),'5 App'!$H172,4)</f>
        <v>2</v>
      </c>
      <c r="AH172">
        <f>IF(AND('5 App'!F172&lt;Tmax, NOT('5 App'!$H172="")),'5 App'!$H172,4)</f>
        <v>2</v>
      </c>
      <c r="AI172"/>
    </row>
    <row r="173" spans="1:35" ht="20.399999999999999" x14ac:dyDescent="0.25">
      <c r="A173" s="135" t="s">
        <v>1947</v>
      </c>
      <c r="B173" s="128" t="s">
        <v>1</v>
      </c>
      <c r="C173" s="243"/>
      <c r="D173" s="243"/>
      <c r="E173" s="304"/>
      <c r="F173" s="304"/>
      <c r="G173" s="133">
        <v>4</v>
      </c>
      <c r="H173" s="133">
        <v>2</v>
      </c>
      <c r="I173" s="136"/>
      <c r="J173" s="136"/>
      <c r="K173" s="135"/>
      <c r="AA173">
        <f>IF(AND('5 App'!C173&gt;Tmin, NOT('5 App'!$I173="")),'5 App'!$I173,0)</f>
        <v>0</v>
      </c>
      <c r="AB173">
        <f>IF(AND('5 App'!D173&gt;Tmin, NOT('5 App'!$I173="")),'5 App'!$I173,0)</f>
        <v>0</v>
      </c>
      <c r="AC173">
        <f>IF(AND('5 App'!E173&gt;Tmin, NOT('5 App'!$I173="")),'5 App'!$I173,0)</f>
        <v>0</v>
      </c>
      <c r="AD173">
        <f>IF(AND('5 App'!F173&gt;Tmin, NOT('5 App'!$I173="")),'5 App'!$I173,0)</f>
        <v>0</v>
      </c>
      <c r="AE173">
        <f>IF(AND('5 App'!C173&lt;Tmax, NOT('5 App'!$H173="")),'5 App'!$H173,4)</f>
        <v>2</v>
      </c>
      <c r="AF173">
        <f>IF(AND('5 App'!D173&lt;Tmax, NOT('5 App'!$H173="")),'5 App'!$H173,4)</f>
        <v>2</v>
      </c>
      <c r="AG173">
        <f>IF(AND('5 App'!E173&lt;Tmax, NOT('5 App'!$H173="")),'5 App'!$H173,4)</f>
        <v>2</v>
      </c>
      <c r="AH173">
        <f>IF(AND('5 App'!F173&lt;Tmax, NOT('5 App'!$H173="")),'5 App'!$H173,4)</f>
        <v>2</v>
      </c>
      <c r="AI173"/>
    </row>
    <row r="174" spans="1:35" ht="20.399999999999999" x14ac:dyDescent="0.25">
      <c r="A174" s="135" t="s">
        <v>1948</v>
      </c>
      <c r="B174" s="128" t="s">
        <v>199</v>
      </c>
      <c r="C174" s="243"/>
      <c r="D174" s="243"/>
      <c r="E174" s="304"/>
      <c r="F174" s="304"/>
      <c r="G174" s="133">
        <v>4</v>
      </c>
      <c r="H174" s="133">
        <v>3</v>
      </c>
      <c r="I174" s="136"/>
      <c r="J174" s="136"/>
      <c r="K174" s="135"/>
      <c r="AA174">
        <f>IF(AND('5 App'!C174&gt;Tmin, NOT('5 App'!$I174="")),'5 App'!$I174,0)</f>
        <v>0</v>
      </c>
      <c r="AB174">
        <f>IF(AND('5 App'!D174&gt;Tmin, NOT('5 App'!$I174="")),'5 App'!$I174,0)</f>
        <v>0</v>
      </c>
      <c r="AC174">
        <f>IF(AND('5 App'!E174&gt;Tmin, NOT('5 App'!$I174="")),'5 App'!$I174,0)</f>
        <v>0</v>
      </c>
      <c r="AD174">
        <f>IF(AND('5 App'!F174&gt;Tmin, NOT('5 App'!$I174="")),'5 App'!$I174,0)</f>
        <v>0</v>
      </c>
      <c r="AE174">
        <f>IF(AND('5 App'!C174&lt;Tmax, NOT('5 App'!$H174="")),'5 App'!$H174,4)</f>
        <v>3</v>
      </c>
      <c r="AF174">
        <f>IF(AND('5 App'!D174&lt;Tmax, NOT('5 App'!$H174="")),'5 App'!$H174,4)</f>
        <v>3</v>
      </c>
      <c r="AG174">
        <f>IF(AND('5 App'!E174&lt;Tmax, NOT('5 App'!$H174="")),'5 App'!$H174,4)</f>
        <v>3</v>
      </c>
      <c r="AH174">
        <f>IF(AND('5 App'!F174&lt;Tmax, NOT('5 App'!$H174="")),'5 App'!$H174,4)</f>
        <v>3</v>
      </c>
      <c r="AI174"/>
    </row>
    <row r="175" spans="1:35" x14ac:dyDescent="0.25">
      <c r="AA175"/>
      <c r="AB175"/>
      <c r="AC175"/>
      <c r="AD175"/>
      <c r="AE175"/>
      <c r="AF175"/>
      <c r="AG175"/>
      <c r="AH175"/>
      <c r="AI175"/>
    </row>
    <row r="176" spans="1:35" x14ac:dyDescent="0.25">
      <c r="G176" s="130"/>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35" x14ac:dyDescent="0.25">
      <c r="AA209"/>
      <c r="AB209"/>
      <c r="AC209"/>
      <c r="AD209"/>
      <c r="AE209"/>
      <c r="AF209"/>
      <c r="AG209"/>
      <c r="AH209"/>
      <c r="AI209"/>
    </row>
    <row r="210" spans="2:35" ht="13.8" x14ac:dyDescent="0.3">
      <c r="C210" s="226"/>
      <c r="D210" s="226"/>
      <c r="G210" s="129"/>
      <c r="H210" s="129"/>
      <c r="I210" s="129"/>
      <c r="AA210"/>
      <c r="AB210"/>
      <c r="AC210"/>
      <c r="AD210"/>
      <c r="AE210"/>
      <c r="AF210"/>
      <c r="AG210"/>
      <c r="AH210"/>
      <c r="AI210"/>
    </row>
    <row r="211" spans="2:35" ht="13.8" x14ac:dyDescent="0.3">
      <c r="B211" s="204"/>
      <c r="C211" s="226"/>
      <c r="D211" s="226"/>
      <c r="G211" s="129"/>
      <c r="H211" s="129"/>
      <c r="I211" s="129"/>
      <c r="AA211"/>
      <c r="AB211"/>
      <c r="AC211"/>
      <c r="AD211"/>
      <c r="AE211"/>
      <c r="AF211"/>
      <c r="AG211"/>
      <c r="AH211"/>
      <c r="AI211"/>
    </row>
    <row r="212" spans="2:35" ht="13.8" x14ac:dyDescent="0.3">
      <c r="C212" s="226"/>
      <c r="D212" s="226"/>
      <c r="G212" s="129"/>
      <c r="H212" s="129"/>
      <c r="I212" s="129"/>
      <c r="AA212"/>
      <c r="AB212"/>
      <c r="AC212"/>
      <c r="AD212"/>
      <c r="AE212"/>
      <c r="AF212"/>
      <c r="AG212"/>
      <c r="AH212"/>
      <c r="AI212"/>
    </row>
    <row r="213" spans="2:35" ht="13.8" x14ac:dyDescent="0.3">
      <c r="C213" s="226"/>
      <c r="D213" s="226"/>
      <c r="G213" s="129"/>
      <c r="H213" s="129"/>
      <c r="I213" s="129"/>
      <c r="AA213"/>
      <c r="AB213"/>
      <c r="AC213"/>
      <c r="AD213"/>
      <c r="AE213"/>
      <c r="AF213"/>
      <c r="AG213"/>
      <c r="AH213"/>
      <c r="AI213"/>
    </row>
    <row r="214" spans="2:35" ht="13.8" x14ac:dyDescent="0.3">
      <c r="C214" s="226"/>
      <c r="D214" s="226"/>
      <c r="G214" s="129"/>
      <c r="H214" s="129"/>
      <c r="I214" s="129"/>
      <c r="AA214"/>
      <c r="AB214"/>
      <c r="AC214"/>
      <c r="AD214"/>
      <c r="AE214"/>
      <c r="AF214"/>
      <c r="AG214"/>
      <c r="AH214"/>
      <c r="AI214"/>
    </row>
    <row r="215" spans="2:35" ht="13.8" x14ac:dyDescent="0.3">
      <c r="C215" s="226"/>
      <c r="D215" s="226"/>
      <c r="G215" s="129"/>
      <c r="H215" s="129"/>
      <c r="I215" s="129"/>
      <c r="AA215"/>
      <c r="AB215"/>
      <c r="AC215"/>
      <c r="AD215"/>
      <c r="AE215"/>
      <c r="AF215"/>
      <c r="AG215"/>
      <c r="AH215"/>
      <c r="AI215"/>
    </row>
    <row r="216" spans="2:35" ht="13.8" x14ac:dyDescent="0.3">
      <c r="C216" s="226"/>
      <c r="D216" s="226"/>
      <c r="G216" s="129"/>
      <c r="H216" s="129"/>
      <c r="I216" s="129"/>
      <c r="AA216"/>
      <c r="AB216"/>
      <c r="AC216"/>
      <c r="AD216"/>
      <c r="AE216"/>
      <c r="AF216"/>
      <c r="AG216"/>
      <c r="AH216"/>
      <c r="AI216"/>
    </row>
    <row r="217" spans="2:35" ht="13.8" x14ac:dyDescent="0.3">
      <c r="C217" s="226"/>
      <c r="D217" s="226"/>
      <c r="G217" s="129"/>
      <c r="H217" s="129"/>
      <c r="I217" s="129"/>
      <c r="AA217"/>
      <c r="AB217"/>
      <c r="AC217"/>
      <c r="AD217"/>
      <c r="AE217"/>
      <c r="AF217"/>
      <c r="AG217"/>
      <c r="AH217"/>
      <c r="AI217"/>
    </row>
    <row r="218" spans="2:35" ht="13.8" x14ac:dyDescent="0.3">
      <c r="C218" s="226"/>
      <c r="D218" s="226"/>
      <c r="G218" s="129"/>
      <c r="H218" s="129"/>
      <c r="I218" s="129"/>
      <c r="AA218"/>
      <c r="AB218"/>
      <c r="AC218"/>
      <c r="AD218"/>
      <c r="AE218"/>
      <c r="AF218"/>
      <c r="AG218"/>
      <c r="AH218"/>
      <c r="AI218"/>
    </row>
    <row r="219" spans="2:35" ht="13.8" x14ac:dyDescent="0.3">
      <c r="C219" s="226"/>
      <c r="D219" s="226"/>
      <c r="G219" s="129"/>
      <c r="H219" s="129"/>
      <c r="I219" s="129"/>
      <c r="AA219"/>
      <c r="AB219"/>
      <c r="AC219"/>
      <c r="AD219"/>
      <c r="AE219"/>
      <c r="AF219"/>
      <c r="AG219"/>
      <c r="AH219"/>
      <c r="AI219"/>
    </row>
    <row r="220" spans="2:35" ht="13.8" x14ac:dyDescent="0.3">
      <c r="C220" s="226"/>
      <c r="D220" s="226"/>
      <c r="G220" s="129"/>
      <c r="H220" s="129"/>
      <c r="I220" s="129"/>
      <c r="AA220"/>
      <c r="AB220"/>
      <c r="AC220"/>
      <c r="AD220"/>
      <c r="AE220"/>
      <c r="AF220"/>
      <c r="AG220"/>
      <c r="AH220"/>
      <c r="AI220"/>
    </row>
    <row r="221" spans="2:35" ht="13.8" x14ac:dyDescent="0.3">
      <c r="C221" s="226"/>
      <c r="D221" s="226"/>
      <c r="G221" s="129"/>
      <c r="H221" s="129"/>
      <c r="I221" s="129"/>
      <c r="AA221"/>
      <c r="AB221"/>
      <c r="AC221"/>
      <c r="AD221"/>
      <c r="AE221"/>
      <c r="AF221"/>
      <c r="AG221"/>
      <c r="AH221"/>
      <c r="AI221"/>
    </row>
    <row r="222" spans="2:35" ht="13.8" x14ac:dyDescent="0.3">
      <c r="C222" s="226"/>
      <c r="D222" s="226"/>
      <c r="G222" s="129"/>
      <c r="H222" s="129"/>
      <c r="I222" s="129"/>
      <c r="AA222"/>
      <c r="AB222"/>
      <c r="AC222"/>
      <c r="AD222"/>
      <c r="AE222"/>
      <c r="AF222"/>
      <c r="AG222"/>
      <c r="AH222"/>
      <c r="AI222"/>
    </row>
    <row r="223" spans="2:35" ht="13.8" x14ac:dyDescent="0.3">
      <c r="C223" s="226"/>
      <c r="D223" s="226"/>
      <c r="G223" s="129"/>
      <c r="H223" s="129"/>
      <c r="I223" s="129"/>
      <c r="AA223"/>
      <c r="AB223"/>
      <c r="AC223"/>
      <c r="AD223"/>
      <c r="AE223"/>
      <c r="AF223"/>
      <c r="AG223"/>
      <c r="AH223"/>
      <c r="AI223"/>
    </row>
    <row r="224" spans="2:35" ht="13.8" x14ac:dyDescent="0.3">
      <c r="C224" s="226"/>
      <c r="D224" s="226"/>
      <c r="G224" s="129"/>
      <c r="H224" s="129"/>
      <c r="I224" s="129"/>
      <c r="AA224"/>
      <c r="AB224"/>
      <c r="AC224"/>
      <c r="AD224"/>
      <c r="AE224"/>
      <c r="AF224"/>
      <c r="AG224"/>
      <c r="AH224"/>
      <c r="AI224"/>
    </row>
    <row r="225" spans="3:35" ht="13.8" x14ac:dyDescent="0.3">
      <c r="C225" s="226"/>
      <c r="D225" s="226"/>
      <c r="G225" s="129"/>
      <c r="H225" s="129"/>
      <c r="I225" s="129"/>
      <c r="AA225"/>
      <c r="AB225"/>
      <c r="AC225"/>
      <c r="AD225"/>
      <c r="AE225"/>
      <c r="AF225"/>
      <c r="AG225"/>
      <c r="AH225"/>
      <c r="AI225"/>
    </row>
    <row r="226" spans="3:35" ht="13.8" x14ac:dyDescent="0.3">
      <c r="C226" s="226"/>
      <c r="D226" s="226"/>
      <c r="G226" s="129"/>
      <c r="H226" s="129"/>
      <c r="I226" s="129"/>
      <c r="AA226"/>
      <c r="AB226"/>
      <c r="AC226"/>
      <c r="AD226"/>
      <c r="AE226"/>
      <c r="AF226"/>
      <c r="AG226"/>
      <c r="AH226"/>
      <c r="AI226"/>
    </row>
    <row r="227" spans="3:35" ht="13.8" x14ac:dyDescent="0.3">
      <c r="C227" s="226"/>
      <c r="D227" s="226"/>
      <c r="G227" s="129"/>
      <c r="H227" s="129"/>
      <c r="I227" s="129"/>
      <c r="AA227"/>
      <c r="AB227"/>
      <c r="AC227"/>
      <c r="AD227"/>
      <c r="AE227"/>
      <c r="AF227"/>
      <c r="AG227"/>
      <c r="AH227"/>
      <c r="AI227"/>
    </row>
    <row r="228" spans="3:35" ht="13.8" x14ac:dyDescent="0.3">
      <c r="C228" s="226"/>
      <c r="D228" s="226"/>
      <c r="G228" s="129"/>
      <c r="H228" s="129"/>
      <c r="I228" s="129"/>
      <c r="AA228"/>
      <c r="AB228"/>
      <c r="AC228"/>
      <c r="AD228"/>
      <c r="AE228"/>
      <c r="AF228"/>
      <c r="AG228"/>
      <c r="AH228"/>
      <c r="AI228"/>
    </row>
    <row r="229" spans="3:35" ht="13.8" x14ac:dyDescent="0.3">
      <c r="C229" s="226"/>
      <c r="D229" s="226"/>
      <c r="G229" s="129"/>
      <c r="H229" s="129"/>
      <c r="I229" s="129"/>
      <c r="AA229"/>
      <c r="AB229"/>
      <c r="AC229"/>
      <c r="AD229"/>
      <c r="AE229"/>
      <c r="AF229"/>
      <c r="AG229"/>
      <c r="AH229"/>
      <c r="AI229"/>
    </row>
    <row r="230" spans="3:35" ht="13.8" x14ac:dyDescent="0.3">
      <c r="C230" s="226"/>
      <c r="D230" s="226"/>
      <c r="G230" s="129"/>
      <c r="H230" s="129"/>
      <c r="I230" s="129"/>
      <c r="AA230"/>
      <c r="AB230"/>
      <c r="AC230"/>
      <c r="AD230"/>
      <c r="AE230"/>
      <c r="AF230"/>
      <c r="AG230"/>
      <c r="AH230"/>
      <c r="AI230"/>
    </row>
    <row r="231" spans="3:35" ht="13.8" x14ac:dyDescent="0.3">
      <c r="C231" s="226"/>
      <c r="D231" s="226"/>
      <c r="G231" s="129"/>
      <c r="H231" s="129"/>
      <c r="I231" s="129"/>
      <c r="AA231"/>
      <c r="AB231"/>
      <c r="AC231"/>
      <c r="AD231"/>
      <c r="AE231"/>
      <c r="AF231"/>
      <c r="AG231"/>
      <c r="AH231"/>
      <c r="AI231"/>
    </row>
    <row r="232" spans="3:35" ht="13.8" x14ac:dyDescent="0.3">
      <c r="C232" s="226"/>
      <c r="D232" s="226"/>
      <c r="G232" s="129"/>
      <c r="H232" s="129"/>
      <c r="I232" s="129"/>
      <c r="AA232"/>
      <c r="AB232"/>
      <c r="AC232"/>
      <c r="AD232"/>
      <c r="AE232"/>
      <c r="AF232"/>
      <c r="AG232"/>
      <c r="AH232"/>
      <c r="AI232"/>
    </row>
    <row r="233" spans="3:35" ht="13.8" x14ac:dyDescent="0.3">
      <c r="C233" s="226"/>
      <c r="D233" s="226"/>
      <c r="G233" s="129"/>
      <c r="H233" s="129"/>
      <c r="I233" s="129"/>
      <c r="AA233"/>
      <c r="AB233"/>
      <c r="AC233"/>
      <c r="AD233"/>
      <c r="AE233"/>
      <c r="AF233"/>
      <c r="AG233"/>
      <c r="AH233"/>
      <c r="AI233"/>
    </row>
    <row r="234" spans="3:35" ht="13.8" x14ac:dyDescent="0.3">
      <c r="C234" s="226"/>
      <c r="D234" s="226"/>
      <c r="G234" s="129"/>
      <c r="H234" s="129"/>
      <c r="I234" s="129"/>
      <c r="AA234"/>
      <c r="AB234"/>
      <c r="AC234"/>
      <c r="AD234"/>
      <c r="AE234"/>
      <c r="AF234"/>
      <c r="AG234"/>
      <c r="AH234"/>
      <c r="AI234"/>
    </row>
    <row r="235" spans="3:35" ht="13.8" x14ac:dyDescent="0.3">
      <c r="C235" s="226"/>
      <c r="D235" s="226"/>
      <c r="G235" s="129"/>
      <c r="H235" s="129"/>
      <c r="I235" s="129"/>
      <c r="AA235"/>
      <c r="AB235"/>
      <c r="AC235"/>
      <c r="AD235"/>
      <c r="AE235"/>
      <c r="AF235"/>
      <c r="AG235"/>
      <c r="AH235"/>
      <c r="AI235"/>
    </row>
    <row r="236" spans="3:35" ht="13.8" x14ac:dyDescent="0.3">
      <c r="C236" s="226"/>
      <c r="D236" s="226"/>
      <c r="G236" s="129"/>
      <c r="H236" s="129"/>
      <c r="I236" s="129"/>
      <c r="AA236"/>
      <c r="AB236"/>
      <c r="AC236"/>
      <c r="AD236"/>
      <c r="AE236"/>
      <c r="AF236"/>
      <c r="AG236"/>
      <c r="AH236"/>
      <c r="AI236"/>
    </row>
    <row r="237" spans="3:35" ht="13.8" x14ac:dyDescent="0.3">
      <c r="C237" s="226"/>
      <c r="D237" s="226"/>
      <c r="G237" s="129"/>
      <c r="H237" s="129"/>
      <c r="I237" s="129"/>
      <c r="AA237"/>
      <c r="AB237"/>
      <c r="AC237"/>
      <c r="AD237"/>
      <c r="AE237"/>
      <c r="AF237"/>
      <c r="AG237"/>
      <c r="AH237"/>
      <c r="AI237"/>
    </row>
    <row r="238" spans="3:35" ht="13.8" x14ac:dyDescent="0.3">
      <c r="C238" s="226"/>
      <c r="D238" s="226"/>
      <c r="G238" s="129"/>
      <c r="H238" s="129"/>
      <c r="I238" s="129"/>
      <c r="AA238"/>
      <c r="AB238"/>
      <c r="AC238"/>
      <c r="AD238"/>
      <c r="AE238"/>
      <c r="AF238"/>
      <c r="AG238"/>
      <c r="AH238"/>
      <c r="AI238"/>
    </row>
    <row r="239" spans="3:35" ht="13.8" x14ac:dyDescent="0.3">
      <c r="C239" s="226"/>
      <c r="D239" s="226"/>
      <c r="G239" s="129"/>
      <c r="H239" s="129"/>
      <c r="I239" s="129"/>
      <c r="AA239"/>
      <c r="AB239"/>
      <c r="AC239"/>
      <c r="AD239"/>
      <c r="AE239"/>
      <c r="AF239"/>
      <c r="AG239"/>
      <c r="AH239"/>
      <c r="AI239"/>
    </row>
    <row r="240" spans="3:35" ht="13.8" x14ac:dyDescent="0.3">
      <c r="C240" s="226"/>
      <c r="D240" s="226"/>
      <c r="G240" s="129"/>
      <c r="H240" s="129"/>
      <c r="I240" s="129"/>
      <c r="AA240"/>
      <c r="AB240"/>
      <c r="AC240"/>
      <c r="AD240"/>
      <c r="AE240"/>
      <c r="AF240"/>
      <c r="AG240"/>
      <c r="AH240"/>
      <c r="AI240"/>
    </row>
    <row r="241" spans="1:39" ht="13.8" x14ac:dyDescent="0.3">
      <c r="C241" s="226"/>
      <c r="D241" s="226"/>
      <c r="G241" s="129"/>
      <c r="H241" s="129"/>
      <c r="I241" s="129"/>
      <c r="AA241"/>
      <c r="AB241"/>
      <c r="AC241"/>
      <c r="AD241"/>
      <c r="AE241"/>
      <c r="AF241"/>
      <c r="AG241"/>
      <c r="AH241"/>
      <c r="AI241"/>
    </row>
    <row r="242" spans="1:39" ht="13.8" x14ac:dyDescent="0.3">
      <c r="C242" s="226"/>
      <c r="D242" s="226"/>
      <c r="G242" s="129"/>
      <c r="H242" s="129"/>
      <c r="I242" s="129"/>
      <c r="AA242"/>
      <c r="AB242"/>
      <c r="AC242"/>
      <c r="AD242"/>
      <c r="AE242"/>
      <c r="AF242"/>
      <c r="AG242"/>
      <c r="AH242"/>
      <c r="AI242"/>
    </row>
    <row r="243" spans="1:39" ht="13.8" x14ac:dyDescent="0.3">
      <c r="C243" s="226"/>
      <c r="D243" s="226"/>
      <c r="G243" s="129"/>
      <c r="H243" s="129"/>
      <c r="I243" s="129"/>
      <c r="AA243"/>
      <c r="AB243"/>
      <c r="AC243"/>
      <c r="AD243"/>
      <c r="AE243"/>
      <c r="AF243"/>
      <c r="AG243"/>
      <c r="AH243"/>
      <c r="AI243"/>
    </row>
    <row r="244" spans="1:39" ht="13.8" x14ac:dyDescent="0.3">
      <c r="C244" s="226"/>
      <c r="D244" s="226"/>
      <c r="G244" s="129"/>
      <c r="H244" s="129"/>
      <c r="I244" s="129"/>
      <c r="AA244"/>
      <c r="AB244"/>
      <c r="AC244"/>
      <c r="AD244"/>
      <c r="AE244"/>
      <c r="AF244"/>
      <c r="AG244"/>
      <c r="AH244"/>
      <c r="AI244"/>
    </row>
    <row r="245" spans="1:39" ht="13.8" x14ac:dyDescent="0.3">
      <c r="C245" s="226"/>
      <c r="D245" s="226"/>
      <c r="G245" s="129"/>
      <c r="H245" s="129"/>
      <c r="I245" s="129"/>
      <c r="AA245"/>
      <c r="AB245"/>
      <c r="AC245"/>
      <c r="AD245"/>
      <c r="AE245"/>
      <c r="AF245"/>
      <c r="AG245"/>
      <c r="AH245"/>
      <c r="AI245"/>
    </row>
    <row r="246" spans="1:39" ht="13.8" x14ac:dyDescent="0.3">
      <c r="C246" s="226"/>
      <c r="D246" s="226"/>
      <c r="G246" s="129"/>
      <c r="H246" s="129"/>
      <c r="I246" s="129"/>
      <c r="AA246"/>
      <c r="AB246"/>
      <c r="AC246"/>
      <c r="AD246"/>
      <c r="AE246"/>
      <c r="AF246"/>
      <c r="AG246"/>
      <c r="AH246"/>
      <c r="AI246"/>
    </row>
    <row r="247" spans="1:39" ht="13.8" x14ac:dyDescent="0.3">
      <c r="C247" s="226"/>
      <c r="D247" s="226"/>
      <c r="G247" s="129"/>
      <c r="H247" s="129"/>
      <c r="I247" s="129"/>
      <c r="AA247"/>
      <c r="AB247"/>
      <c r="AC247"/>
      <c r="AD247"/>
      <c r="AE247"/>
      <c r="AF247"/>
      <c r="AG247"/>
      <c r="AH247"/>
      <c r="AI247"/>
    </row>
    <row r="248" spans="1:39" x14ac:dyDescent="0.25">
      <c r="C248" s="226"/>
      <c r="D248" s="226"/>
      <c r="AA248"/>
      <c r="AB248"/>
      <c r="AC248"/>
      <c r="AD248"/>
      <c r="AE248"/>
      <c r="AF248"/>
      <c r="AG248"/>
      <c r="AH248"/>
      <c r="AI248"/>
    </row>
    <row r="249" spans="1:39" x14ac:dyDescent="0.25">
      <c r="C249" s="226"/>
      <c r="D249" s="226"/>
      <c r="AA249"/>
      <c r="AB249"/>
      <c r="AC249"/>
      <c r="AD249"/>
      <c r="AE249"/>
      <c r="AF249"/>
      <c r="AG249"/>
      <c r="AH249"/>
      <c r="AI249"/>
    </row>
    <row r="250" spans="1:39" x14ac:dyDescent="0.25">
      <c r="C250" s="226"/>
      <c r="D250" s="226"/>
      <c r="AA250"/>
      <c r="AB250"/>
      <c r="AC250"/>
      <c r="AD250"/>
      <c r="AE250"/>
      <c r="AF250"/>
      <c r="AG250"/>
      <c r="AH250"/>
      <c r="AI250"/>
    </row>
    <row r="251" spans="1:39" x14ac:dyDescent="0.25">
      <c r="C251" s="226"/>
      <c r="D251" s="226"/>
      <c r="AA251"/>
      <c r="AB251"/>
      <c r="AC251"/>
      <c r="AD251"/>
      <c r="AE251"/>
      <c r="AF251"/>
      <c r="AG251"/>
      <c r="AH251"/>
      <c r="AI251"/>
    </row>
    <row r="252" spans="1:39" x14ac:dyDescent="0.25">
      <c r="C252" s="226"/>
      <c r="D252" s="226"/>
      <c r="AA252"/>
      <c r="AB252"/>
      <c r="AC252"/>
      <c r="AD252"/>
      <c r="AE252"/>
      <c r="AF252"/>
      <c r="AG252"/>
      <c r="AH252"/>
      <c r="AI252"/>
    </row>
    <row r="253" spans="1:39" x14ac:dyDescent="0.25">
      <c r="C253" s="226"/>
      <c r="D253" s="226"/>
      <c r="AA253"/>
      <c r="AB253"/>
      <c r="AC253"/>
      <c r="AD253"/>
      <c r="AE253"/>
      <c r="AF253"/>
      <c r="AG253"/>
      <c r="AH253"/>
      <c r="AI253"/>
    </row>
    <row r="254" spans="1:39" x14ac:dyDescent="0.25">
      <c r="C254" s="226"/>
      <c r="D254" s="226"/>
      <c r="AA254"/>
      <c r="AB254"/>
      <c r="AC254"/>
      <c r="AD254"/>
      <c r="AE254"/>
      <c r="AF254"/>
      <c r="AG254"/>
      <c r="AH254"/>
      <c r="AI254"/>
    </row>
    <row r="255" spans="1:39" x14ac:dyDescent="0.25">
      <c r="C255" s="226"/>
      <c r="D255" s="226"/>
      <c r="AA255"/>
      <c r="AB255"/>
      <c r="AC255"/>
      <c r="AD255"/>
      <c r="AE255"/>
      <c r="AF255"/>
      <c r="AG255"/>
      <c r="AH255"/>
      <c r="AI255"/>
    </row>
    <row r="256" spans="1:39" s="244" customFormat="1" x14ac:dyDescent="0.25">
      <c r="A256" s="516"/>
      <c r="B256" s="134"/>
      <c r="C256" s="226"/>
      <c r="D256" s="226"/>
      <c r="G256" s="134"/>
      <c r="H256" s="134"/>
      <c r="I256" s="134"/>
      <c r="J256" s="227"/>
      <c r="K256" s="227"/>
      <c r="L256" s="227"/>
      <c r="M256" s="227"/>
      <c r="N256" s="227"/>
      <c r="O256" s="227"/>
      <c r="P256" s="227"/>
      <c r="Q256" s="227"/>
      <c r="R256" s="227"/>
      <c r="S256" s="227"/>
      <c r="T256" s="227"/>
      <c r="U256" s="227"/>
      <c r="V256" s="227"/>
      <c r="W256" s="227"/>
      <c r="X256" s="227"/>
      <c r="Y256" s="227"/>
      <c r="Z256" s="213"/>
      <c r="AA256"/>
      <c r="AB256"/>
      <c r="AC256"/>
      <c r="AD256"/>
      <c r="AE256"/>
      <c r="AF256"/>
      <c r="AG256"/>
      <c r="AH256"/>
      <c r="AI256"/>
      <c r="AJ256" s="213"/>
      <c r="AK256" s="213"/>
      <c r="AL256" s="213"/>
      <c r="AM256" s="213"/>
    </row>
    <row r="257" spans="1:39" s="244" customFormat="1" x14ac:dyDescent="0.25">
      <c r="A257" s="516"/>
      <c r="B257" s="134"/>
      <c r="C257" s="226"/>
      <c r="D257" s="226"/>
      <c r="G257" s="134"/>
      <c r="H257" s="134"/>
      <c r="I257" s="134"/>
      <c r="J257" s="227"/>
      <c r="K257" s="227"/>
      <c r="L257" s="227"/>
      <c r="M257" s="227"/>
      <c r="N257" s="227"/>
      <c r="O257" s="227"/>
      <c r="P257" s="227"/>
      <c r="Q257" s="227"/>
      <c r="R257" s="227"/>
      <c r="S257" s="227"/>
      <c r="T257" s="227"/>
      <c r="U257" s="227"/>
      <c r="V257" s="227"/>
      <c r="W257" s="227"/>
      <c r="X257" s="227"/>
      <c r="Y257" s="227"/>
      <c r="Z257" s="213"/>
      <c r="AA257"/>
      <c r="AB257"/>
      <c r="AC257"/>
      <c r="AD257"/>
      <c r="AE257"/>
      <c r="AF257"/>
      <c r="AG257"/>
      <c r="AH257"/>
      <c r="AI257"/>
      <c r="AJ257" s="213"/>
      <c r="AK257" s="213"/>
      <c r="AL257" s="213"/>
      <c r="AM257" s="213"/>
    </row>
    <row r="258" spans="1:39" s="244" customFormat="1" x14ac:dyDescent="0.25">
      <c r="A258" s="516"/>
      <c r="B258" s="134"/>
      <c r="C258" s="226"/>
      <c r="D258" s="226"/>
      <c r="G258" s="134"/>
      <c r="H258" s="134"/>
      <c r="I258" s="134"/>
      <c r="J258" s="227"/>
      <c r="K258" s="227"/>
      <c r="L258" s="227"/>
      <c r="M258" s="227"/>
      <c r="N258" s="227"/>
      <c r="O258" s="227"/>
      <c r="P258" s="227"/>
      <c r="Q258" s="227"/>
      <c r="R258" s="227"/>
      <c r="S258" s="227"/>
      <c r="T258" s="227"/>
      <c r="U258" s="227"/>
      <c r="V258" s="227"/>
      <c r="W258" s="227"/>
      <c r="X258" s="227"/>
      <c r="Y258" s="227"/>
      <c r="Z258" s="213"/>
      <c r="AA258"/>
      <c r="AB258"/>
      <c r="AC258"/>
      <c r="AD258"/>
      <c r="AE258"/>
      <c r="AF258"/>
      <c r="AG258"/>
      <c r="AH258"/>
      <c r="AI258"/>
      <c r="AJ258" s="213"/>
      <c r="AK258" s="213"/>
      <c r="AL258" s="213"/>
      <c r="AM258" s="213"/>
    </row>
    <row r="259" spans="1:39" s="244" customFormat="1" x14ac:dyDescent="0.25">
      <c r="A259" s="516"/>
      <c r="B259" s="134"/>
      <c r="C259" s="226"/>
      <c r="D259" s="226"/>
      <c r="G259" s="134"/>
      <c r="H259" s="134"/>
      <c r="I259" s="134"/>
      <c r="J259" s="227"/>
      <c r="K259" s="227"/>
      <c r="L259" s="227"/>
      <c r="M259" s="227"/>
      <c r="N259" s="227"/>
      <c r="O259" s="227"/>
      <c r="P259" s="227"/>
      <c r="Q259" s="227"/>
      <c r="R259" s="227"/>
      <c r="S259" s="227"/>
      <c r="T259" s="227"/>
      <c r="U259" s="227"/>
      <c r="V259" s="227"/>
      <c r="W259" s="227"/>
      <c r="X259" s="227"/>
      <c r="Y259" s="227"/>
      <c r="Z259" s="213"/>
      <c r="AA259"/>
      <c r="AB259"/>
      <c r="AC259"/>
      <c r="AD259"/>
      <c r="AE259"/>
      <c r="AF259"/>
      <c r="AG259"/>
      <c r="AH259"/>
      <c r="AI259"/>
      <c r="AJ259" s="213"/>
      <c r="AK259" s="213"/>
      <c r="AL259" s="213"/>
      <c r="AM259" s="213"/>
    </row>
    <row r="260" spans="1:39" s="244" customFormat="1" x14ac:dyDescent="0.25">
      <c r="A260" s="516"/>
      <c r="B260" s="134"/>
      <c r="C260" s="226"/>
      <c r="D260" s="226"/>
      <c r="G260" s="134"/>
      <c r="H260" s="134"/>
      <c r="I260" s="134"/>
      <c r="J260" s="227"/>
      <c r="K260" s="227"/>
      <c r="L260" s="227"/>
      <c r="M260" s="227"/>
      <c r="N260" s="227"/>
      <c r="O260" s="227"/>
      <c r="P260" s="227"/>
      <c r="Q260" s="227"/>
      <c r="R260" s="227"/>
      <c r="S260" s="227"/>
      <c r="T260" s="227"/>
      <c r="U260" s="227"/>
      <c r="V260" s="227"/>
      <c r="W260" s="227"/>
      <c r="X260" s="227"/>
      <c r="Y260" s="227"/>
      <c r="Z260" s="213"/>
      <c r="AA260"/>
      <c r="AB260"/>
      <c r="AC260"/>
      <c r="AD260"/>
      <c r="AE260"/>
      <c r="AF260"/>
      <c r="AG260"/>
      <c r="AH260"/>
      <c r="AI260"/>
      <c r="AJ260" s="213"/>
      <c r="AK260" s="213"/>
      <c r="AL260" s="213"/>
      <c r="AM260" s="213"/>
    </row>
    <row r="261" spans="1:39" s="244" customFormat="1" x14ac:dyDescent="0.25">
      <c r="A261" s="516"/>
      <c r="B261" s="134"/>
      <c r="C261" s="226"/>
      <c r="D261" s="226"/>
      <c r="G261" s="134"/>
      <c r="H261" s="134"/>
      <c r="I261" s="134"/>
      <c r="J261" s="227"/>
      <c r="K261" s="227"/>
      <c r="L261" s="227"/>
      <c r="M261" s="227"/>
      <c r="N261" s="227"/>
      <c r="O261" s="227"/>
      <c r="P261" s="227"/>
      <c r="Q261" s="227"/>
      <c r="R261" s="227"/>
      <c r="S261" s="227"/>
      <c r="T261" s="227"/>
      <c r="U261" s="227"/>
      <c r="V261" s="227"/>
      <c r="W261" s="227"/>
      <c r="X261" s="227"/>
      <c r="Y261" s="227"/>
      <c r="Z261" s="213"/>
      <c r="AA261"/>
      <c r="AB261"/>
      <c r="AC261"/>
      <c r="AD261"/>
      <c r="AE261"/>
      <c r="AF261"/>
      <c r="AG261"/>
      <c r="AH261"/>
      <c r="AI261"/>
      <c r="AJ261" s="213"/>
      <c r="AK261" s="213"/>
      <c r="AL261" s="213"/>
      <c r="AM261" s="213"/>
    </row>
    <row r="262" spans="1:39" s="244" customFormat="1" x14ac:dyDescent="0.25">
      <c r="A262" s="516"/>
      <c r="B262" s="134"/>
      <c r="C262" s="226"/>
      <c r="D262" s="226"/>
      <c r="G262" s="134"/>
      <c r="H262" s="134"/>
      <c r="I262" s="134"/>
      <c r="J262" s="227"/>
      <c r="K262" s="227"/>
      <c r="L262" s="227"/>
      <c r="M262" s="227"/>
      <c r="N262" s="227"/>
      <c r="O262" s="227"/>
      <c r="P262" s="227"/>
      <c r="Q262" s="227"/>
      <c r="R262" s="227"/>
      <c r="S262" s="227"/>
      <c r="T262" s="227"/>
      <c r="U262" s="227"/>
      <c r="V262" s="227"/>
      <c r="W262" s="227"/>
      <c r="X262" s="227"/>
      <c r="Y262" s="227"/>
      <c r="Z262" s="213"/>
      <c r="AA262"/>
      <c r="AB262"/>
      <c r="AC262"/>
      <c r="AD262"/>
      <c r="AE262"/>
      <c r="AF262"/>
      <c r="AG262"/>
      <c r="AH262"/>
      <c r="AI262"/>
      <c r="AJ262" s="213"/>
      <c r="AK262" s="213"/>
      <c r="AL262" s="213"/>
      <c r="AM262" s="213"/>
    </row>
    <row r="263" spans="1:39" s="244" customFormat="1" x14ac:dyDescent="0.25">
      <c r="A263" s="516"/>
      <c r="B263" s="134"/>
      <c r="C263" s="226"/>
      <c r="D263" s="226"/>
      <c r="G263" s="134"/>
      <c r="H263" s="134"/>
      <c r="I263" s="134"/>
      <c r="J263" s="227"/>
      <c r="K263" s="227"/>
      <c r="L263" s="227"/>
      <c r="M263" s="227"/>
      <c r="N263" s="227"/>
      <c r="O263" s="227"/>
      <c r="P263" s="227"/>
      <c r="Q263" s="227"/>
      <c r="R263" s="227"/>
      <c r="S263" s="227"/>
      <c r="T263" s="227"/>
      <c r="U263" s="227"/>
      <c r="V263" s="227"/>
      <c r="W263" s="227"/>
      <c r="X263" s="227"/>
      <c r="Y263" s="227"/>
      <c r="Z263" s="213"/>
      <c r="AA263"/>
      <c r="AB263"/>
      <c r="AC263"/>
      <c r="AD263"/>
      <c r="AE263"/>
      <c r="AF263"/>
      <c r="AG263"/>
      <c r="AH263"/>
      <c r="AI263"/>
      <c r="AJ263" s="213"/>
      <c r="AK263" s="213"/>
      <c r="AL263" s="213"/>
      <c r="AM263" s="213"/>
    </row>
    <row r="264" spans="1:39" s="244" customFormat="1" x14ac:dyDescent="0.25">
      <c r="A264" s="516"/>
      <c r="B264" s="134"/>
      <c r="C264" s="226"/>
      <c r="D264" s="226"/>
      <c r="G264" s="134"/>
      <c r="H264" s="134"/>
      <c r="I264" s="134"/>
      <c r="J264" s="227"/>
      <c r="K264" s="227"/>
      <c r="L264" s="227"/>
      <c r="M264" s="227"/>
      <c r="N264" s="227"/>
      <c r="O264" s="227"/>
      <c r="P264" s="227"/>
      <c r="Q264" s="227"/>
      <c r="R264" s="227"/>
      <c r="S264" s="227"/>
      <c r="T264" s="227"/>
      <c r="U264" s="227"/>
      <c r="V264" s="227"/>
      <c r="W264" s="227"/>
      <c r="X264" s="227"/>
      <c r="Y264" s="227"/>
      <c r="Z264" s="213"/>
      <c r="AA264"/>
      <c r="AB264"/>
      <c r="AC264"/>
      <c r="AD264"/>
      <c r="AE264"/>
      <c r="AF264"/>
      <c r="AG264"/>
      <c r="AH264"/>
      <c r="AI264"/>
      <c r="AJ264" s="213"/>
      <c r="AK264" s="213"/>
      <c r="AL264" s="213"/>
      <c r="AM264" s="213"/>
    </row>
    <row r="265" spans="1:39" s="244" customFormat="1" x14ac:dyDescent="0.25">
      <c r="A265" s="516"/>
      <c r="B265" s="134"/>
      <c r="C265" s="226"/>
      <c r="D265" s="226"/>
      <c r="G265" s="134"/>
      <c r="H265" s="134"/>
      <c r="I265" s="134"/>
      <c r="J265" s="227"/>
      <c r="K265" s="227"/>
      <c r="L265" s="227"/>
      <c r="M265" s="227"/>
      <c r="N265" s="227"/>
      <c r="O265" s="227"/>
      <c r="P265" s="227"/>
      <c r="Q265" s="227"/>
      <c r="R265" s="227"/>
      <c r="S265" s="227"/>
      <c r="T265" s="227"/>
      <c r="U265" s="227"/>
      <c r="V265" s="227"/>
      <c r="W265" s="227"/>
      <c r="X265" s="227"/>
      <c r="Y265" s="227"/>
      <c r="Z265" s="213"/>
      <c r="AA265"/>
      <c r="AB265"/>
      <c r="AC265"/>
      <c r="AD265"/>
      <c r="AE265"/>
      <c r="AF265"/>
      <c r="AG265"/>
      <c r="AH265"/>
      <c r="AI265"/>
      <c r="AJ265" s="213"/>
      <c r="AK265" s="213"/>
      <c r="AL265" s="213"/>
      <c r="AM265" s="213"/>
    </row>
    <row r="266" spans="1:39" x14ac:dyDescent="0.25">
      <c r="AA266"/>
      <c r="AB266"/>
      <c r="AC266"/>
      <c r="AD266"/>
      <c r="AE266"/>
      <c r="AF266"/>
      <c r="AG266"/>
      <c r="AH266"/>
      <c r="AI266"/>
    </row>
    <row r="267" spans="1:39" x14ac:dyDescent="0.25">
      <c r="AA267"/>
      <c r="AB267"/>
      <c r="AC267"/>
      <c r="AD267"/>
      <c r="AE267"/>
      <c r="AF267"/>
      <c r="AG267"/>
      <c r="AH267"/>
      <c r="AI267"/>
    </row>
    <row r="268" spans="1:39" x14ac:dyDescent="0.25">
      <c r="AA268"/>
      <c r="AB268"/>
      <c r="AC268"/>
      <c r="AD268"/>
      <c r="AE268"/>
      <c r="AF268"/>
      <c r="AG268"/>
      <c r="AH268"/>
      <c r="AI268"/>
    </row>
    <row r="269" spans="1:39" x14ac:dyDescent="0.25">
      <c r="AA269"/>
      <c r="AB269"/>
      <c r="AC269"/>
      <c r="AD269"/>
      <c r="AE269"/>
      <c r="AF269"/>
      <c r="AG269"/>
      <c r="AH269"/>
      <c r="AI269"/>
    </row>
    <row r="270" spans="1:39" x14ac:dyDescent="0.25">
      <c r="AA270"/>
      <c r="AB270"/>
      <c r="AC270"/>
      <c r="AD270"/>
      <c r="AE270"/>
      <c r="AF270"/>
      <c r="AG270"/>
      <c r="AH270"/>
      <c r="AI270"/>
    </row>
    <row r="271" spans="1:39" x14ac:dyDescent="0.25">
      <c r="AA271"/>
      <c r="AB271"/>
      <c r="AC271"/>
      <c r="AD271"/>
      <c r="AE271"/>
      <c r="AF271"/>
      <c r="AG271"/>
      <c r="AH271"/>
      <c r="AI271"/>
    </row>
    <row r="272" spans="1:39"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row r="426" spans="27:35" x14ac:dyDescent="0.25">
      <c r="AA426"/>
      <c r="AB426"/>
      <c r="AC426"/>
      <c r="AD426"/>
      <c r="AE426"/>
      <c r="AF426"/>
      <c r="AG426"/>
      <c r="AH426"/>
      <c r="AI426"/>
    </row>
    <row r="427" spans="27:35" x14ac:dyDescent="0.25">
      <c r="AA427"/>
      <c r="AB427"/>
      <c r="AC427"/>
      <c r="AD427"/>
      <c r="AE427"/>
      <c r="AF427"/>
      <c r="AG427"/>
      <c r="AH427"/>
      <c r="AI427"/>
    </row>
    <row r="428" spans="27:35" x14ac:dyDescent="0.25">
      <c r="AA428"/>
      <c r="AB428"/>
      <c r="AC428"/>
      <c r="AD428"/>
      <c r="AE428"/>
      <c r="AF428"/>
      <c r="AG428"/>
      <c r="AH428"/>
      <c r="AI428"/>
    </row>
    <row r="429" spans="27:35" x14ac:dyDescent="0.25">
      <c r="AA429"/>
      <c r="AB429"/>
      <c r="AC429"/>
      <c r="AD429"/>
      <c r="AE429"/>
      <c r="AF429"/>
      <c r="AG429"/>
      <c r="AH429"/>
      <c r="AI429"/>
    </row>
    <row r="430" spans="27:35" x14ac:dyDescent="0.25">
      <c r="AA430"/>
      <c r="AB430"/>
      <c r="AC430"/>
      <c r="AD430"/>
      <c r="AE430"/>
      <c r="AF430"/>
      <c r="AG430"/>
      <c r="AH430"/>
      <c r="AI430"/>
    </row>
    <row r="431" spans="27:35" x14ac:dyDescent="0.25">
      <c r="AA431"/>
      <c r="AB431"/>
      <c r="AC431"/>
      <c r="AD431"/>
      <c r="AE431"/>
      <c r="AF431"/>
      <c r="AG431"/>
      <c r="AH431"/>
      <c r="AI431"/>
    </row>
    <row r="432" spans="27:35" x14ac:dyDescent="0.25">
      <c r="AA432"/>
      <c r="AB432"/>
      <c r="AC432"/>
      <c r="AD432"/>
      <c r="AE432"/>
      <c r="AF432"/>
      <c r="AG432"/>
      <c r="AH432"/>
      <c r="AI432"/>
    </row>
    <row r="433" spans="27:35" x14ac:dyDescent="0.25">
      <c r="AA433"/>
      <c r="AB433"/>
      <c r="AC433"/>
      <c r="AD433"/>
      <c r="AE433"/>
      <c r="AF433"/>
      <c r="AG433"/>
      <c r="AH433"/>
      <c r="AI433"/>
    </row>
    <row r="434" spans="27:35" x14ac:dyDescent="0.25">
      <c r="AA434"/>
      <c r="AB434"/>
      <c r="AC434"/>
      <c r="AD434"/>
      <c r="AE434"/>
      <c r="AF434"/>
      <c r="AG434"/>
      <c r="AH434"/>
      <c r="AI434"/>
    </row>
    <row r="435" spans="27:35" x14ac:dyDescent="0.25">
      <c r="AA435"/>
      <c r="AB435"/>
      <c r="AC435"/>
      <c r="AD435"/>
      <c r="AE435"/>
      <c r="AF435"/>
      <c r="AG435"/>
      <c r="AH435"/>
      <c r="AI435"/>
    </row>
    <row r="436" spans="27:35" x14ac:dyDescent="0.25">
      <c r="AA436"/>
      <c r="AB436"/>
      <c r="AC436"/>
      <c r="AD436"/>
      <c r="AE436"/>
      <c r="AF436"/>
      <c r="AG436"/>
      <c r="AH436"/>
      <c r="AI436"/>
    </row>
    <row r="437" spans="27:35" x14ac:dyDescent="0.25">
      <c r="AA437"/>
      <c r="AB437"/>
      <c r="AC437"/>
      <c r="AD437"/>
      <c r="AE437"/>
      <c r="AF437"/>
      <c r="AG437"/>
      <c r="AH437"/>
      <c r="AI437"/>
    </row>
    <row r="438" spans="27:35" x14ac:dyDescent="0.25">
      <c r="AA438"/>
      <c r="AB438"/>
      <c r="AC438"/>
      <c r="AD438"/>
      <c r="AE438"/>
      <c r="AF438"/>
      <c r="AG438"/>
      <c r="AH438"/>
      <c r="AI438"/>
    </row>
    <row r="439" spans="27:35" x14ac:dyDescent="0.25">
      <c r="AA439"/>
      <c r="AB439"/>
      <c r="AC439"/>
      <c r="AD439"/>
      <c r="AE439"/>
      <c r="AF439"/>
      <c r="AG439"/>
      <c r="AH439"/>
      <c r="AI439"/>
    </row>
    <row r="440" spans="27:35" x14ac:dyDescent="0.25">
      <c r="AA440"/>
      <c r="AB440"/>
      <c r="AC440"/>
      <c r="AD440"/>
      <c r="AE440"/>
      <c r="AF440"/>
      <c r="AG440"/>
      <c r="AH440"/>
      <c r="AI440"/>
    </row>
    <row r="441" spans="27:35" x14ac:dyDescent="0.25">
      <c r="AA441"/>
      <c r="AB441"/>
      <c r="AC441"/>
      <c r="AD441"/>
      <c r="AE441"/>
      <c r="AF441"/>
      <c r="AG441"/>
      <c r="AH441"/>
      <c r="AI441"/>
    </row>
  </sheetData>
  <sheetProtection sheet="1" objects="1" scenarios="1" formatCells="0" formatColumns="0" formatRows="0"/>
  <mergeCells count="1">
    <mergeCell ref="A1:B1"/>
  </mergeCells>
  <phoneticPr fontId="6" type="noConversion"/>
  <conditionalFormatting sqref="K5 K36:K174">
    <cfRule type="expression" dxfId="165" priority="63">
      <formula>AND(NOT($J5=""),$J$1=1)</formula>
    </cfRule>
    <cfRule type="expression" dxfId="164" priority="65">
      <formula>LEN($A5)=2</formula>
    </cfRule>
  </conditionalFormatting>
  <conditionalFormatting sqref="B5:I5 A157:I162 A64:I68 A136:I141 A72:I76 B70:I71 A69:A71 A36:I49">
    <cfRule type="expression" dxfId="163" priority="17">
      <formula>LEN($A5)=4</formula>
    </cfRule>
  </conditionalFormatting>
  <conditionalFormatting sqref="A6:I25 A51:I62 C50:I50 C63:I63 A85:I103 C84:I84 A114:I127 C113:I113 A143:I156 C142:I142 A164:I174 C163:I163">
    <cfRule type="expression" dxfId="162" priority="16">
      <formula>LEN($A6)=4</formula>
    </cfRule>
  </conditionalFormatting>
  <conditionalFormatting sqref="A107:I107 A106 C106:I106 C110:I112 B108:I109 A108:A112">
    <cfRule type="expression" dxfId="161" priority="15">
      <formula>LEN($A106)=4</formula>
    </cfRule>
  </conditionalFormatting>
  <conditionalFormatting sqref="B106">
    <cfRule type="expression" dxfId="160" priority="14">
      <formula>LEN($A106)=4</formula>
    </cfRule>
  </conditionalFormatting>
  <conditionalFormatting sqref="B110:B112">
    <cfRule type="expression" dxfId="159" priority="13">
      <formula>LEN($A110)=4</formula>
    </cfRule>
  </conditionalFormatting>
  <conditionalFormatting sqref="A128:I130 B132:I135 A132:A133 A135">
    <cfRule type="expression" dxfId="158" priority="12">
      <formula>LEN($A128)=4</formula>
    </cfRule>
  </conditionalFormatting>
  <conditionalFormatting sqref="A131:I131 A134">
    <cfRule type="expression" dxfId="157" priority="11">
      <formula>LEN($A131)=4</formula>
    </cfRule>
  </conditionalFormatting>
  <conditionalFormatting sqref="B69:I69">
    <cfRule type="expression" dxfId="156" priority="10">
      <formula>LEN($A69)=4</formula>
    </cfRule>
  </conditionalFormatting>
  <conditionalFormatting sqref="A77:I78 B81:I83 B79:I79 A79:A83">
    <cfRule type="expression" dxfId="155" priority="9">
      <formula>LEN($A77)=4</formula>
    </cfRule>
  </conditionalFormatting>
  <conditionalFormatting sqref="B80:I80">
    <cfRule type="expression" dxfId="154" priority="8">
      <formula>LEN($A80)=4</formula>
    </cfRule>
  </conditionalFormatting>
  <conditionalFormatting sqref="A26:I35">
    <cfRule type="expression" dxfId="153" priority="7">
      <formula>LEN($A26)=4</formula>
    </cfRule>
  </conditionalFormatting>
  <conditionalFormatting sqref="B5:J5 C84:J84 A51:J62 C50:J50 C63:J63 A85:J103 A64:J83 A36:J49 C113:J113 A164:J174 C163:J163 A143:J162 C142:J142 A114:J141 A106:J112">
    <cfRule type="expression" dxfId="152" priority="18">
      <formula>AND(NOT(#REF!=""),#REF!=1)</formula>
    </cfRule>
    <cfRule type="expression" dxfId="151" priority="19">
      <formula>LEN($A5)=2</formula>
    </cfRule>
  </conditionalFormatting>
  <conditionalFormatting sqref="A5">
    <cfRule type="expression" dxfId="150" priority="4">
      <formula>AND(NOT($J5=""),$J$1=1)</formula>
    </cfRule>
    <cfRule type="expression" dxfId="149" priority="6">
      <formula>LEN($A5)=2</formula>
    </cfRule>
  </conditionalFormatting>
  <conditionalFormatting sqref="A5">
    <cfRule type="expression" dxfId="148" priority="5">
      <formula>LEN($A5)=4</formula>
    </cfRule>
  </conditionalFormatting>
  <conditionalFormatting sqref="A104:J105">
    <cfRule type="expression" dxfId="147" priority="1">
      <formula>AND(NOT($J104=""),$J$1=1)</formula>
    </cfRule>
    <cfRule type="expression" dxfId="146" priority="3">
      <formula>LEN($A104)=2</formula>
    </cfRule>
  </conditionalFormatting>
  <conditionalFormatting sqref="A104:J105">
    <cfRule type="expression" dxfId="145" priority="2">
      <formula>LEN($A104)=4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6">
    <tabColor rgb="FFFF0000"/>
  </sheetPr>
  <dimension ref="A1:AU425"/>
  <sheetViews>
    <sheetView topLeftCell="P44" workbookViewId="0">
      <selection activeCell="K60" sqref="K60"/>
    </sheetView>
  </sheetViews>
  <sheetFormatPr baseColWidth="10" defaultColWidth="11.33203125" defaultRowHeight="13.2" outlineLevelCol="1" x14ac:dyDescent="0.25"/>
  <cols>
    <col min="1" max="1" width="9.88671875" style="517" customWidth="1"/>
    <col min="2" max="2" width="84.5546875" style="255" customWidth="1"/>
    <col min="3" max="6" width="4.33203125" style="244" customWidth="1"/>
    <col min="7" max="7" width="3.6640625" style="256" customWidth="1" outlineLevel="1"/>
    <col min="8" max="8" width="3.5546875" style="257" customWidth="1" outlineLevel="1"/>
    <col min="9" max="9" width="4.33203125" style="219" customWidth="1" outlineLevel="1"/>
    <col min="10" max="10" width="11.88671875" style="219" customWidth="1" outlineLevel="1"/>
    <col min="11" max="11" width="23.33203125" style="251" customWidth="1"/>
    <col min="12" max="12" width="11.33203125" style="227" customWidth="1"/>
    <col min="13" max="25" width="11.33203125" style="227"/>
    <col min="26" max="27" width="13.33203125" style="227" hidden="1" customWidth="1"/>
    <col min="28" max="28" width="13.33203125" style="135" hidden="1" customWidth="1"/>
    <col min="29" max="29" width="13.33203125" style="303" hidden="1" customWidth="1"/>
    <col min="30" max="35" width="13.33203125" style="213" hidden="1" customWidth="1"/>
    <col min="36" max="16384" width="11.33203125" style="213"/>
  </cols>
  <sheetData>
    <row r="1" spans="1:35" s="326" customFormat="1" ht="15.6" x14ac:dyDescent="0.25">
      <c r="A1" s="1278" t="s">
        <v>524</v>
      </c>
      <c r="B1" s="1278"/>
      <c r="C1" s="1098">
        <v>1</v>
      </c>
      <c r="D1" s="1099" t="str">
        <f>"variante"&amp;IF(C1&gt;1,"s","")</f>
        <v>variante</v>
      </c>
      <c r="E1" s="1098"/>
      <c r="F1" s="1098"/>
      <c r="G1" s="1137"/>
      <c r="H1" s="1137"/>
      <c r="I1" s="1138"/>
      <c r="J1" s="1148">
        <f>'Score ISO'!E2</f>
        <v>1</v>
      </c>
      <c r="K1" s="525"/>
      <c r="L1" s="525"/>
      <c r="M1" s="525"/>
      <c r="N1" s="525"/>
      <c r="O1" s="525"/>
      <c r="P1" s="525"/>
      <c r="Q1" s="525"/>
      <c r="R1" s="525"/>
      <c r="S1" s="525"/>
      <c r="T1" s="525"/>
      <c r="U1" s="525"/>
      <c r="V1" s="525"/>
      <c r="W1" s="525"/>
      <c r="X1" s="525"/>
      <c r="Y1" s="525"/>
      <c r="Z1" s="525"/>
      <c r="AA1" s="525"/>
      <c r="AB1" s="525"/>
    </row>
    <row r="2" spans="1:35" s="326" customFormat="1" x14ac:dyDescent="0.25">
      <c r="A2" s="519" t="s">
        <v>523</v>
      </c>
      <c r="B2" s="324" t="s">
        <v>399</v>
      </c>
      <c r="C2" s="1100" t="s">
        <v>400</v>
      </c>
      <c r="D2" s="1100" t="s">
        <v>401</v>
      </c>
      <c r="E2" s="1100" t="s">
        <v>402</v>
      </c>
      <c r="F2" s="1100" t="s">
        <v>403</v>
      </c>
      <c r="G2" s="325" t="s">
        <v>569</v>
      </c>
      <c r="H2" s="325" t="s">
        <v>404</v>
      </c>
      <c r="I2" s="325" t="s">
        <v>479</v>
      </c>
      <c r="J2" s="524" t="s">
        <v>6846</v>
      </c>
      <c r="K2" s="524"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row>
    <row r="3" spans="1:35" x14ac:dyDescent="0.25">
      <c r="A3" s="220" t="s">
        <v>1344</v>
      </c>
      <c r="B3" s="220" t="s">
        <v>50</v>
      </c>
      <c r="C3" s="1143"/>
      <c r="D3" s="227"/>
      <c r="E3" s="227"/>
      <c r="F3" s="227"/>
      <c r="G3" s="335"/>
      <c r="H3" s="335"/>
      <c r="I3" s="252"/>
      <c r="J3" s="251"/>
      <c r="AA3" s="135"/>
      <c r="AB3" s="303"/>
      <c r="AC3" s="213"/>
    </row>
    <row r="4" spans="1:35" x14ac:dyDescent="0.25">
      <c r="A4" s="1144" t="s">
        <v>644</v>
      </c>
      <c r="B4" s="1145" t="s">
        <v>383</v>
      </c>
      <c r="C4" s="253"/>
      <c r="D4" s="227"/>
      <c r="E4" s="227"/>
      <c r="F4" s="227"/>
      <c r="G4" s="1146"/>
      <c r="H4" s="252"/>
      <c r="I4" s="252"/>
      <c r="J4" s="251"/>
      <c r="AA4"/>
      <c r="AB4"/>
      <c r="AC4"/>
      <c r="AD4"/>
      <c r="AE4"/>
      <c r="AF4"/>
      <c r="AG4"/>
      <c r="AH4"/>
      <c r="AI4"/>
    </row>
    <row r="5" spans="1:35" ht="20.399999999999999" x14ac:dyDescent="0.25">
      <c r="A5" s="327" t="s">
        <v>1345</v>
      </c>
      <c r="B5" s="128" t="s">
        <v>388</v>
      </c>
      <c r="C5" s="243"/>
      <c r="E5" s="304"/>
      <c r="F5" s="304"/>
      <c r="G5" s="133">
        <v>4</v>
      </c>
      <c r="H5" s="133"/>
      <c r="I5" s="136"/>
      <c r="J5" s="135"/>
      <c r="K5" s="135"/>
      <c r="AA5">
        <f>IF(AND('6 Mic'!C5&gt;Tmin, NOT('6 Mic'!$I5="")),'6 Mic'!$I5,0)</f>
        <v>0</v>
      </c>
      <c r="AB5">
        <f>IF(AND('6 Mic'!D5&gt;Tmin, NOT('6 Mic'!$I5="")),'6 Mic'!$I5,0)</f>
        <v>0</v>
      </c>
      <c r="AC5">
        <f>IF(AND('6 Mic'!E5&gt;Tmin, NOT('6 Mic'!$I5="")),'6 Mic'!$I5,0)</f>
        <v>0</v>
      </c>
      <c r="AD5">
        <f>IF(AND('6 Mic'!F5&gt;Tmin, NOT('6 Mic'!$I5="")),'6 Mic'!$I5,0)</f>
        <v>0</v>
      </c>
      <c r="AE5">
        <f>IF(AND('6 Mic'!C5&lt;Tmax, NOT('6 Mic'!$H5="")),'6 Mic'!$H5,4)</f>
        <v>4</v>
      </c>
      <c r="AF5">
        <f>IF(AND('6 Mic'!D5&lt;Tmax, NOT('6 Mic'!$H5="")),'6 Mic'!$H5,4)</f>
        <v>4</v>
      </c>
      <c r="AG5">
        <f>IF(AND('6 Mic'!E5&lt;Tmax, NOT('6 Mic'!$H5="")),'6 Mic'!$H5,4)</f>
        <v>4</v>
      </c>
      <c r="AH5">
        <f>IF(AND('6 Mic'!F5&lt;Tmax, NOT('6 Mic'!$H5="")),'6 Mic'!$H5,4)</f>
        <v>4</v>
      </c>
      <c r="AI5"/>
    </row>
    <row r="6" spans="1:35" ht="71.400000000000006" x14ac:dyDescent="0.25">
      <c r="A6" s="327" t="s">
        <v>1346</v>
      </c>
      <c r="B6" s="128" t="s">
        <v>16</v>
      </c>
      <c r="C6" s="243"/>
      <c r="E6" s="304"/>
      <c r="F6" s="304"/>
      <c r="G6" s="133">
        <v>4</v>
      </c>
      <c r="H6" s="133"/>
      <c r="I6" s="136"/>
      <c r="J6" s="135"/>
      <c r="K6" s="135"/>
      <c r="AA6">
        <f>IF(AND('6 Mic'!C6&gt;Tmin, NOT('6 Mic'!$I6="")),'6 Mic'!$I6,0)</f>
        <v>0</v>
      </c>
      <c r="AB6">
        <f>IF(AND('6 Mic'!D6&gt;Tmin, NOT('6 Mic'!$I6="")),'6 Mic'!$I6,0)</f>
        <v>0</v>
      </c>
      <c r="AC6">
        <f>IF(AND('6 Mic'!E6&gt;Tmin, NOT('6 Mic'!$I6="")),'6 Mic'!$I6,0)</f>
        <v>0</v>
      </c>
      <c r="AD6">
        <f>IF(AND('6 Mic'!F6&gt;Tmin, NOT('6 Mic'!$I6="")),'6 Mic'!$I6,0)</f>
        <v>0</v>
      </c>
      <c r="AE6">
        <f>IF(AND('6 Mic'!C6&lt;Tmax, NOT('6 Mic'!$H6="")),'6 Mic'!$H6,4)</f>
        <v>4</v>
      </c>
      <c r="AF6">
        <f>IF(AND('6 Mic'!D6&lt;Tmax, NOT('6 Mic'!$H6="")),'6 Mic'!$H6,4)</f>
        <v>4</v>
      </c>
      <c r="AG6">
        <f>IF(AND('6 Mic'!E6&lt;Tmax, NOT('6 Mic'!$H6="")),'6 Mic'!$H6,4)</f>
        <v>4</v>
      </c>
      <c r="AH6">
        <f>IF(AND('6 Mic'!F6&lt;Tmax, NOT('6 Mic'!$H6="")),'6 Mic'!$H6,4)</f>
        <v>4</v>
      </c>
      <c r="AI6"/>
    </row>
    <row r="7" spans="1:35" ht="30.6" x14ac:dyDescent="0.25">
      <c r="A7" s="327" t="s">
        <v>1347</v>
      </c>
      <c r="B7" s="128" t="s">
        <v>153</v>
      </c>
      <c r="C7" s="243"/>
      <c r="E7" s="304"/>
      <c r="F7" s="304"/>
      <c r="G7" s="133">
        <v>4</v>
      </c>
      <c r="H7" s="133"/>
      <c r="I7" s="136"/>
      <c r="J7" s="135"/>
      <c r="K7" s="135"/>
      <c r="AA7">
        <f>IF(AND('6 Mic'!C7&gt;Tmin, NOT('6 Mic'!$I7="")),'6 Mic'!$I7,0)</f>
        <v>0</v>
      </c>
      <c r="AB7">
        <f>IF(AND('6 Mic'!D7&gt;Tmin, NOT('6 Mic'!$I7="")),'6 Mic'!$I7,0)</f>
        <v>0</v>
      </c>
      <c r="AC7">
        <f>IF(AND('6 Mic'!E7&gt;Tmin, NOT('6 Mic'!$I7="")),'6 Mic'!$I7,0)</f>
        <v>0</v>
      </c>
      <c r="AD7">
        <f>IF(AND('6 Mic'!F7&gt;Tmin, NOT('6 Mic'!$I7="")),'6 Mic'!$I7,0)</f>
        <v>0</v>
      </c>
      <c r="AE7">
        <f>IF(AND('6 Mic'!C7&lt;Tmax, NOT('6 Mic'!$H7="")),'6 Mic'!$H7,4)</f>
        <v>4</v>
      </c>
      <c r="AF7">
        <f>IF(AND('6 Mic'!D7&lt;Tmax, NOT('6 Mic'!$H7="")),'6 Mic'!$H7,4)</f>
        <v>4</v>
      </c>
      <c r="AG7">
        <f>IF(AND('6 Mic'!E7&lt;Tmax, NOT('6 Mic'!$H7="")),'6 Mic'!$H7,4)</f>
        <v>4</v>
      </c>
      <c r="AH7">
        <f>IF(AND('6 Mic'!F7&lt;Tmax, NOT('6 Mic'!$H7="")),'6 Mic'!$H7,4)</f>
        <v>4</v>
      </c>
      <c r="AI7"/>
    </row>
    <row r="8" spans="1:35" x14ac:dyDescent="0.25">
      <c r="A8" s="327" t="s">
        <v>1348</v>
      </c>
      <c r="B8" s="128" t="s">
        <v>302</v>
      </c>
      <c r="C8" s="243"/>
      <c r="E8" s="304"/>
      <c r="F8" s="304"/>
      <c r="G8" s="133">
        <v>2</v>
      </c>
      <c r="H8" s="133"/>
      <c r="I8" s="136"/>
      <c r="J8" s="135"/>
      <c r="K8" s="135"/>
      <c r="AA8">
        <f>IF(AND('6 Mic'!C8&gt;Tmin, NOT('6 Mic'!$I8="")),'6 Mic'!$I8,0)</f>
        <v>0</v>
      </c>
      <c r="AB8">
        <f>IF(AND('6 Mic'!D8&gt;Tmin, NOT('6 Mic'!$I8="")),'6 Mic'!$I8,0)</f>
        <v>0</v>
      </c>
      <c r="AC8">
        <f>IF(AND('6 Mic'!E8&gt;Tmin, NOT('6 Mic'!$I8="")),'6 Mic'!$I8,0)</f>
        <v>0</v>
      </c>
      <c r="AD8">
        <f>IF(AND('6 Mic'!F8&gt;Tmin, NOT('6 Mic'!$I8="")),'6 Mic'!$I8,0)</f>
        <v>0</v>
      </c>
      <c r="AE8">
        <f>IF(AND('6 Mic'!C8&lt;Tmax, NOT('6 Mic'!$H8="")),'6 Mic'!$H8,4)</f>
        <v>4</v>
      </c>
      <c r="AF8">
        <f>IF(AND('6 Mic'!D8&lt;Tmax, NOT('6 Mic'!$H8="")),'6 Mic'!$H8,4)</f>
        <v>4</v>
      </c>
      <c r="AG8">
        <f>IF(AND('6 Mic'!E8&lt;Tmax, NOT('6 Mic'!$H8="")),'6 Mic'!$H8,4)</f>
        <v>4</v>
      </c>
      <c r="AH8">
        <f>IF(AND('6 Mic'!F8&lt;Tmax, NOT('6 Mic'!$H8="")),'6 Mic'!$H8,4)</f>
        <v>4</v>
      </c>
      <c r="AI8"/>
    </row>
    <row r="9" spans="1:35" x14ac:dyDescent="0.25">
      <c r="A9" s="327" t="s">
        <v>1349</v>
      </c>
      <c r="B9" s="128" t="s">
        <v>303</v>
      </c>
      <c r="C9" s="243"/>
      <c r="E9" s="304"/>
      <c r="F9" s="304"/>
      <c r="G9" s="133">
        <v>2</v>
      </c>
      <c r="H9" s="133"/>
      <c r="I9" s="136"/>
      <c r="J9" s="135"/>
      <c r="K9" s="135"/>
      <c r="AA9">
        <f>IF(AND('6 Mic'!C9&gt;Tmin, NOT('6 Mic'!$I9="")),'6 Mic'!$I9,0)</f>
        <v>0</v>
      </c>
      <c r="AB9">
        <f>IF(AND('6 Mic'!D9&gt;Tmin, NOT('6 Mic'!$I9="")),'6 Mic'!$I9,0)</f>
        <v>0</v>
      </c>
      <c r="AC9">
        <f>IF(AND('6 Mic'!E9&gt;Tmin, NOT('6 Mic'!$I9="")),'6 Mic'!$I9,0)</f>
        <v>0</v>
      </c>
      <c r="AD9">
        <f>IF(AND('6 Mic'!F9&gt;Tmin, NOT('6 Mic'!$I9="")),'6 Mic'!$I9,0)</f>
        <v>0</v>
      </c>
      <c r="AE9">
        <f>IF(AND('6 Mic'!C9&lt;Tmax, NOT('6 Mic'!$H9="")),'6 Mic'!$H9,4)</f>
        <v>4</v>
      </c>
      <c r="AF9">
        <f>IF(AND('6 Mic'!D9&lt;Tmax, NOT('6 Mic'!$H9="")),'6 Mic'!$H9,4)</f>
        <v>4</v>
      </c>
      <c r="AG9">
        <f>IF(AND('6 Mic'!E9&lt;Tmax, NOT('6 Mic'!$H9="")),'6 Mic'!$H9,4)</f>
        <v>4</v>
      </c>
      <c r="AH9">
        <f>IF(AND('6 Mic'!F9&lt;Tmax, NOT('6 Mic'!$H9="")),'6 Mic'!$H9,4)</f>
        <v>4</v>
      </c>
      <c r="AI9"/>
    </row>
    <row r="10" spans="1:35" x14ac:dyDescent="0.25">
      <c r="A10" s="327" t="s">
        <v>1350</v>
      </c>
      <c r="B10" s="128" t="s">
        <v>453</v>
      </c>
      <c r="C10" s="243"/>
      <c r="E10" s="304"/>
      <c r="F10" s="304"/>
      <c r="G10" s="133">
        <v>2</v>
      </c>
      <c r="H10" s="133"/>
      <c r="I10" s="136"/>
      <c r="J10" s="135"/>
      <c r="K10" s="135"/>
      <c r="AA10">
        <f>IF(AND('6 Mic'!C10&gt;Tmin, NOT('6 Mic'!$I10="")),'6 Mic'!$I10,0)</f>
        <v>0</v>
      </c>
      <c r="AB10">
        <f>IF(AND('6 Mic'!D10&gt;Tmin, NOT('6 Mic'!$I10="")),'6 Mic'!$I10,0)</f>
        <v>0</v>
      </c>
      <c r="AC10">
        <f>IF(AND('6 Mic'!E10&gt;Tmin, NOT('6 Mic'!$I10="")),'6 Mic'!$I10,0)</f>
        <v>0</v>
      </c>
      <c r="AD10">
        <f>IF(AND('6 Mic'!F10&gt;Tmin, NOT('6 Mic'!$I10="")),'6 Mic'!$I10,0)</f>
        <v>0</v>
      </c>
      <c r="AE10">
        <f>IF(AND('6 Mic'!C10&lt;Tmax, NOT('6 Mic'!$H10="")),'6 Mic'!$H10,4)</f>
        <v>4</v>
      </c>
      <c r="AF10">
        <f>IF(AND('6 Mic'!D10&lt;Tmax, NOT('6 Mic'!$H10="")),'6 Mic'!$H10,4)</f>
        <v>4</v>
      </c>
      <c r="AG10">
        <f>IF(AND('6 Mic'!E10&lt;Tmax, NOT('6 Mic'!$H10="")),'6 Mic'!$H10,4)</f>
        <v>4</v>
      </c>
      <c r="AH10">
        <f>IF(AND('6 Mic'!F10&lt;Tmax, NOT('6 Mic'!$H10="")),'6 Mic'!$H10,4)</f>
        <v>4</v>
      </c>
      <c r="AI10"/>
    </row>
    <row r="11" spans="1:35" ht="20.399999999999999" x14ac:dyDescent="0.25">
      <c r="A11" s="327" t="s">
        <v>1351</v>
      </c>
      <c r="B11" s="128" t="s">
        <v>194</v>
      </c>
      <c r="C11" s="243"/>
      <c r="E11" s="304"/>
      <c r="F11" s="304"/>
      <c r="G11" s="133">
        <v>2</v>
      </c>
      <c r="H11" s="133"/>
      <c r="I11" s="136"/>
      <c r="J11" s="135"/>
      <c r="K11" s="135"/>
      <c r="AA11">
        <f>IF(AND('6 Mic'!C11&gt;Tmin, NOT('6 Mic'!$I11="")),'6 Mic'!$I11,0)</f>
        <v>0</v>
      </c>
      <c r="AB11">
        <f>IF(AND('6 Mic'!D11&gt;Tmin, NOT('6 Mic'!$I11="")),'6 Mic'!$I11,0)</f>
        <v>0</v>
      </c>
      <c r="AC11">
        <f>IF(AND('6 Mic'!E11&gt;Tmin, NOT('6 Mic'!$I11="")),'6 Mic'!$I11,0)</f>
        <v>0</v>
      </c>
      <c r="AD11">
        <f>IF(AND('6 Mic'!F11&gt;Tmin, NOT('6 Mic'!$I11="")),'6 Mic'!$I11,0)</f>
        <v>0</v>
      </c>
      <c r="AE11">
        <f>IF(AND('6 Mic'!C11&lt;Tmax, NOT('6 Mic'!$H11="")),'6 Mic'!$H11,4)</f>
        <v>4</v>
      </c>
      <c r="AF11">
        <f>IF(AND('6 Mic'!D11&lt;Tmax, NOT('6 Mic'!$H11="")),'6 Mic'!$H11,4)</f>
        <v>4</v>
      </c>
      <c r="AG11">
        <f>IF(AND('6 Mic'!E11&lt;Tmax, NOT('6 Mic'!$H11="")),'6 Mic'!$H11,4)</f>
        <v>4</v>
      </c>
      <c r="AH11">
        <f>IF(AND('6 Mic'!F11&lt;Tmax, NOT('6 Mic'!$H11="")),'6 Mic'!$H11,4)</f>
        <v>4</v>
      </c>
      <c r="AI11"/>
    </row>
    <row r="12" spans="1:35" ht="20.399999999999999" x14ac:dyDescent="0.25">
      <c r="A12" s="327" t="s">
        <v>1352</v>
      </c>
      <c r="B12" s="128" t="s">
        <v>115</v>
      </c>
      <c r="C12" s="243"/>
      <c r="E12" s="304"/>
      <c r="F12" s="304"/>
      <c r="G12" s="133">
        <v>3</v>
      </c>
      <c r="H12" s="133"/>
      <c r="I12" s="136"/>
      <c r="J12" s="135"/>
      <c r="K12" s="135"/>
      <c r="AA12">
        <f>IF(AND('6 Mic'!C12&gt;Tmin, NOT('6 Mic'!$I12="")),'6 Mic'!$I12,0)</f>
        <v>0</v>
      </c>
      <c r="AB12">
        <f>IF(AND('6 Mic'!D12&gt;Tmin, NOT('6 Mic'!$I12="")),'6 Mic'!$I12,0)</f>
        <v>0</v>
      </c>
      <c r="AC12">
        <f>IF(AND('6 Mic'!E12&gt;Tmin, NOT('6 Mic'!$I12="")),'6 Mic'!$I12,0)</f>
        <v>0</v>
      </c>
      <c r="AD12">
        <f>IF(AND('6 Mic'!F12&gt;Tmin, NOT('6 Mic'!$I12="")),'6 Mic'!$I12,0)</f>
        <v>0</v>
      </c>
      <c r="AE12">
        <f>IF(AND('6 Mic'!C12&lt;Tmax, NOT('6 Mic'!$H12="")),'6 Mic'!$H12,4)</f>
        <v>4</v>
      </c>
      <c r="AF12">
        <f>IF(AND('6 Mic'!D12&lt;Tmax, NOT('6 Mic'!$H12="")),'6 Mic'!$H12,4)</f>
        <v>4</v>
      </c>
      <c r="AG12">
        <f>IF(AND('6 Mic'!E12&lt;Tmax, NOT('6 Mic'!$H12="")),'6 Mic'!$H12,4)</f>
        <v>4</v>
      </c>
      <c r="AH12">
        <f>IF(AND('6 Mic'!F12&lt;Tmax, NOT('6 Mic'!$H12="")),'6 Mic'!$H12,4)</f>
        <v>4</v>
      </c>
      <c r="AI12"/>
    </row>
    <row r="13" spans="1:35" ht="20.399999999999999" x14ac:dyDescent="0.25">
      <c r="A13" s="327" t="s">
        <v>1353</v>
      </c>
      <c r="B13" s="128" t="s">
        <v>17</v>
      </c>
      <c r="C13" s="243"/>
      <c r="E13" s="304"/>
      <c r="F13" s="304"/>
      <c r="G13" s="133">
        <v>2</v>
      </c>
      <c r="H13" s="133"/>
      <c r="I13" s="136"/>
      <c r="J13" s="135"/>
      <c r="K13" s="135"/>
      <c r="AA13">
        <f>IF(AND('6 Mic'!C13&gt;Tmin, NOT('6 Mic'!$I13="")),'6 Mic'!$I13,0)</f>
        <v>0</v>
      </c>
      <c r="AB13">
        <f>IF(AND('6 Mic'!D13&gt;Tmin, NOT('6 Mic'!$I13="")),'6 Mic'!$I13,0)</f>
        <v>0</v>
      </c>
      <c r="AC13">
        <f>IF(AND('6 Mic'!E13&gt;Tmin, NOT('6 Mic'!$I13="")),'6 Mic'!$I13,0)</f>
        <v>0</v>
      </c>
      <c r="AD13">
        <f>IF(AND('6 Mic'!F13&gt;Tmin, NOT('6 Mic'!$I13="")),'6 Mic'!$I13,0)</f>
        <v>0</v>
      </c>
      <c r="AE13">
        <f>IF(AND('6 Mic'!C13&lt;Tmax, NOT('6 Mic'!$H13="")),'6 Mic'!$H13,4)</f>
        <v>4</v>
      </c>
      <c r="AF13">
        <f>IF(AND('6 Mic'!D13&lt;Tmax, NOT('6 Mic'!$H13="")),'6 Mic'!$H13,4)</f>
        <v>4</v>
      </c>
      <c r="AG13">
        <f>IF(AND('6 Mic'!E13&lt;Tmax, NOT('6 Mic'!$H13="")),'6 Mic'!$H13,4)</f>
        <v>4</v>
      </c>
      <c r="AH13">
        <f>IF(AND('6 Mic'!F13&lt;Tmax, NOT('6 Mic'!$H13="")),'6 Mic'!$H13,4)</f>
        <v>4</v>
      </c>
      <c r="AI13"/>
    </row>
    <row r="14" spans="1:35" x14ac:dyDescent="0.25">
      <c r="A14" s="327" t="s">
        <v>1354</v>
      </c>
      <c r="B14" s="128" t="s">
        <v>195</v>
      </c>
      <c r="C14" s="243"/>
      <c r="E14" s="304"/>
      <c r="F14" s="304"/>
      <c r="G14" s="133">
        <v>3</v>
      </c>
      <c r="H14" s="133"/>
      <c r="I14" s="136"/>
      <c r="J14" s="135"/>
      <c r="K14" s="135"/>
      <c r="AA14">
        <f>IF(AND('6 Mic'!C14&gt;Tmin, NOT('6 Mic'!$I14="")),'6 Mic'!$I14,0)</f>
        <v>0</v>
      </c>
      <c r="AB14">
        <f>IF(AND('6 Mic'!D14&gt;Tmin, NOT('6 Mic'!$I14="")),'6 Mic'!$I14,0)</f>
        <v>0</v>
      </c>
      <c r="AC14">
        <f>IF(AND('6 Mic'!E14&gt;Tmin, NOT('6 Mic'!$I14="")),'6 Mic'!$I14,0)</f>
        <v>0</v>
      </c>
      <c r="AD14">
        <f>IF(AND('6 Mic'!F14&gt;Tmin, NOT('6 Mic'!$I14="")),'6 Mic'!$I14,0)</f>
        <v>0</v>
      </c>
      <c r="AE14">
        <f>IF(AND('6 Mic'!C14&lt;Tmax, NOT('6 Mic'!$H14="")),'6 Mic'!$H14,4)</f>
        <v>4</v>
      </c>
      <c r="AF14">
        <f>IF(AND('6 Mic'!D14&lt;Tmax, NOT('6 Mic'!$H14="")),'6 Mic'!$H14,4)</f>
        <v>4</v>
      </c>
      <c r="AG14">
        <f>IF(AND('6 Mic'!E14&lt;Tmax, NOT('6 Mic'!$H14="")),'6 Mic'!$H14,4)</f>
        <v>4</v>
      </c>
      <c r="AH14">
        <f>IF(AND('6 Mic'!F14&lt;Tmax, NOT('6 Mic'!$H14="")),'6 Mic'!$H14,4)</f>
        <v>4</v>
      </c>
      <c r="AI14"/>
    </row>
    <row r="15" spans="1:35" x14ac:dyDescent="0.25">
      <c r="A15" s="327" t="s">
        <v>645</v>
      </c>
      <c r="B15" s="128" t="s">
        <v>385</v>
      </c>
      <c r="C15" s="243"/>
      <c r="E15" s="304"/>
      <c r="F15" s="304"/>
      <c r="G15" s="133"/>
      <c r="H15" s="133"/>
      <c r="I15" s="136"/>
      <c r="J15" s="135"/>
      <c r="K15" s="135"/>
      <c r="AA15"/>
      <c r="AB15"/>
      <c r="AC15"/>
      <c r="AD15"/>
      <c r="AE15"/>
      <c r="AF15"/>
      <c r="AG15"/>
      <c r="AH15"/>
      <c r="AI15"/>
    </row>
    <row r="16" spans="1:35" ht="63" customHeight="1" x14ac:dyDescent="0.25">
      <c r="A16" s="327" t="s">
        <v>1355</v>
      </c>
      <c r="B16" s="128" t="s">
        <v>6775</v>
      </c>
      <c r="C16" s="243">
        <v>0</v>
      </c>
      <c r="E16" s="304"/>
      <c r="F16" s="304"/>
      <c r="G16" s="133">
        <v>2</v>
      </c>
      <c r="H16" s="133"/>
      <c r="I16" s="136"/>
      <c r="J16" s="135"/>
      <c r="K16" s="135" t="s">
        <v>7520</v>
      </c>
      <c r="AA16">
        <f>IF(AND('6 Mic'!C16&gt;Tmin, NOT('6 Mic'!$I16="")),'6 Mic'!$I16,0)</f>
        <v>0</v>
      </c>
      <c r="AB16">
        <f>IF(AND('6 Mic'!D16&gt;Tmin, NOT('6 Mic'!$I16="")),'6 Mic'!$I16,0)</f>
        <v>0</v>
      </c>
      <c r="AC16">
        <f>IF(AND('6 Mic'!E16&gt;Tmin, NOT('6 Mic'!$I16="")),'6 Mic'!$I16,0)</f>
        <v>0</v>
      </c>
      <c r="AD16">
        <f>IF(AND('6 Mic'!F16&gt;Tmin, NOT('6 Mic'!$I16="")),'6 Mic'!$I16,0)</f>
        <v>0</v>
      </c>
      <c r="AE16">
        <f>IF(AND('6 Mic'!C16&lt;Tmax, NOT('6 Mic'!$H16="")),'6 Mic'!$H16,4)</f>
        <v>4</v>
      </c>
      <c r="AF16">
        <f>IF(AND('6 Mic'!D16&lt;Tmax, NOT('6 Mic'!$H16="")),'6 Mic'!$H16,4)</f>
        <v>4</v>
      </c>
      <c r="AG16">
        <f>IF(AND('6 Mic'!E16&lt;Tmax, NOT('6 Mic'!$H16="")),'6 Mic'!$H16,4)</f>
        <v>4</v>
      </c>
      <c r="AH16">
        <f>IF(AND('6 Mic'!F16&lt;Tmax, NOT('6 Mic'!$H16="")),'6 Mic'!$H16,4)</f>
        <v>4</v>
      </c>
      <c r="AI16"/>
    </row>
    <row r="17" spans="1:35" ht="51" x14ac:dyDescent="0.25">
      <c r="A17" s="327" t="s">
        <v>1356</v>
      </c>
      <c r="B17" s="128" t="s">
        <v>297</v>
      </c>
      <c r="C17" s="243">
        <v>0</v>
      </c>
      <c r="E17" s="304"/>
      <c r="F17" s="304"/>
      <c r="G17" s="133">
        <v>2</v>
      </c>
      <c r="H17" s="133"/>
      <c r="I17" s="136"/>
      <c r="J17" s="135"/>
      <c r="K17" s="135" t="s">
        <v>7521</v>
      </c>
      <c r="AA17">
        <f>IF(AND('6 Mic'!C17&gt;Tmin, NOT('6 Mic'!$I17="")),'6 Mic'!$I17,0)</f>
        <v>0</v>
      </c>
      <c r="AB17">
        <f>IF(AND('6 Mic'!D17&gt;Tmin, NOT('6 Mic'!$I17="")),'6 Mic'!$I17,0)</f>
        <v>0</v>
      </c>
      <c r="AC17">
        <f>IF(AND('6 Mic'!E17&gt;Tmin, NOT('6 Mic'!$I17="")),'6 Mic'!$I17,0)</f>
        <v>0</v>
      </c>
      <c r="AD17">
        <f>IF(AND('6 Mic'!F17&gt;Tmin, NOT('6 Mic'!$I17="")),'6 Mic'!$I17,0)</f>
        <v>0</v>
      </c>
      <c r="AE17">
        <f>IF(AND('6 Mic'!C17&lt;Tmax, NOT('6 Mic'!$H17="")),'6 Mic'!$H17,4)</f>
        <v>4</v>
      </c>
      <c r="AF17">
        <f>IF(AND('6 Mic'!D17&lt;Tmax, NOT('6 Mic'!$H17="")),'6 Mic'!$H17,4)</f>
        <v>4</v>
      </c>
      <c r="AG17">
        <f>IF(AND('6 Mic'!E17&lt;Tmax, NOT('6 Mic'!$H17="")),'6 Mic'!$H17,4)</f>
        <v>4</v>
      </c>
      <c r="AH17">
        <f>IF(AND('6 Mic'!F17&lt;Tmax, NOT('6 Mic'!$H17="")),'6 Mic'!$H17,4)</f>
        <v>4</v>
      </c>
      <c r="AI17"/>
    </row>
    <row r="18" spans="1:35" ht="20.399999999999999" x14ac:dyDescent="0.25">
      <c r="A18" s="327" t="s">
        <v>1357</v>
      </c>
      <c r="B18" s="128" t="s">
        <v>123</v>
      </c>
      <c r="C18" s="243">
        <v>0</v>
      </c>
      <c r="E18" s="304"/>
      <c r="F18" s="304"/>
      <c r="G18" s="133">
        <v>2</v>
      </c>
      <c r="H18" s="133"/>
      <c r="I18" s="136"/>
      <c r="J18" s="135"/>
      <c r="K18" s="135" t="s">
        <v>7494</v>
      </c>
      <c r="AA18">
        <f>IF(AND('6 Mic'!C18&gt;Tmin, NOT('6 Mic'!$I18="")),'6 Mic'!$I18,0)</f>
        <v>0</v>
      </c>
      <c r="AB18">
        <f>IF(AND('6 Mic'!D18&gt;Tmin, NOT('6 Mic'!$I18="")),'6 Mic'!$I18,0)</f>
        <v>0</v>
      </c>
      <c r="AC18">
        <f>IF(AND('6 Mic'!E18&gt;Tmin, NOT('6 Mic'!$I18="")),'6 Mic'!$I18,0)</f>
        <v>0</v>
      </c>
      <c r="AD18">
        <f>IF(AND('6 Mic'!F18&gt;Tmin, NOT('6 Mic'!$I18="")),'6 Mic'!$I18,0)</f>
        <v>0</v>
      </c>
      <c r="AE18">
        <f>IF(AND('6 Mic'!C18&lt;Tmax, NOT('6 Mic'!$H18="")),'6 Mic'!$H18,4)</f>
        <v>4</v>
      </c>
      <c r="AF18">
        <f>IF(AND('6 Mic'!D18&lt;Tmax, NOT('6 Mic'!$H18="")),'6 Mic'!$H18,4)</f>
        <v>4</v>
      </c>
      <c r="AG18">
        <f>IF(AND('6 Mic'!E18&lt;Tmax, NOT('6 Mic'!$H18="")),'6 Mic'!$H18,4)</f>
        <v>4</v>
      </c>
      <c r="AH18">
        <f>IF(AND('6 Mic'!F18&lt;Tmax, NOT('6 Mic'!$H18="")),'6 Mic'!$H18,4)</f>
        <v>4</v>
      </c>
      <c r="AI18"/>
    </row>
    <row r="19" spans="1:35" ht="40.799999999999997" x14ac:dyDescent="0.25">
      <c r="A19" s="327" t="s">
        <v>1358</v>
      </c>
      <c r="B19" s="128" t="s">
        <v>324</v>
      </c>
      <c r="C19" s="243">
        <v>0</v>
      </c>
      <c r="E19" s="304"/>
      <c r="F19" s="304"/>
      <c r="G19" s="133">
        <v>4</v>
      </c>
      <c r="H19" s="133"/>
      <c r="I19" s="136"/>
      <c r="J19" s="135"/>
      <c r="K19" s="135" t="s">
        <v>7494</v>
      </c>
      <c r="AA19">
        <f>IF(AND('6 Mic'!C19&gt;Tmin, NOT('6 Mic'!$I19="")),'6 Mic'!$I19,0)</f>
        <v>0</v>
      </c>
      <c r="AB19">
        <f>IF(AND('6 Mic'!D19&gt;Tmin, NOT('6 Mic'!$I19="")),'6 Mic'!$I19,0)</f>
        <v>0</v>
      </c>
      <c r="AC19">
        <f>IF(AND('6 Mic'!E19&gt;Tmin, NOT('6 Mic'!$I19="")),'6 Mic'!$I19,0)</f>
        <v>0</v>
      </c>
      <c r="AD19">
        <f>IF(AND('6 Mic'!F19&gt;Tmin, NOT('6 Mic'!$I19="")),'6 Mic'!$I19,0)</f>
        <v>0</v>
      </c>
      <c r="AE19">
        <f>IF(AND('6 Mic'!C19&lt;Tmax, NOT('6 Mic'!$H19="")),'6 Mic'!$H19,4)</f>
        <v>4</v>
      </c>
      <c r="AF19">
        <f>IF(AND('6 Mic'!D19&lt;Tmax, NOT('6 Mic'!$H19="")),'6 Mic'!$H19,4)</f>
        <v>4</v>
      </c>
      <c r="AG19">
        <f>IF(AND('6 Mic'!E19&lt;Tmax, NOT('6 Mic'!$H19="")),'6 Mic'!$H19,4)</f>
        <v>4</v>
      </c>
      <c r="AH19">
        <f>IF(AND('6 Mic'!F19&lt;Tmax, NOT('6 Mic'!$H19="")),'6 Mic'!$H19,4)</f>
        <v>4</v>
      </c>
      <c r="AI19"/>
    </row>
    <row r="20" spans="1:35" ht="30.6" x14ac:dyDescent="0.25">
      <c r="A20" s="327" t="s">
        <v>1359</v>
      </c>
      <c r="B20" s="128" t="s">
        <v>76</v>
      </c>
      <c r="C20" s="243">
        <v>0</v>
      </c>
      <c r="E20" s="304"/>
      <c r="F20" s="304"/>
      <c r="G20" s="133">
        <v>4</v>
      </c>
      <c r="H20" s="133">
        <v>2</v>
      </c>
      <c r="I20" s="136"/>
      <c r="J20" s="135"/>
      <c r="K20" s="135" t="s">
        <v>7522</v>
      </c>
      <c r="AA20">
        <f>IF(AND('6 Mic'!C20&gt;Tmin, NOT('6 Mic'!$I20="")),'6 Mic'!$I20,0)</f>
        <v>0</v>
      </c>
      <c r="AB20">
        <f>IF(AND('6 Mic'!D20&gt;Tmin, NOT('6 Mic'!$I20="")),'6 Mic'!$I20,0)</f>
        <v>0</v>
      </c>
      <c r="AC20">
        <f>IF(AND('6 Mic'!E20&gt;Tmin, NOT('6 Mic'!$I20="")),'6 Mic'!$I20,0)</f>
        <v>0</v>
      </c>
      <c r="AD20">
        <f>IF(AND('6 Mic'!F20&gt;Tmin, NOT('6 Mic'!$I20="")),'6 Mic'!$I20,0)</f>
        <v>0</v>
      </c>
      <c r="AE20">
        <f>IF(AND('6 Mic'!C20&lt;Tmax, NOT('6 Mic'!$H20="")),'6 Mic'!$H20,4)</f>
        <v>2</v>
      </c>
      <c r="AF20">
        <f>IF(AND('6 Mic'!D20&lt;Tmax, NOT('6 Mic'!$H20="")),'6 Mic'!$H20,4)</f>
        <v>2</v>
      </c>
      <c r="AG20">
        <f>IF(AND('6 Mic'!E20&lt;Tmax, NOT('6 Mic'!$H20="")),'6 Mic'!$H20,4)</f>
        <v>2</v>
      </c>
      <c r="AH20">
        <f>IF(AND('6 Mic'!F20&lt;Tmax, NOT('6 Mic'!$H20="")),'6 Mic'!$H20,4)</f>
        <v>2</v>
      </c>
      <c r="AI20"/>
    </row>
    <row r="21" spans="1:35" ht="51" x14ac:dyDescent="0.25">
      <c r="A21" s="327" t="s">
        <v>1360</v>
      </c>
      <c r="B21" s="128" t="s">
        <v>2315</v>
      </c>
      <c r="C21" s="243">
        <v>0</v>
      </c>
      <c r="E21" s="304"/>
      <c r="F21" s="304"/>
      <c r="G21" s="133">
        <v>4</v>
      </c>
      <c r="H21" s="133">
        <v>2</v>
      </c>
      <c r="I21" s="136"/>
      <c r="J21" s="135"/>
      <c r="K21" s="135" t="s">
        <v>7523</v>
      </c>
      <c r="AA21">
        <f>IF(AND('6 Mic'!C21&gt;Tmin, NOT('6 Mic'!$I21="")),'6 Mic'!$I21,0)</f>
        <v>0</v>
      </c>
      <c r="AB21">
        <f>IF(AND('6 Mic'!D21&gt;Tmin, NOT('6 Mic'!$I21="")),'6 Mic'!$I21,0)</f>
        <v>0</v>
      </c>
      <c r="AC21">
        <f>IF(AND('6 Mic'!E21&gt;Tmin, NOT('6 Mic'!$I21="")),'6 Mic'!$I21,0)</f>
        <v>0</v>
      </c>
      <c r="AD21">
        <f>IF(AND('6 Mic'!F21&gt;Tmin, NOT('6 Mic'!$I21="")),'6 Mic'!$I21,0)</f>
        <v>0</v>
      </c>
      <c r="AE21">
        <f>IF(AND('6 Mic'!C21&lt;Tmax, NOT('6 Mic'!$H21="")),'6 Mic'!$H21,4)</f>
        <v>2</v>
      </c>
      <c r="AF21">
        <f>IF(AND('6 Mic'!D21&lt;Tmax, NOT('6 Mic'!$H21="")),'6 Mic'!$H21,4)</f>
        <v>2</v>
      </c>
      <c r="AG21">
        <f>IF(AND('6 Mic'!E21&lt;Tmax, NOT('6 Mic'!$H21="")),'6 Mic'!$H21,4)</f>
        <v>2</v>
      </c>
      <c r="AH21">
        <f>IF(AND('6 Mic'!F21&lt;Tmax, NOT('6 Mic'!$H21="")),'6 Mic'!$H21,4)</f>
        <v>2</v>
      </c>
      <c r="AI21"/>
    </row>
    <row r="22" spans="1:35" ht="20.399999999999999" x14ac:dyDescent="0.25">
      <c r="A22" s="327" t="s">
        <v>1361</v>
      </c>
      <c r="B22" s="128" t="s">
        <v>77</v>
      </c>
      <c r="C22" s="243">
        <v>0</v>
      </c>
      <c r="E22" s="304"/>
      <c r="F22" s="304"/>
      <c r="G22" s="133">
        <v>3</v>
      </c>
      <c r="H22" s="133">
        <v>3</v>
      </c>
      <c r="I22" s="136"/>
      <c r="J22" s="135"/>
      <c r="K22" s="135" t="s">
        <v>7518</v>
      </c>
      <c r="AA22">
        <f>IF(AND('6 Mic'!C22&gt;Tmin, NOT('6 Mic'!$I22="")),'6 Mic'!$I22,0)</f>
        <v>0</v>
      </c>
      <c r="AB22">
        <f>IF(AND('6 Mic'!D22&gt;Tmin, NOT('6 Mic'!$I22="")),'6 Mic'!$I22,0)</f>
        <v>0</v>
      </c>
      <c r="AC22">
        <f>IF(AND('6 Mic'!E22&gt;Tmin, NOT('6 Mic'!$I22="")),'6 Mic'!$I22,0)</f>
        <v>0</v>
      </c>
      <c r="AD22">
        <f>IF(AND('6 Mic'!F22&gt;Tmin, NOT('6 Mic'!$I22="")),'6 Mic'!$I22,0)</f>
        <v>0</v>
      </c>
      <c r="AE22">
        <f>IF(AND('6 Mic'!C22&lt;Tmax, NOT('6 Mic'!$H22="")),'6 Mic'!$H22,4)</f>
        <v>3</v>
      </c>
      <c r="AF22">
        <f>IF(AND('6 Mic'!D22&lt;Tmax, NOT('6 Mic'!$H22="")),'6 Mic'!$H22,4)</f>
        <v>3</v>
      </c>
      <c r="AG22">
        <f>IF(AND('6 Mic'!E22&lt;Tmax, NOT('6 Mic'!$H22="")),'6 Mic'!$H22,4)</f>
        <v>3</v>
      </c>
      <c r="AH22">
        <f>IF(AND('6 Mic'!F22&lt;Tmax, NOT('6 Mic'!$H22="")),'6 Mic'!$H22,4)</f>
        <v>3</v>
      </c>
      <c r="AI22"/>
    </row>
    <row r="23" spans="1:35" x14ac:dyDescent="0.25">
      <c r="A23" s="327" t="s">
        <v>4601</v>
      </c>
      <c r="B23" s="128" t="s">
        <v>4602</v>
      </c>
      <c r="C23" s="243"/>
      <c r="E23" s="304"/>
      <c r="F23" s="304"/>
      <c r="G23" s="133"/>
      <c r="H23" s="133"/>
      <c r="I23" s="136"/>
      <c r="J23" s="135"/>
      <c r="K23" s="135"/>
      <c r="AA23"/>
      <c r="AB23"/>
      <c r="AC23"/>
      <c r="AD23"/>
      <c r="AE23"/>
      <c r="AF23"/>
      <c r="AG23"/>
      <c r="AH23"/>
      <c r="AI23"/>
    </row>
    <row r="24" spans="1:35" ht="20.399999999999999" x14ac:dyDescent="0.25">
      <c r="A24" s="327" t="s">
        <v>6270</v>
      </c>
      <c r="B24" s="128" t="s">
        <v>6267</v>
      </c>
      <c r="C24" s="243"/>
      <c r="E24" s="304"/>
      <c r="F24" s="304"/>
      <c r="G24" s="133">
        <v>2</v>
      </c>
      <c r="H24" s="133"/>
      <c r="I24" s="136"/>
      <c r="J24" s="135"/>
      <c r="K24" s="135"/>
      <c r="AA24">
        <f>IF(AND('6 Mic'!C24&gt;Tmin, NOT('6 Mic'!$I24="")),'6 Mic'!$I24,0)</f>
        <v>0</v>
      </c>
      <c r="AB24">
        <f>IF(AND('6 Mic'!D24&gt;Tmin, NOT('6 Mic'!$I24="")),'6 Mic'!$I24,0)</f>
        <v>0</v>
      </c>
      <c r="AC24">
        <f>IF(AND('6 Mic'!E24&gt;Tmin, NOT('6 Mic'!$I24="")),'6 Mic'!$I24,0)</f>
        <v>0</v>
      </c>
      <c r="AD24">
        <f>IF(AND('6 Mic'!F24&gt;Tmin, NOT('6 Mic'!$I24="")),'6 Mic'!$I24,0)</f>
        <v>0</v>
      </c>
      <c r="AE24">
        <f>IF(AND('6 Mic'!C24&lt;Tmax, NOT('6 Mic'!$H24="")),'6 Mic'!$H24,4)</f>
        <v>4</v>
      </c>
      <c r="AF24">
        <f>IF(AND('6 Mic'!D24&lt;Tmax, NOT('6 Mic'!$H24="")),'6 Mic'!$H24,4)</f>
        <v>4</v>
      </c>
      <c r="AG24">
        <f>IF(AND('6 Mic'!E24&lt;Tmax, NOT('6 Mic'!$H24="")),'6 Mic'!$H24,4)</f>
        <v>4</v>
      </c>
      <c r="AH24">
        <f>IF(AND('6 Mic'!F24&lt;Tmax, NOT('6 Mic'!$H24="")),'6 Mic'!$H24,4)</f>
        <v>4</v>
      </c>
      <c r="AI24"/>
    </row>
    <row r="25" spans="1:35" ht="20.399999999999999" x14ac:dyDescent="0.25">
      <c r="A25" s="327" t="s">
        <v>6271</v>
      </c>
      <c r="B25" s="128" t="s">
        <v>6268</v>
      </c>
      <c r="C25" s="243"/>
      <c r="E25" s="304"/>
      <c r="F25" s="304"/>
      <c r="G25" s="133">
        <v>4</v>
      </c>
      <c r="H25" s="133">
        <v>2</v>
      </c>
      <c r="I25" s="136"/>
      <c r="J25" s="135"/>
      <c r="K25" s="135"/>
      <c r="AA25">
        <f>IF(AND('6 Mic'!C25&gt;Tmin, NOT('6 Mic'!$I25="")),'6 Mic'!$I25,0)</f>
        <v>0</v>
      </c>
      <c r="AB25">
        <f>IF(AND('6 Mic'!D25&gt;Tmin, NOT('6 Mic'!$I25="")),'6 Mic'!$I25,0)</f>
        <v>0</v>
      </c>
      <c r="AC25">
        <f>IF(AND('6 Mic'!E25&gt;Tmin, NOT('6 Mic'!$I25="")),'6 Mic'!$I25,0)</f>
        <v>0</v>
      </c>
      <c r="AD25">
        <f>IF(AND('6 Mic'!F25&gt;Tmin, NOT('6 Mic'!$I25="")),'6 Mic'!$I25,0)</f>
        <v>0</v>
      </c>
      <c r="AE25">
        <f>IF(AND('6 Mic'!C25&lt;Tmax, NOT('6 Mic'!$H25="")),'6 Mic'!$H25,4)</f>
        <v>2</v>
      </c>
      <c r="AF25">
        <f>IF(AND('6 Mic'!D25&lt;Tmax, NOT('6 Mic'!$H25="")),'6 Mic'!$H25,4)</f>
        <v>2</v>
      </c>
      <c r="AG25">
        <f>IF(AND('6 Mic'!E25&lt;Tmax, NOT('6 Mic'!$H25="")),'6 Mic'!$H25,4)</f>
        <v>2</v>
      </c>
      <c r="AH25">
        <f>IF(AND('6 Mic'!F25&lt;Tmax, NOT('6 Mic'!$H25="")),'6 Mic'!$H25,4)</f>
        <v>2</v>
      </c>
      <c r="AI25"/>
    </row>
    <row r="26" spans="1:35" x14ac:dyDescent="0.25">
      <c r="A26" s="327" t="s">
        <v>6272</v>
      </c>
      <c r="B26" s="128" t="s">
        <v>6776</v>
      </c>
      <c r="C26" s="243"/>
      <c r="E26" s="304"/>
      <c r="F26" s="304"/>
      <c r="G26" s="133">
        <v>4</v>
      </c>
      <c r="H26" s="133"/>
      <c r="I26" s="136"/>
      <c r="J26" s="135"/>
      <c r="K26" s="135"/>
      <c r="AA26">
        <f>IF(AND('6 Mic'!C26&gt;Tmin, NOT('6 Mic'!$I26="")),'6 Mic'!$I26,0)</f>
        <v>0</v>
      </c>
      <c r="AB26">
        <f>IF(AND('6 Mic'!D26&gt;Tmin, NOT('6 Mic'!$I26="")),'6 Mic'!$I26,0)</f>
        <v>0</v>
      </c>
      <c r="AC26">
        <f>IF(AND('6 Mic'!E26&gt;Tmin, NOT('6 Mic'!$I26="")),'6 Mic'!$I26,0)</f>
        <v>0</v>
      </c>
      <c r="AD26">
        <f>IF(AND('6 Mic'!F26&gt;Tmin, NOT('6 Mic'!$I26="")),'6 Mic'!$I26,0)</f>
        <v>0</v>
      </c>
      <c r="AE26">
        <f>IF(AND('6 Mic'!C26&lt;Tmax, NOT('6 Mic'!$H26="")),'6 Mic'!$H26,4)</f>
        <v>4</v>
      </c>
      <c r="AF26">
        <f>IF(AND('6 Mic'!D26&lt;Tmax, NOT('6 Mic'!$H26="")),'6 Mic'!$H26,4)</f>
        <v>4</v>
      </c>
      <c r="AG26">
        <f>IF(AND('6 Mic'!E26&lt;Tmax, NOT('6 Mic'!$H26="")),'6 Mic'!$H26,4)</f>
        <v>4</v>
      </c>
      <c r="AH26">
        <f>IF(AND('6 Mic'!F26&lt;Tmax, NOT('6 Mic'!$H26="")),'6 Mic'!$H26,4)</f>
        <v>4</v>
      </c>
      <c r="AI26"/>
    </row>
    <row r="27" spans="1:35" x14ac:dyDescent="0.25">
      <c r="A27" s="327" t="s">
        <v>6273</v>
      </c>
      <c r="B27" s="128" t="s">
        <v>6269</v>
      </c>
      <c r="C27" s="243"/>
      <c r="E27" s="304"/>
      <c r="F27" s="304"/>
      <c r="G27" s="133">
        <v>4</v>
      </c>
      <c r="H27" s="133"/>
      <c r="I27" s="136"/>
      <c r="J27" s="135"/>
      <c r="K27" s="135"/>
      <c r="AA27">
        <f>IF(AND('6 Mic'!C27&gt;Tmin, NOT('6 Mic'!$I27="")),'6 Mic'!$I27,0)</f>
        <v>0</v>
      </c>
      <c r="AB27">
        <f>IF(AND('6 Mic'!D27&gt;Tmin, NOT('6 Mic'!$I27="")),'6 Mic'!$I27,0)</f>
        <v>0</v>
      </c>
      <c r="AC27">
        <f>IF(AND('6 Mic'!E27&gt;Tmin, NOT('6 Mic'!$I27="")),'6 Mic'!$I27,0)</f>
        <v>0</v>
      </c>
      <c r="AD27">
        <f>IF(AND('6 Mic'!F27&gt;Tmin, NOT('6 Mic'!$I27="")),'6 Mic'!$I27,0)</f>
        <v>0</v>
      </c>
      <c r="AE27">
        <f>IF(AND('6 Mic'!C27&lt;Tmax, NOT('6 Mic'!$H27="")),'6 Mic'!$H27,4)</f>
        <v>4</v>
      </c>
      <c r="AF27">
        <f>IF(AND('6 Mic'!D27&lt;Tmax, NOT('6 Mic'!$H27="")),'6 Mic'!$H27,4)</f>
        <v>4</v>
      </c>
      <c r="AG27">
        <f>IF(AND('6 Mic'!E27&lt;Tmax, NOT('6 Mic'!$H27="")),'6 Mic'!$H27,4)</f>
        <v>4</v>
      </c>
      <c r="AH27">
        <f>IF(AND('6 Mic'!F27&lt;Tmax, NOT('6 Mic'!$H27="")),'6 Mic'!$H27,4)</f>
        <v>4</v>
      </c>
      <c r="AI27"/>
    </row>
    <row r="28" spans="1:35" x14ac:dyDescent="0.25">
      <c r="A28" s="327" t="s">
        <v>6274</v>
      </c>
      <c r="B28" s="128" t="s">
        <v>6777</v>
      </c>
      <c r="C28" s="243"/>
      <c r="E28" s="304"/>
      <c r="F28" s="304"/>
      <c r="G28" s="133">
        <v>4</v>
      </c>
      <c r="H28" s="133">
        <v>3</v>
      </c>
      <c r="I28" s="136"/>
      <c r="J28" s="135"/>
      <c r="K28" s="135"/>
      <c r="AA28">
        <f>IF(AND('6 Mic'!C28&gt;Tmin, NOT('6 Mic'!$I28="")),'6 Mic'!$I28,0)</f>
        <v>0</v>
      </c>
      <c r="AB28">
        <f>IF(AND('6 Mic'!D28&gt;Tmin, NOT('6 Mic'!$I28="")),'6 Mic'!$I28,0)</f>
        <v>0</v>
      </c>
      <c r="AC28">
        <f>IF(AND('6 Mic'!E28&gt;Tmin, NOT('6 Mic'!$I28="")),'6 Mic'!$I28,0)</f>
        <v>0</v>
      </c>
      <c r="AD28">
        <f>IF(AND('6 Mic'!F28&gt;Tmin, NOT('6 Mic'!$I28="")),'6 Mic'!$I28,0)</f>
        <v>0</v>
      </c>
      <c r="AE28">
        <f>IF(AND('6 Mic'!C28&lt;Tmax, NOT('6 Mic'!$H28="")),'6 Mic'!$H28,4)</f>
        <v>3</v>
      </c>
      <c r="AF28">
        <f>IF(AND('6 Mic'!D28&lt;Tmax, NOT('6 Mic'!$H28="")),'6 Mic'!$H28,4)</f>
        <v>3</v>
      </c>
      <c r="AG28">
        <f>IF(AND('6 Mic'!E28&lt;Tmax, NOT('6 Mic'!$H28="")),'6 Mic'!$H28,4)</f>
        <v>3</v>
      </c>
      <c r="AH28">
        <f>IF(AND('6 Mic'!F28&lt;Tmax, NOT('6 Mic'!$H28="")),'6 Mic'!$H28,4)</f>
        <v>3</v>
      </c>
      <c r="AI28"/>
    </row>
    <row r="29" spans="1:35" x14ac:dyDescent="0.25">
      <c r="A29" s="220" t="s">
        <v>1363</v>
      </c>
      <c r="B29" s="220" t="s">
        <v>19</v>
      </c>
      <c r="C29" s="243"/>
      <c r="E29" s="304"/>
      <c r="F29" s="304"/>
      <c r="G29" s="133"/>
      <c r="H29" s="133"/>
      <c r="I29" s="136"/>
      <c r="J29" s="135"/>
      <c r="K29" s="135"/>
      <c r="AA29"/>
      <c r="AB29"/>
      <c r="AC29"/>
      <c r="AD29"/>
      <c r="AE29"/>
      <c r="AF29"/>
      <c r="AG29"/>
      <c r="AH29"/>
      <c r="AI29"/>
    </row>
    <row r="30" spans="1:35" ht="20.399999999999999" x14ac:dyDescent="0.25">
      <c r="A30" s="327" t="s">
        <v>646</v>
      </c>
      <c r="B30" s="128" t="s">
        <v>104</v>
      </c>
      <c r="C30" s="243"/>
      <c r="E30" s="304"/>
      <c r="F30" s="304"/>
      <c r="G30" s="133"/>
      <c r="H30" s="133"/>
      <c r="I30" s="136"/>
      <c r="J30" s="135"/>
      <c r="K30" s="135"/>
      <c r="AA30"/>
      <c r="AB30"/>
      <c r="AC30"/>
      <c r="AD30"/>
      <c r="AE30"/>
      <c r="AF30"/>
      <c r="AG30"/>
      <c r="AH30"/>
      <c r="AI30"/>
    </row>
    <row r="31" spans="1:35" ht="20.399999999999999" x14ac:dyDescent="0.25">
      <c r="A31" s="327" t="s">
        <v>1364</v>
      </c>
      <c r="B31" s="128" t="s">
        <v>1365</v>
      </c>
      <c r="C31" s="243">
        <v>0</v>
      </c>
      <c r="E31" s="304"/>
      <c r="F31" s="304"/>
      <c r="G31" s="133">
        <v>4</v>
      </c>
      <c r="H31" s="133">
        <v>3</v>
      </c>
      <c r="I31" s="136"/>
      <c r="J31" s="135"/>
      <c r="K31" s="135" t="s">
        <v>7518</v>
      </c>
      <c r="AA31">
        <f>IF(AND('6 Mic'!C31&gt;Tmin, NOT('6 Mic'!$I31="")),'6 Mic'!$I31,0)</f>
        <v>0</v>
      </c>
      <c r="AB31">
        <f>IF(AND('6 Mic'!D31&gt;Tmin, NOT('6 Mic'!$I31="")),'6 Mic'!$I31,0)</f>
        <v>0</v>
      </c>
      <c r="AC31">
        <f>IF(AND('6 Mic'!E31&gt;Tmin, NOT('6 Mic'!$I31="")),'6 Mic'!$I31,0)</f>
        <v>0</v>
      </c>
      <c r="AD31">
        <f>IF(AND('6 Mic'!F31&gt;Tmin, NOT('6 Mic'!$I31="")),'6 Mic'!$I31,0)</f>
        <v>0</v>
      </c>
      <c r="AE31">
        <f>IF(AND('6 Mic'!C31&lt;Tmax, NOT('6 Mic'!$H31="")),'6 Mic'!$H31,4)</f>
        <v>3</v>
      </c>
      <c r="AF31">
        <f>IF(AND('6 Mic'!D31&lt;Tmax, NOT('6 Mic'!$H31="")),'6 Mic'!$H31,4)</f>
        <v>3</v>
      </c>
      <c r="AG31">
        <f>IF(AND('6 Mic'!E31&lt;Tmax, NOT('6 Mic'!$H31="")),'6 Mic'!$H31,4)</f>
        <v>3</v>
      </c>
      <c r="AH31">
        <f>IF(AND('6 Mic'!F31&lt;Tmax, NOT('6 Mic'!$H31="")),'6 Mic'!$H31,4)</f>
        <v>3</v>
      </c>
      <c r="AI31"/>
    </row>
    <row r="32" spans="1:35" x14ac:dyDescent="0.25">
      <c r="A32" s="327" t="s">
        <v>1366</v>
      </c>
      <c r="B32" s="128" t="s">
        <v>20</v>
      </c>
      <c r="C32" s="243">
        <v>0</v>
      </c>
      <c r="E32" s="304"/>
      <c r="F32" s="304"/>
      <c r="G32" s="133">
        <v>3</v>
      </c>
      <c r="H32" s="133">
        <v>3</v>
      </c>
      <c r="I32" s="136"/>
      <c r="J32" s="135"/>
      <c r="K32" s="135" t="s">
        <v>7524</v>
      </c>
      <c r="AA32">
        <f>IF(AND('6 Mic'!C32&gt;Tmin, NOT('6 Mic'!$I32="")),'6 Mic'!$I32,0)</f>
        <v>0</v>
      </c>
      <c r="AB32">
        <f>IF(AND('6 Mic'!D32&gt;Tmin, NOT('6 Mic'!$I32="")),'6 Mic'!$I32,0)</f>
        <v>0</v>
      </c>
      <c r="AC32">
        <f>IF(AND('6 Mic'!E32&gt;Tmin, NOT('6 Mic'!$I32="")),'6 Mic'!$I32,0)</f>
        <v>0</v>
      </c>
      <c r="AD32">
        <f>IF(AND('6 Mic'!F32&gt;Tmin, NOT('6 Mic'!$I32="")),'6 Mic'!$I32,0)</f>
        <v>0</v>
      </c>
      <c r="AE32">
        <f>IF(AND('6 Mic'!C32&lt;Tmax, NOT('6 Mic'!$H32="")),'6 Mic'!$H32,4)</f>
        <v>3</v>
      </c>
      <c r="AF32">
        <f>IF(AND('6 Mic'!D32&lt;Tmax, NOT('6 Mic'!$H32="")),'6 Mic'!$H32,4)</f>
        <v>3</v>
      </c>
      <c r="AG32">
        <f>IF(AND('6 Mic'!E32&lt;Tmax, NOT('6 Mic'!$H32="")),'6 Mic'!$H32,4)</f>
        <v>3</v>
      </c>
      <c r="AH32">
        <f>IF(AND('6 Mic'!F32&lt;Tmax, NOT('6 Mic'!$H32="")),'6 Mic'!$H32,4)</f>
        <v>3</v>
      </c>
      <c r="AI32"/>
    </row>
    <row r="33" spans="1:35" ht="20.399999999999999" x14ac:dyDescent="0.25">
      <c r="A33" s="327" t="s">
        <v>1367</v>
      </c>
      <c r="B33" s="128" t="s">
        <v>49</v>
      </c>
      <c r="C33" s="243">
        <v>0</v>
      </c>
      <c r="E33" s="304"/>
      <c r="F33" s="304"/>
      <c r="G33" s="133">
        <v>4</v>
      </c>
      <c r="H33" s="133"/>
      <c r="I33" s="136"/>
      <c r="J33" s="135"/>
      <c r="K33" s="135" t="s">
        <v>7494</v>
      </c>
      <c r="AA33">
        <f>IF(AND('6 Mic'!C33&gt;Tmin, NOT('6 Mic'!$I33="")),'6 Mic'!$I33,0)</f>
        <v>0</v>
      </c>
      <c r="AB33">
        <f>IF(AND('6 Mic'!D33&gt;Tmin, NOT('6 Mic'!$I33="")),'6 Mic'!$I33,0)</f>
        <v>0</v>
      </c>
      <c r="AC33">
        <f>IF(AND('6 Mic'!E33&gt;Tmin, NOT('6 Mic'!$I33="")),'6 Mic'!$I33,0)</f>
        <v>0</v>
      </c>
      <c r="AD33">
        <f>IF(AND('6 Mic'!F33&gt;Tmin, NOT('6 Mic'!$I33="")),'6 Mic'!$I33,0)</f>
        <v>0</v>
      </c>
      <c r="AE33">
        <f>IF(AND('6 Mic'!C33&lt;Tmax, NOT('6 Mic'!$H33="")),'6 Mic'!$H33,4)</f>
        <v>4</v>
      </c>
      <c r="AF33">
        <f>IF(AND('6 Mic'!D33&lt;Tmax, NOT('6 Mic'!$H33="")),'6 Mic'!$H33,4)</f>
        <v>4</v>
      </c>
      <c r="AG33">
        <f>IF(AND('6 Mic'!E33&lt;Tmax, NOT('6 Mic'!$H33="")),'6 Mic'!$H33,4)</f>
        <v>4</v>
      </c>
      <c r="AH33">
        <f>IF(AND('6 Mic'!F33&lt;Tmax, NOT('6 Mic'!$H33="")),'6 Mic'!$H33,4)</f>
        <v>4</v>
      </c>
      <c r="AI33"/>
    </row>
    <row r="34" spans="1:35" ht="20.399999999999999" x14ac:dyDescent="0.25">
      <c r="A34" s="327" t="s">
        <v>1368</v>
      </c>
      <c r="B34" s="128" t="s">
        <v>54</v>
      </c>
      <c r="C34" s="243">
        <v>0</v>
      </c>
      <c r="E34" s="304"/>
      <c r="F34" s="304"/>
      <c r="G34" s="133">
        <v>4</v>
      </c>
      <c r="H34" s="133"/>
      <c r="I34" s="136"/>
      <c r="J34" s="135"/>
      <c r="K34" s="135" t="s">
        <v>7494</v>
      </c>
      <c r="AA34">
        <f>IF(AND('6 Mic'!C34&gt;Tmin, NOT('6 Mic'!$I34="")),'6 Mic'!$I34,0)</f>
        <v>0</v>
      </c>
      <c r="AB34">
        <f>IF(AND('6 Mic'!D34&gt;Tmin, NOT('6 Mic'!$I34="")),'6 Mic'!$I34,0)</f>
        <v>0</v>
      </c>
      <c r="AC34">
        <f>IF(AND('6 Mic'!E34&gt;Tmin, NOT('6 Mic'!$I34="")),'6 Mic'!$I34,0)</f>
        <v>0</v>
      </c>
      <c r="AD34">
        <f>IF(AND('6 Mic'!F34&gt;Tmin, NOT('6 Mic'!$I34="")),'6 Mic'!$I34,0)</f>
        <v>0</v>
      </c>
      <c r="AE34">
        <f>IF(AND('6 Mic'!C34&lt;Tmax, NOT('6 Mic'!$H34="")),'6 Mic'!$H34,4)</f>
        <v>4</v>
      </c>
      <c r="AF34">
        <f>IF(AND('6 Mic'!D34&lt;Tmax, NOT('6 Mic'!$H34="")),'6 Mic'!$H34,4)</f>
        <v>4</v>
      </c>
      <c r="AG34">
        <f>IF(AND('6 Mic'!E34&lt;Tmax, NOT('6 Mic'!$H34="")),'6 Mic'!$H34,4)</f>
        <v>4</v>
      </c>
      <c r="AH34">
        <f>IF(AND('6 Mic'!F34&lt;Tmax, NOT('6 Mic'!$H34="")),'6 Mic'!$H34,4)</f>
        <v>4</v>
      </c>
      <c r="AI34"/>
    </row>
    <row r="35" spans="1:35" ht="20.399999999999999" x14ac:dyDescent="0.25">
      <c r="A35" s="327" t="s">
        <v>1369</v>
      </c>
      <c r="B35" s="128" t="s">
        <v>6685</v>
      </c>
      <c r="C35" s="243">
        <v>0</v>
      </c>
      <c r="E35" s="304"/>
      <c r="F35" s="304"/>
      <c r="G35" s="133">
        <v>4</v>
      </c>
      <c r="H35" s="133">
        <v>3</v>
      </c>
      <c r="I35" s="136"/>
      <c r="J35" s="135"/>
      <c r="K35" t="s">
        <v>7494</v>
      </c>
      <c r="AA35">
        <f>IF(AND('6 Mic'!C35&gt;Tmin, NOT('6 Mic'!$I35="")),'6 Mic'!$I35,0)</f>
        <v>0</v>
      </c>
      <c r="AB35">
        <f>IF(AND('6 Mic'!D35&gt;Tmin, NOT('6 Mic'!$I35="")),'6 Mic'!$I35,0)</f>
        <v>0</v>
      </c>
      <c r="AC35">
        <f>IF(AND('6 Mic'!E35&gt;Tmin, NOT('6 Mic'!$I35="")),'6 Mic'!$I35,0)</f>
        <v>0</v>
      </c>
      <c r="AD35">
        <f>IF(AND('6 Mic'!F35&gt;Tmin, NOT('6 Mic'!$I35="")),'6 Mic'!$I35,0)</f>
        <v>0</v>
      </c>
      <c r="AE35">
        <f>IF(AND('6 Mic'!C35&lt;Tmax, NOT('6 Mic'!$H35="")),'6 Mic'!$H35,4)</f>
        <v>3</v>
      </c>
      <c r="AF35">
        <f>IF(AND('6 Mic'!D35&lt;Tmax, NOT('6 Mic'!$H35="")),'6 Mic'!$H35,4)</f>
        <v>3</v>
      </c>
      <c r="AG35">
        <f>IF(AND('6 Mic'!E35&lt;Tmax, NOT('6 Mic'!$H35="")),'6 Mic'!$H35,4)</f>
        <v>3</v>
      </c>
      <c r="AH35">
        <f>IF(AND('6 Mic'!F35&lt;Tmax, NOT('6 Mic'!$H35="")),'6 Mic'!$H35,4)</f>
        <v>3</v>
      </c>
      <c r="AI35"/>
    </row>
    <row r="36" spans="1:35" ht="20.399999999999999" x14ac:dyDescent="0.25">
      <c r="A36" s="327" t="s">
        <v>1370</v>
      </c>
      <c r="B36" s="128" t="s">
        <v>38</v>
      </c>
      <c r="C36" s="243">
        <v>0</v>
      </c>
      <c r="E36" s="243"/>
      <c r="F36" s="304"/>
      <c r="G36" s="133">
        <v>2</v>
      </c>
      <c r="H36" s="133"/>
      <c r="I36" s="136"/>
      <c r="J36" s="135"/>
      <c r="K36" t="s">
        <v>7494</v>
      </c>
      <c r="AA36">
        <f>IF(AND('6 Mic'!C36&gt;Tmin, NOT('6 Mic'!$I36="")),'6 Mic'!$I36,0)</f>
        <v>0</v>
      </c>
      <c r="AB36">
        <f>IF(AND('6 Mic'!D36&gt;Tmin, NOT('6 Mic'!$I36="")),'6 Mic'!$I36,0)</f>
        <v>0</v>
      </c>
      <c r="AC36">
        <f>IF(AND('6 Mic'!E36&gt;Tmin, NOT('6 Mic'!$I36="")),'6 Mic'!$I36,0)</f>
        <v>0</v>
      </c>
      <c r="AD36">
        <f>IF(AND('6 Mic'!F36&gt;Tmin, NOT('6 Mic'!$I36="")),'6 Mic'!$I36,0)</f>
        <v>0</v>
      </c>
      <c r="AE36">
        <f>IF(AND('6 Mic'!C36&lt;Tmax, NOT('6 Mic'!$H36="")),'6 Mic'!$H36,4)</f>
        <v>4</v>
      </c>
      <c r="AF36">
        <f>IF(AND('6 Mic'!D36&lt;Tmax, NOT('6 Mic'!$H36="")),'6 Mic'!$H36,4)</f>
        <v>4</v>
      </c>
      <c r="AG36">
        <f>IF(AND('6 Mic'!E36&lt;Tmax, NOT('6 Mic'!$H36="")),'6 Mic'!$H36,4)</f>
        <v>4</v>
      </c>
      <c r="AH36">
        <f>IF(AND('6 Mic'!F36&lt;Tmax, NOT('6 Mic'!$H36="")),'6 Mic'!$H36,4)</f>
        <v>4</v>
      </c>
      <c r="AI36"/>
    </row>
    <row r="37" spans="1:35" ht="20.399999999999999" x14ac:dyDescent="0.25">
      <c r="A37" s="327" t="s">
        <v>1371</v>
      </c>
      <c r="B37" s="128" t="s">
        <v>295</v>
      </c>
      <c r="C37" s="243">
        <v>0</v>
      </c>
      <c r="E37" s="304"/>
      <c r="F37" s="304"/>
      <c r="G37" s="133">
        <v>2</v>
      </c>
      <c r="H37" s="133"/>
      <c r="I37" s="136"/>
      <c r="J37" s="135"/>
      <c r="K37" t="s">
        <v>7494</v>
      </c>
      <c r="AA37">
        <f>IF(AND('6 Mic'!C37&gt;Tmin, NOT('6 Mic'!$I37="")),'6 Mic'!$I37,0)</f>
        <v>0</v>
      </c>
      <c r="AB37">
        <f>IF(AND('6 Mic'!D37&gt;Tmin, NOT('6 Mic'!$I37="")),'6 Mic'!$I37,0)</f>
        <v>0</v>
      </c>
      <c r="AC37">
        <f>IF(AND('6 Mic'!E37&gt;Tmin, NOT('6 Mic'!$I37="")),'6 Mic'!$I37,0)</f>
        <v>0</v>
      </c>
      <c r="AD37">
        <f>IF(AND('6 Mic'!F37&gt;Tmin, NOT('6 Mic'!$I37="")),'6 Mic'!$I37,0)</f>
        <v>0</v>
      </c>
      <c r="AE37">
        <f>IF(AND('6 Mic'!C37&lt;Tmax, NOT('6 Mic'!$H37="")),'6 Mic'!$H37,4)</f>
        <v>4</v>
      </c>
      <c r="AF37">
        <f>IF(AND('6 Mic'!D37&lt;Tmax, NOT('6 Mic'!$H37="")),'6 Mic'!$H37,4)</f>
        <v>4</v>
      </c>
      <c r="AG37">
        <f>IF(AND('6 Mic'!E37&lt;Tmax, NOT('6 Mic'!$H37="")),'6 Mic'!$H37,4)</f>
        <v>4</v>
      </c>
      <c r="AH37">
        <f>IF(AND('6 Mic'!F37&lt;Tmax, NOT('6 Mic'!$H37="")),'6 Mic'!$H37,4)</f>
        <v>4</v>
      </c>
      <c r="AI37"/>
    </row>
    <row r="38" spans="1:35" x14ac:dyDescent="0.25">
      <c r="A38" s="327" t="s">
        <v>1372</v>
      </c>
      <c r="B38" s="128" t="s">
        <v>296</v>
      </c>
      <c r="C38" s="243">
        <v>0</v>
      </c>
      <c r="E38" s="304"/>
      <c r="F38" s="304"/>
      <c r="G38" s="133">
        <v>3</v>
      </c>
      <c r="H38" s="133"/>
      <c r="I38" s="136"/>
      <c r="J38" s="135"/>
      <c r="K38" t="s">
        <v>7494</v>
      </c>
      <c r="AA38">
        <f>IF(AND('6 Mic'!C38&gt;Tmin, NOT('6 Mic'!$I38="")),'6 Mic'!$I38,0)</f>
        <v>0</v>
      </c>
      <c r="AB38">
        <f>IF(AND('6 Mic'!D38&gt;Tmin, NOT('6 Mic'!$I38="")),'6 Mic'!$I38,0)</f>
        <v>0</v>
      </c>
      <c r="AC38">
        <f>IF(AND('6 Mic'!E38&gt;Tmin, NOT('6 Mic'!$I38="")),'6 Mic'!$I38,0)</f>
        <v>0</v>
      </c>
      <c r="AD38">
        <f>IF(AND('6 Mic'!F38&gt;Tmin, NOT('6 Mic'!$I38="")),'6 Mic'!$I38,0)</f>
        <v>0</v>
      </c>
      <c r="AE38">
        <f>IF(AND('6 Mic'!C38&lt;Tmax, NOT('6 Mic'!$H38="")),'6 Mic'!$H38,4)</f>
        <v>4</v>
      </c>
      <c r="AF38">
        <f>IF(AND('6 Mic'!D38&lt;Tmax, NOT('6 Mic'!$H38="")),'6 Mic'!$H38,4)</f>
        <v>4</v>
      </c>
      <c r="AG38">
        <f>IF(AND('6 Mic'!E38&lt;Tmax, NOT('6 Mic'!$H38="")),'6 Mic'!$H38,4)</f>
        <v>4</v>
      </c>
      <c r="AH38">
        <f>IF(AND('6 Mic'!F38&lt;Tmax, NOT('6 Mic'!$H38="")),'6 Mic'!$H38,4)</f>
        <v>4</v>
      </c>
      <c r="AI38"/>
    </row>
    <row r="39" spans="1:35" ht="20.399999999999999" x14ac:dyDescent="0.25">
      <c r="A39" s="327" t="s">
        <v>647</v>
      </c>
      <c r="B39" s="128" t="s">
        <v>384</v>
      </c>
      <c r="C39" s="243"/>
      <c r="E39" s="304"/>
      <c r="F39" s="304"/>
      <c r="G39" s="133"/>
      <c r="H39" s="133"/>
      <c r="I39" s="136"/>
      <c r="J39" s="135"/>
      <c r="K39" s="135"/>
      <c r="AA39"/>
      <c r="AB39"/>
      <c r="AC39"/>
      <c r="AD39"/>
      <c r="AE39"/>
      <c r="AF39"/>
      <c r="AG39"/>
      <c r="AH39"/>
      <c r="AI39"/>
    </row>
    <row r="40" spans="1:35" ht="51" x14ac:dyDescent="0.25">
      <c r="A40" s="327" t="s">
        <v>1373</v>
      </c>
      <c r="B40" s="128" t="s">
        <v>1545</v>
      </c>
      <c r="C40" s="243"/>
      <c r="E40" s="304"/>
      <c r="F40" s="304"/>
      <c r="G40" s="133">
        <v>4</v>
      </c>
      <c r="H40" s="133">
        <v>3</v>
      </c>
      <c r="I40" s="136"/>
      <c r="J40" s="135"/>
      <c r="K40" s="135"/>
      <c r="AA40">
        <f>IF(AND('6 Mic'!C40&gt;Tmin, NOT('6 Mic'!$I40="")),'6 Mic'!$I40,0)</f>
        <v>0</v>
      </c>
      <c r="AB40">
        <f>IF(AND('6 Mic'!D40&gt;Tmin, NOT('6 Mic'!$I40="")),'6 Mic'!$I40,0)</f>
        <v>0</v>
      </c>
      <c r="AC40">
        <f>IF(AND('6 Mic'!E40&gt;Tmin, NOT('6 Mic'!$I40="")),'6 Mic'!$I40,0)</f>
        <v>0</v>
      </c>
      <c r="AD40">
        <f>IF(AND('6 Mic'!F40&gt;Tmin, NOT('6 Mic'!$I40="")),'6 Mic'!$I40,0)</f>
        <v>0</v>
      </c>
      <c r="AE40">
        <f>IF(AND('6 Mic'!C40&lt;Tmax, NOT('6 Mic'!$H40="")),'6 Mic'!$H40,4)</f>
        <v>3</v>
      </c>
      <c r="AF40">
        <f>IF(AND('6 Mic'!D40&lt;Tmax, NOT('6 Mic'!$H40="")),'6 Mic'!$H40,4)</f>
        <v>3</v>
      </c>
      <c r="AG40">
        <f>IF(AND('6 Mic'!E40&lt;Tmax, NOT('6 Mic'!$H40="")),'6 Mic'!$H40,4)</f>
        <v>3</v>
      </c>
      <c r="AH40">
        <f>IF(AND('6 Mic'!F40&lt;Tmax, NOT('6 Mic'!$H40="")),'6 Mic'!$H40,4)</f>
        <v>3</v>
      </c>
      <c r="AI40"/>
    </row>
    <row r="41" spans="1:35" ht="40.799999999999997" x14ac:dyDescent="0.25">
      <c r="A41" s="327" t="s">
        <v>1374</v>
      </c>
      <c r="B41" s="128" t="s">
        <v>6778</v>
      </c>
      <c r="C41" s="243"/>
      <c r="E41" s="304"/>
      <c r="F41" s="304"/>
      <c r="G41" s="133">
        <v>4</v>
      </c>
      <c r="H41" s="133">
        <v>3</v>
      </c>
      <c r="I41" s="136"/>
      <c r="J41" s="135"/>
      <c r="K41" s="135"/>
      <c r="AA41">
        <f>IF(AND('6 Mic'!C41&gt;Tmin, NOT('6 Mic'!$I41="")),'6 Mic'!$I41,0)</f>
        <v>0</v>
      </c>
      <c r="AB41">
        <f>IF(AND('6 Mic'!D41&gt;Tmin, NOT('6 Mic'!$I41="")),'6 Mic'!$I41,0)</f>
        <v>0</v>
      </c>
      <c r="AC41">
        <f>IF(AND('6 Mic'!E41&gt;Tmin, NOT('6 Mic'!$I41="")),'6 Mic'!$I41,0)</f>
        <v>0</v>
      </c>
      <c r="AD41">
        <f>IF(AND('6 Mic'!F41&gt;Tmin, NOT('6 Mic'!$I41="")),'6 Mic'!$I41,0)</f>
        <v>0</v>
      </c>
      <c r="AE41">
        <f>IF(AND('6 Mic'!C41&lt;Tmax, NOT('6 Mic'!$H41="")),'6 Mic'!$H41,4)</f>
        <v>3</v>
      </c>
      <c r="AF41">
        <f>IF(AND('6 Mic'!D41&lt;Tmax, NOT('6 Mic'!$H41="")),'6 Mic'!$H41,4)</f>
        <v>3</v>
      </c>
      <c r="AG41">
        <f>IF(AND('6 Mic'!E41&lt;Tmax, NOT('6 Mic'!$H41="")),'6 Mic'!$H41,4)</f>
        <v>3</v>
      </c>
      <c r="AH41">
        <f>IF(AND('6 Mic'!F41&lt;Tmax, NOT('6 Mic'!$H41="")),'6 Mic'!$H41,4)</f>
        <v>3</v>
      </c>
      <c r="AI41"/>
    </row>
    <row r="42" spans="1:35" x14ac:dyDescent="0.25">
      <c r="A42" s="327" t="s">
        <v>1375</v>
      </c>
      <c r="B42" s="128" t="s">
        <v>1546</v>
      </c>
      <c r="C42" s="243"/>
      <c r="E42" s="304"/>
      <c r="F42" s="304"/>
      <c r="G42" s="133">
        <v>4</v>
      </c>
      <c r="H42" s="133">
        <v>3</v>
      </c>
      <c r="I42" s="136"/>
      <c r="J42" s="135"/>
      <c r="K42" s="135"/>
      <c r="AA42">
        <f>IF(AND('6 Mic'!C42&gt;Tmin, NOT('6 Mic'!$I42="")),'6 Mic'!$I42,0)</f>
        <v>0</v>
      </c>
      <c r="AB42">
        <f>IF(AND('6 Mic'!D42&gt;Tmin, NOT('6 Mic'!$I42="")),'6 Mic'!$I42,0)</f>
        <v>0</v>
      </c>
      <c r="AC42">
        <f>IF(AND('6 Mic'!E42&gt;Tmin, NOT('6 Mic'!$I42="")),'6 Mic'!$I42,0)</f>
        <v>0</v>
      </c>
      <c r="AD42">
        <f>IF(AND('6 Mic'!F42&gt;Tmin, NOT('6 Mic'!$I42="")),'6 Mic'!$I42,0)</f>
        <v>0</v>
      </c>
      <c r="AE42">
        <f>IF(AND('6 Mic'!C42&lt;Tmax, NOT('6 Mic'!$H42="")),'6 Mic'!$H42,4)</f>
        <v>3</v>
      </c>
      <c r="AF42">
        <f>IF(AND('6 Mic'!D42&lt;Tmax, NOT('6 Mic'!$H42="")),'6 Mic'!$H42,4)</f>
        <v>3</v>
      </c>
      <c r="AG42">
        <f>IF(AND('6 Mic'!E42&lt;Tmax, NOT('6 Mic'!$H42="")),'6 Mic'!$H42,4)</f>
        <v>3</v>
      </c>
      <c r="AH42">
        <f>IF(AND('6 Mic'!F42&lt;Tmax, NOT('6 Mic'!$H42="")),'6 Mic'!$H42,4)</f>
        <v>3</v>
      </c>
      <c r="AI42"/>
    </row>
    <row r="43" spans="1:35" x14ac:dyDescent="0.25">
      <c r="A43" s="327" t="s">
        <v>1376</v>
      </c>
      <c r="B43" s="128" t="s">
        <v>117</v>
      </c>
      <c r="C43" s="243"/>
      <c r="E43" s="304"/>
      <c r="F43" s="304"/>
      <c r="G43" s="133">
        <v>3</v>
      </c>
      <c r="H43" s="133"/>
      <c r="I43" s="136"/>
      <c r="J43" s="135"/>
      <c r="K43" s="135"/>
      <c r="AA43">
        <f>IF(AND('6 Mic'!C43&gt;Tmin, NOT('6 Mic'!$I43="")),'6 Mic'!$I43,0)</f>
        <v>0</v>
      </c>
      <c r="AB43">
        <f>IF(AND('6 Mic'!D43&gt;Tmin, NOT('6 Mic'!$I43="")),'6 Mic'!$I43,0)</f>
        <v>0</v>
      </c>
      <c r="AC43">
        <f>IF(AND('6 Mic'!E43&gt;Tmin, NOT('6 Mic'!$I43="")),'6 Mic'!$I43,0)</f>
        <v>0</v>
      </c>
      <c r="AD43">
        <f>IF(AND('6 Mic'!F43&gt;Tmin, NOT('6 Mic'!$I43="")),'6 Mic'!$I43,0)</f>
        <v>0</v>
      </c>
      <c r="AE43">
        <f>IF(AND('6 Mic'!C43&lt;Tmax, NOT('6 Mic'!$H43="")),'6 Mic'!$H43,4)</f>
        <v>4</v>
      </c>
      <c r="AF43">
        <f>IF(AND('6 Mic'!D43&lt;Tmax, NOT('6 Mic'!$H43="")),'6 Mic'!$H43,4)</f>
        <v>4</v>
      </c>
      <c r="AG43">
        <f>IF(AND('6 Mic'!E43&lt;Tmax, NOT('6 Mic'!$H43="")),'6 Mic'!$H43,4)</f>
        <v>4</v>
      </c>
      <c r="AH43">
        <f>IF(AND('6 Mic'!F43&lt;Tmax, NOT('6 Mic'!$H43="")),'6 Mic'!$H43,4)</f>
        <v>4</v>
      </c>
      <c r="AI43"/>
    </row>
    <row r="44" spans="1:35" ht="20.399999999999999" x14ac:dyDescent="0.25">
      <c r="A44" s="327" t="s">
        <v>1377</v>
      </c>
      <c r="B44" s="128" t="s">
        <v>6779</v>
      </c>
      <c r="C44" s="243"/>
      <c r="E44" s="304"/>
      <c r="F44" s="304"/>
      <c r="G44" s="133">
        <v>4</v>
      </c>
      <c r="H44" s="133"/>
      <c r="I44" s="136"/>
      <c r="J44" s="135"/>
      <c r="K44" s="135"/>
      <c r="AA44">
        <f>IF(AND('6 Mic'!C44&gt;Tmin, NOT('6 Mic'!$I44="")),'6 Mic'!$I44,0)</f>
        <v>0</v>
      </c>
      <c r="AB44">
        <f>IF(AND('6 Mic'!D44&gt;Tmin, NOT('6 Mic'!$I44="")),'6 Mic'!$I44,0)</f>
        <v>0</v>
      </c>
      <c r="AC44">
        <f>IF(AND('6 Mic'!E44&gt;Tmin, NOT('6 Mic'!$I44="")),'6 Mic'!$I44,0)</f>
        <v>0</v>
      </c>
      <c r="AD44">
        <f>IF(AND('6 Mic'!F44&gt;Tmin, NOT('6 Mic'!$I44="")),'6 Mic'!$I44,0)</f>
        <v>0</v>
      </c>
      <c r="AE44">
        <f>IF(AND('6 Mic'!C44&lt;Tmax, NOT('6 Mic'!$H44="")),'6 Mic'!$H44,4)</f>
        <v>4</v>
      </c>
      <c r="AF44">
        <f>IF(AND('6 Mic'!D44&lt;Tmax, NOT('6 Mic'!$H44="")),'6 Mic'!$H44,4)</f>
        <v>4</v>
      </c>
      <c r="AG44">
        <f>IF(AND('6 Mic'!E44&lt;Tmax, NOT('6 Mic'!$H44="")),'6 Mic'!$H44,4)</f>
        <v>4</v>
      </c>
      <c r="AH44">
        <f>IF(AND('6 Mic'!F44&lt;Tmax, NOT('6 Mic'!$H44="")),'6 Mic'!$H44,4)</f>
        <v>4</v>
      </c>
      <c r="AI44"/>
    </row>
    <row r="45" spans="1:35" ht="20.399999999999999" x14ac:dyDescent="0.25">
      <c r="A45" s="327" t="s">
        <v>1378</v>
      </c>
      <c r="B45" s="128" t="s">
        <v>3243</v>
      </c>
      <c r="C45" s="243"/>
      <c r="E45" s="243"/>
      <c r="F45" s="304"/>
      <c r="G45" s="133">
        <v>4</v>
      </c>
      <c r="H45" s="133"/>
      <c r="I45" s="136"/>
      <c r="J45" s="135"/>
      <c r="K45" s="135"/>
      <c r="AA45">
        <f>IF(AND('6 Mic'!C45&gt;Tmin, NOT('6 Mic'!$I45="")),'6 Mic'!$I45,0)</f>
        <v>0</v>
      </c>
      <c r="AB45">
        <f>IF(AND('6 Mic'!D45&gt;Tmin, NOT('6 Mic'!$I45="")),'6 Mic'!$I45,0)</f>
        <v>0</v>
      </c>
      <c r="AC45">
        <f>IF(AND('6 Mic'!E45&gt;Tmin, NOT('6 Mic'!$I45="")),'6 Mic'!$I45,0)</f>
        <v>0</v>
      </c>
      <c r="AD45">
        <f>IF(AND('6 Mic'!F45&gt;Tmin, NOT('6 Mic'!$I45="")),'6 Mic'!$I45,0)</f>
        <v>0</v>
      </c>
      <c r="AE45">
        <f>IF(AND('6 Mic'!C45&lt;Tmax, NOT('6 Mic'!$H45="")),'6 Mic'!$H45,4)</f>
        <v>4</v>
      </c>
      <c r="AF45">
        <f>IF(AND('6 Mic'!D45&lt;Tmax, NOT('6 Mic'!$H45="")),'6 Mic'!$H45,4)</f>
        <v>4</v>
      </c>
      <c r="AG45">
        <f>IF(AND('6 Mic'!E45&lt;Tmax, NOT('6 Mic'!$H45="")),'6 Mic'!$H45,4)</f>
        <v>4</v>
      </c>
      <c r="AH45">
        <f>IF(AND('6 Mic'!F45&lt;Tmax, NOT('6 Mic'!$H45="")),'6 Mic'!$H45,4)</f>
        <v>4</v>
      </c>
      <c r="AI45"/>
    </row>
    <row r="46" spans="1:35" ht="20.399999999999999" x14ac:dyDescent="0.25">
      <c r="A46" s="327" t="s">
        <v>1547</v>
      </c>
      <c r="B46" s="128" t="s">
        <v>254</v>
      </c>
      <c r="C46" s="243"/>
      <c r="E46" s="304"/>
      <c r="F46" s="304"/>
      <c r="G46" s="133">
        <v>2</v>
      </c>
      <c r="H46" s="133"/>
      <c r="I46" s="136"/>
      <c r="J46" s="135"/>
      <c r="K46" s="135"/>
      <c r="AA46">
        <f>IF(AND('6 Mic'!C46&gt;Tmin, NOT('6 Mic'!$I46="")),'6 Mic'!$I46,0)</f>
        <v>0</v>
      </c>
      <c r="AB46">
        <f>IF(AND('6 Mic'!D46&gt;Tmin, NOT('6 Mic'!$I46="")),'6 Mic'!$I46,0)</f>
        <v>0</v>
      </c>
      <c r="AC46">
        <f>IF(AND('6 Mic'!E46&gt;Tmin, NOT('6 Mic'!$I46="")),'6 Mic'!$I46,0)</f>
        <v>0</v>
      </c>
      <c r="AD46">
        <f>IF(AND('6 Mic'!F46&gt;Tmin, NOT('6 Mic'!$I46="")),'6 Mic'!$I46,0)</f>
        <v>0</v>
      </c>
      <c r="AE46">
        <f>IF(AND('6 Mic'!C46&lt;Tmax, NOT('6 Mic'!$H46="")),'6 Mic'!$H46,4)</f>
        <v>4</v>
      </c>
      <c r="AF46">
        <f>IF(AND('6 Mic'!D46&lt;Tmax, NOT('6 Mic'!$H46="")),'6 Mic'!$H46,4)</f>
        <v>4</v>
      </c>
      <c r="AG46">
        <f>IF(AND('6 Mic'!E46&lt;Tmax, NOT('6 Mic'!$H46="")),'6 Mic'!$H46,4)</f>
        <v>4</v>
      </c>
      <c r="AH46">
        <f>IF(AND('6 Mic'!F46&lt;Tmax, NOT('6 Mic'!$H46="")),'6 Mic'!$H46,4)</f>
        <v>4</v>
      </c>
      <c r="AI46"/>
    </row>
    <row r="47" spans="1:35" x14ac:dyDescent="0.25">
      <c r="A47" s="327" t="s">
        <v>4589</v>
      </c>
      <c r="B47" s="128" t="s">
        <v>339</v>
      </c>
      <c r="C47" s="243"/>
      <c r="E47" s="304"/>
      <c r="F47" s="304"/>
      <c r="G47" s="133">
        <v>3</v>
      </c>
      <c r="H47" s="133"/>
      <c r="I47" s="136"/>
      <c r="J47" s="135"/>
      <c r="K47" s="135"/>
      <c r="AA47">
        <f>IF(AND('6 Mic'!C47&gt;Tmin, NOT('6 Mic'!$I47="")),'6 Mic'!$I47,0)</f>
        <v>0</v>
      </c>
      <c r="AB47">
        <f>IF(AND('6 Mic'!D47&gt;Tmin, NOT('6 Mic'!$I47="")),'6 Mic'!$I47,0)</f>
        <v>0</v>
      </c>
      <c r="AC47">
        <f>IF(AND('6 Mic'!E47&gt;Tmin, NOT('6 Mic'!$I47="")),'6 Mic'!$I47,0)</f>
        <v>0</v>
      </c>
      <c r="AD47">
        <f>IF(AND('6 Mic'!F47&gt;Tmin, NOT('6 Mic'!$I47="")),'6 Mic'!$I47,0)</f>
        <v>0</v>
      </c>
      <c r="AE47">
        <f>IF(AND('6 Mic'!C47&lt;Tmax, NOT('6 Mic'!$H47="")),'6 Mic'!$H47,4)</f>
        <v>4</v>
      </c>
      <c r="AF47">
        <f>IF(AND('6 Mic'!D47&lt;Tmax, NOT('6 Mic'!$H47="")),'6 Mic'!$H47,4)</f>
        <v>4</v>
      </c>
      <c r="AG47">
        <f>IF(AND('6 Mic'!E47&lt;Tmax, NOT('6 Mic'!$H47="")),'6 Mic'!$H47,4)</f>
        <v>4</v>
      </c>
      <c r="AH47">
        <f>IF(AND('6 Mic'!F47&lt;Tmax, NOT('6 Mic'!$H47="")),'6 Mic'!$H47,4)</f>
        <v>4</v>
      </c>
      <c r="AI47"/>
    </row>
    <row r="48" spans="1:35" x14ac:dyDescent="0.25">
      <c r="A48" s="327" t="s">
        <v>648</v>
      </c>
      <c r="B48" s="128" t="s">
        <v>28</v>
      </c>
      <c r="C48" s="243"/>
      <c r="E48" s="304"/>
      <c r="F48" s="304"/>
      <c r="G48" s="133"/>
      <c r="H48" s="133"/>
      <c r="I48" s="136"/>
      <c r="J48" s="135"/>
      <c r="K48" s="135"/>
      <c r="AA48"/>
      <c r="AB48"/>
      <c r="AC48"/>
      <c r="AD48"/>
      <c r="AE48"/>
      <c r="AF48"/>
      <c r="AG48"/>
      <c r="AH48"/>
      <c r="AI48"/>
    </row>
    <row r="49" spans="1:35" ht="39.6" x14ac:dyDescent="0.25">
      <c r="A49" s="327" t="s">
        <v>1379</v>
      </c>
      <c r="B49" s="128" t="s">
        <v>2316</v>
      </c>
      <c r="C49" s="243">
        <v>0</v>
      </c>
      <c r="E49" s="304"/>
      <c r="F49" s="304"/>
      <c r="G49" s="133">
        <v>2</v>
      </c>
      <c r="H49" s="133"/>
      <c r="I49" s="136"/>
      <c r="J49" s="135"/>
      <c r="K49" t="s">
        <v>7497</v>
      </c>
      <c r="AA49">
        <f>IF(AND('6 Mic'!C49&gt;Tmin, NOT('6 Mic'!$I49="")),'6 Mic'!$I49,0)</f>
        <v>0</v>
      </c>
      <c r="AB49">
        <f>IF(AND('6 Mic'!D49&gt;Tmin, NOT('6 Mic'!$I49="")),'6 Mic'!$I49,0)</f>
        <v>0</v>
      </c>
      <c r="AC49">
        <f>IF(AND('6 Mic'!E49&gt;Tmin, NOT('6 Mic'!$I49="")),'6 Mic'!$I49,0)</f>
        <v>0</v>
      </c>
      <c r="AD49">
        <f>IF(AND('6 Mic'!F49&gt;Tmin, NOT('6 Mic'!$I49="")),'6 Mic'!$I49,0)</f>
        <v>0</v>
      </c>
      <c r="AE49">
        <f>IF(AND('6 Mic'!C49&lt;Tmax, NOT('6 Mic'!$H49="")),'6 Mic'!$H49,4)</f>
        <v>4</v>
      </c>
      <c r="AF49">
        <f>IF(AND('6 Mic'!D49&lt;Tmax, NOT('6 Mic'!$H49="")),'6 Mic'!$H49,4)</f>
        <v>4</v>
      </c>
      <c r="AG49">
        <f>IF(AND('6 Mic'!E49&lt;Tmax, NOT('6 Mic'!$H49="")),'6 Mic'!$H49,4)</f>
        <v>4</v>
      </c>
      <c r="AH49">
        <f>IF(AND('6 Mic'!F49&lt;Tmax, NOT('6 Mic'!$H49="")),'6 Mic'!$H49,4)</f>
        <v>4</v>
      </c>
      <c r="AI49"/>
    </row>
    <row r="50" spans="1:35" ht="30.6" x14ac:dyDescent="0.25">
      <c r="A50" s="327" t="s">
        <v>1380</v>
      </c>
      <c r="B50" s="128" t="s">
        <v>118</v>
      </c>
      <c r="C50" s="243">
        <v>0</v>
      </c>
      <c r="E50" s="304"/>
      <c r="F50" s="304"/>
      <c r="G50" s="133">
        <v>2</v>
      </c>
      <c r="H50" s="133"/>
      <c r="I50" s="136"/>
      <c r="J50" s="135"/>
      <c r="K50" t="s">
        <v>7494</v>
      </c>
      <c r="AA50">
        <f>IF(AND('6 Mic'!C50&gt;Tmin, NOT('6 Mic'!$I50="")),'6 Mic'!$I50,0)</f>
        <v>0</v>
      </c>
      <c r="AB50">
        <f>IF(AND('6 Mic'!D50&gt;Tmin, NOT('6 Mic'!$I50="")),'6 Mic'!$I50,0)</f>
        <v>0</v>
      </c>
      <c r="AC50">
        <f>IF(AND('6 Mic'!E50&gt;Tmin, NOT('6 Mic'!$I50="")),'6 Mic'!$I50,0)</f>
        <v>0</v>
      </c>
      <c r="AD50">
        <f>IF(AND('6 Mic'!F50&gt;Tmin, NOT('6 Mic'!$I50="")),'6 Mic'!$I50,0)</f>
        <v>0</v>
      </c>
      <c r="AE50">
        <f>IF(AND('6 Mic'!C50&lt;Tmax, NOT('6 Mic'!$H50="")),'6 Mic'!$H50,4)</f>
        <v>4</v>
      </c>
      <c r="AF50">
        <f>IF(AND('6 Mic'!D50&lt;Tmax, NOT('6 Mic'!$H50="")),'6 Mic'!$H50,4)</f>
        <v>4</v>
      </c>
      <c r="AG50">
        <f>IF(AND('6 Mic'!E50&lt;Tmax, NOT('6 Mic'!$H50="")),'6 Mic'!$H50,4)</f>
        <v>4</v>
      </c>
      <c r="AH50">
        <f>IF(AND('6 Mic'!F50&lt;Tmax, NOT('6 Mic'!$H50="")),'6 Mic'!$H50,4)</f>
        <v>4</v>
      </c>
      <c r="AI50"/>
    </row>
    <row r="51" spans="1:35" ht="20.399999999999999" x14ac:dyDescent="0.25">
      <c r="A51" s="327" t="s">
        <v>1381</v>
      </c>
      <c r="B51" s="128" t="s">
        <v>190</v>
      </c>
      <c r="C51" s="243">
        <v>0</v>
      </c>
      <c r="E51" s="304"/>
      <c r="F51" s="304"/>
      <c r="G51" s="133">
        <v>3</v>
      </c>
      <c r="H51" s="133">
        <v>3</v>
      </c>
      <c r="I51" s="136"/>
      <c r="J51" s="135"/>
      <c r="K51" s="135" t="s">
        <v>7494</v>
      </c>
      <c r="AA51">
        <f>IF(AND('6 Mic'!C51&gt;Tmin, NOT('6 Mic'!$I51="")),'6 Mic'!$I51,0)</f>
        <v>0</v>
      </c>
      <c r="AB51">
        <f>IF(AND('6 Mic'!D51&gt;Tmin, NOT('6 Mic'!$I51="")),'6 Mic'!$I51,0)</f>
        <v>0</v>
      </c>
      <c r="AC51">
        <f>IF(AND('6 Mic'!E51&gt;Tmin, NOT('6 Mic'!$I51="")),'6 Mic'!$I51,0)</f>
        <v>0</v>
      </c>
      <c r="AD51">
        <f>IF(AND('6 Mic'!F51&gt;Tmin, NOT('6 Mic'!$I51="")),'6 Mic'!$I51,0)</f>
        <v>0</v>
      </c>
      <c r="AE51">
        <f>IF(AND('6 Mic'!C51&lt;Tmax, NOT('6 Mic'!$H51="")),'6 Mic'!$H51,4)</f>
        <v>3</v>
      </c>
      <c r="AF51">
        <f>IF(AND('6 Mic'!D51&lt;Tmax, NOT('6 Mic'!$H51="")),'6 Mic'!$H51,4)</f>
        <v>3</v>
      </c>
      <c r="AG51">
        <f>IF(AND('6 Mic'!E51&lt;Tmax, NOT('6 Mic'!$H51="")),'6 Mic'!$H51,4)</f>
        <v>3</v>
      </c>
      <c r="AH51">
        <f>IF(AND('6 Mic'!F51&lt;Tmax, NOT('6 Mic'!$H51="")),'6 Mic'!$H51,4)</f>
        <v>3</v>
      </c>
      <c r="AI51"/>
    </row>
    <row r="52" spans="1:35" ht="39.6" x14ac:dyDescent="0.25">
      <c r="A52" s="327" t="s">
        <v>1382</v>
      </c>
      <c r="B52" s="128" t="s">
        <v>2317</v>
      </c>
      <c r="C52" s="243">
        <v>0</v>
      </c>
      <c r="E52" s="304"/>
      <c r="F52" s="304"/>
      <c r="G52" s="133">
        <v>2</v>
      </c>
      <c r="H52" s="133"/>
      <c r="I52" s="136"/>
      <c r="J52" s="135"/>
      <c r="K52" t="s">
        <v>7525</v>
      </c>
      <c r="AA52">
        <f>IF(AND('6 Mic'!C52&gt;Tmin, NOT('6 Mic'!$I52="")),'6 Mic'!$I52,0)</f>
        <v>0</v>
      </c>
      <c r="AB52">
        <f>IF(AND('6 Mic'!D52&gt;Tmin, NOT('6 Mic'!$I52="")),'6 Mic'!$I52,0)</f>
        <v>0</v>
      </c>
      <c r="AC52">
        <f>IF(AND('6 Mic'!E52&gt;Tmin, NOT('6 Mic'!$I52="")),'6 Mic'!$I52,0)</f>
        <v>0</v>
      </c>
      <c r="AD52">
        <f>IF(AND('6 Mic'!F52&gt;Tmin, NOT('6 Mic'!$I52="")),'6 Mic'!$I52,0)</f>
        <v>0</v>
      </c>
      <c r="AE52">
        <f>IF(AND('6 Mic'!C52&lt;Tmax, NOT('6 Mic'!$H52="")),'6 Mic'!$H52,4)</f>
        <v>4</v>
      </c>
      <c r="AF52">
        <f>IF(AND('6 Mic'!D52&lt;Tmax, NOT('6 Mic'!$H52="")),'6 Mic'!$H52,4)</f>
        <v>4</v>
      </c>
      <c r="AG52">
        <f>IF(AND('6 Mic'!E52&lt;Tmax, NOT('6 Mic'!$H52="")),'6 Mic'!$H52,4)</f>
        <v>4</v>
      </c>
      <c r="AH52">
        <f>IF(AND('6 Mic'!F52&lt;Tmax, NOT('6 Mic'!$H52="")),'6 Mic'!$H52,4)</f>
        <v>4</v>
      </c>
      <c r="AI52"/>
    </row>
    <row r="53" spans="1:35" x14ac:dyDescent="0.25">
      <c r="A53" s="327" t="s">
        <v>1383</v>
      </c>
      <c r="B53" s="128" t="s">
        <v>119</v>
      </c>
      <c r="C53" s="243">
        <v>0</v>
      </c>
      <c r="E53" s="304"/>
      <c r="F53" s="304"/>
      <c r="G53" s="133">
        <v>3</v>
      </c>
      <c r="H53" s="133">
        <v>3</v>
      </c>
      <c r="I53" s="136"/>
      <c r="J53" s="135"/>
      <c r="K53" t="s">
        <v>7494</v>
      </c>
      <c r="AA53">
        <f>IF(AND('6 Mic'!C53&gt;Tmin, NOT('6 Mic'!$I53="")),'6 Mic'!$I53,0)</f>
        <v>0</v>
      </c>
      <c r="AB53">
        <f>IF(AND('6 Mic'!D53&gt;Tmin, NOT('6 Mic'!$I53="")),'6 Mic'!$I53,0)</f>
        <v>0</v>
      </c>
      <c r="AC53">
        <f>IF(AND('6 Mic'!E53&gt;Tmin, NOT('6 Mic'!$I53="")),'6 Mic'!$I53,0)</f>
        <v>0</v>
      </c>
      <c r="AD53">
        <f>IF(AND('6 Mic'!F53&gt;Tmin, NOT('6 Mic'!$I53="")),'6 Mic'!$I53,0)</f>
        <v>0</v>
      </c>
      <c r="AE53">
        <f>IF(AND('6 Mic'!C53&lt;Tmax, NOT('6 Mic'!$H53="")),'6 Mic'!$H53,4)</f>
        <v>3</v>
      </c>
      <c r="AF53">
        <f>IF(AND('6 Mic'!D53&lt;Tmax, NOT('6 Mic'!$H53="")),'6 Mic'!$H53,4)</f>
        <v>3</v>
      </c>
      <c r="AG53">
        <f>IF(AND('6 Mic'!E53&lt;Tmax, NOT('6 Mic'!$H53="")),'6 Mic'!$H53,4)</f>
        <v>3</v>
      </c>
      <c r="AH53">
        <f>IF(AND('6 Mic'!F53&lt;Tmax, NOT('6 Mic'!$H53="")),'6 Mic'!$H53,4)</f>
        <v>3</v>
      </c>
      <c r="AI53"/>
    </row>
    <row r="54" spans="1:35" x14ac:dyDescent="0.25">
      <c r="A54" s="327" t="s">
        <v>1384</v>
      </c>
      <c r="B54" s="128" t="s">
        <v>4382</v>
      </c>
      <c r="C54" s="243">
        <v>0</v>
      </c>
      <c r="E54" s="304"/>
      <c r="F54" s="304"/>
      <c r="G54" s="133">
        <v>3</v>
      </c>
      <c r="H54" s="133">
        <v>3</v>
      </c>
      <c r="I54" s="136"/>
      <c r="J54" s="135"/>
      <c r="K54" s="135" t="s">
        <v>7526</v>
      </c>
      <c r="AA54">
        <f>IF(AND('6 Mic'!C54&gt;Tmin, NOT('6 Mic'!$I54="")),'6 Mic'!$I54,0)</f>
        <v>0</v>
      </c>
      <c r="AB54">
        <f>IF(AND('6 Mic'!D54&gt;Tmin, NOT('6 Mic'!$I54="")),'6 Mic'!$I54,0)</f>
        <v>0</v>
      </c>
      <c r="AC54">
        <f>IF(AND('6 Mic'!E54&gt;Tmin, NOT('6 Mic'!$I54="")),'6 Mic'!$I54,0)</f>
        <v>0</v>
      </c>
      <c r="AD54">
        <f>IF(AND('6 Mic'!F54&gt;Tmin, NOT('6 Mic'!$I54="")),'6 Mic'!$I54,0)</f>
        <v>0</v>
      </c>
      <c r="AE54">
        <f>IF(AND('6 Mic'!C54&lt;Tmax, NOT('6 Mic'!$H54="")),'6 Mic'!$H54,4)</f>
        <v>3</v>
      </c>
      <c r="AF54">
        <f>IF(AND('6 Mic'!D54&lt;Tmax, NOT('6 Mic'!$H54="")),'6 Mic'!$H54,4)</f>
        <v>3</v>
      </c>
      <c r="AG54">
        <f>IF(AND('6 Mic'!E54&lt;Tmax, NOT('6 Mic'!$H54="")),'6 Mic'!$H54,4)</f>
        <v>3</v>
      </c>
      <c r="AH54">
        <f>IF(AND('6 Mic'!F54&lt;Tmax, NOT('6 Mic'!$H54="")),'6 Mic'!$H54,4)</f>
        <v>3</v>
      </c>
      <c r="AI54"/>
    </row>
    <row r="55" spans="1:35" x14ac:dyDescent="0.25">
      <c r="A55" s="327" t="s">
        <v>1385</v>
      </c>
      <c r="B55" s="128" t="s">
        <v>308</v>
      </c>
      <c r="C55" s="1052">
        <v>0</v>
      </c>
      <c r="E55" s="1052"/>
      <c r="F55" s="304"/>
      <c r="G55" s="133">
        <v>3</v>
      </c>
      <c r="H55" s="133">
        <v>3</v>
      </c>
      <c r="I55" s="136"/>
      <c r="J55" s="135"/>
      <c r="K55" s="135" t="s">
        <v>7494</v>
      </c>
      <c r="AA55">
        <f>IF(AND('6 Mic'!C55&gt;Tmin, NOT('6 Mic'!$I55="")),'6 Mic'!$I55,0)</f>
        <v>0</v>
      </c>
      <c r="AB55">
        <f>IF(AND('6 Mic'!D55&gt;Tmin, NOT('6 Mic'!$I55="")),'6 Mic'!$I55,0)</f>
        <v>0</v>
      </c>
      <c r="AC55">
        <f>IF(AND('6 Mic'!E55&gt;Tmin, NOT('6 Mic'!$I55="")),'6 Mic'!$I55,0)</f>
        <v>0</v>
      </c>
      <c r="AD55">
        <f>IF(AND('6 Mic'!F55&gt;Tmin, NOT('6 Mic'!$I55="")),'6 Mic'!$I55,0)</f>
        <v>0</v>
      </c>
      <c r="AE55">
        <f>IF(AND('6 Mic'!C55&lt;Tmax, NOT('6 Mic'!$H55="")),'6 Mic'!$H55,4)</f>
        <v>3</v>
      </c>
      <c r="AF55">
        <f>IF(AND('6 Mic'!D55&lt;Tmax, NOT('6 Mic'!$H55="")),'6 Mic'!$H55,4)</f>
        <v>3</v>
      </c>
      <c r="AG55">
        <f>IF(AND('6 Mic'!E55&lt;Tmax, NOT('6 Mic'!$H55="")),'6 Mic'!$H55,4)</f>
        <v>3</v>
      </c>
      <c r="AH55">
        <f>IF(AND('6 Mic'!F55&lt;Tmax, NOT('6 Mic'!$H55="")),'6 Mic'!$H55,4)</f>
        <v>3</v>
      </c>
      <c r="AI55"/>
    </row>
    <row r="56" spans="1:35" ht="39" customHeight="1" x14ac:dyDescent="0.25">
      <c r="A56" s="327" t="s">
        <v>1386</v>
      </c>
      <c r="B56" s="128" t="s">
        <v>120</v>
      </c>
      <c r="C56" s="243">
        <v>0</v>
      </c>
      <c r="E56" s="304"/>
      <c r="F56" s="304"/>
      <c r="G56" s="133">
        <v>3</v>
      </c>
      <c r="H56" s="133"/>
      <c r="I56" s="136"/>
      <c r="J56" s="135"/>
      <c r="K56" s="135" t="s">
        <v>7497</v>
      </c>
      <c r="AA56">
        <f>IF(AND('6 Mic'!C56&gt;Tmin, NOT('6 Mic'!$I56="")),'6 Mic'!$I56,0)</f>
        <v>0</v>
      </c>
      <c r="AB56">
        <f>IF(AND('6 Mic'!D56&gt;Tmin, NOT('6 Mic'!$I56="")),'6 Mic'!$I56,0)</f>
        <v>0</v>
      </c>
      <c r="AC56">
        <f>IF(AND('6 Mic'!E56&gt;Tmin, NOT('6 Mic'!$I56="")),'6 Mic'!$I56,0)</f>
        <v>0</v>
      </c>
      <c r="AD56">
        <f>IF(AND('6 Mic'!F56&gt;Tmin, NOT('6 Mic'!$I56="")),'6 Mic'!$I56,0)</f>
        <v>0</v>
      </c>
      <c r="AE56">
        <f>IF(AND('6 Mic'!C56&lt;Tmax, NOT('6 Mic'!$H56="")),'6 Mic'!$H56,4)</f>
        <v>4</v>
      </c>
      <c r="AF56">
        <f>IF(AND('6 Mic'!D56&lt;Tmax, NOT('6 Mic'!$H56="")),'6 Mic'!$H56,4)</f>
        <v>4</v>
      </c>
      <c r="AG56">
        <f>IF(AND('6 Mic'!E56&lt;Tmax, NOT('6 Mic'!$H56="")),'6 Mic'!$H56,4)</f>
        <v>4</v>
      </c>
      <c r="AH56">
        <f>IF(AND('6 Mic'!F56&lt;Tmax, NOT('6 Mic'!$H56="")),'6 Mic'!$H56,4)</f>
        <v>4</v>
      </c>
      <c r="AI56"/>
    </row>
    <row r="57" spans="1:35" ht="20.399999999999999" x14ac:dyDescent="0.25">
      <c r="A57" s="327" t="s">
        <v>4383</v>
      </c>
      <c r="B57" s="128" t="s">
        <v>121</v>
      </c>
      <c r="C57" s="243">
        <v>0</v>
      </c>
      <c r="E57" s="304"/>
      <c r="F57" s="304"/>
      <c r="G57" s="133">
        <v>2</v>
      </c>
      <c r="H57" s="133"/>
      <c r="I57" s="136"/>
      <c r="J57" s="135"/>
      <c r="K57" s="135" t="s">
        <v>7494</v>
      </c>
      <c r="AA57">
        <f>IF(AND('6 Mic'!C57&gt;Tmin, NOT('6 Mic'!$I57="")),'6 Mic'!$I57,0)</f>
        <v>0</v>
      </c>
      <c r="AB57">
        <f>IF(AND('6 Mic'!D57&gt;Tmin, NOT('6 Mic'!$I57="")),'6 Mic'!$I57,0)</f>
        <v>0</v>
      </c>
      <c r="AC57">
        <f>IF(AND('6 Mic'!E57&gt;Tmin, NOT('6 Mic'!$I57="")),'6 Mic'!$I57,0)</f>
        <v>0</v>
      </c>
      <c r="AD57">
        <f>IF(AND('6 Mic'!F57&gt;Tmin, NOT('6 Mic'!$I57="")),'6 Mic'!$I57,0)</f>
        <v>0</v>
      </c>
      <c r="AE57">
        <f>IF(AND('6 Mic'!C57&lt;Tmax, NOT('6 Mic'!$H57="")),'6 Mic'!$H57,4)</f>
        <v>4</v>
      </c>
      <c r="AF57">
        <f>IF(AND('6 Mic'!D57&lt;Tmax, NOT('6 Mic'!$H57="")),'6 Mic'!$H57,4)</f>
        <v>4</v>
      </c>
      <c r="AG57">
        <f>IF(AND('6 Mic'!E57&lt;Tmax, NOT('6 Mic'!$H57="")),'6 Mic'!$H57,4)</f>
        <v>4</v>
      </c>
      <c r="AH57">
        <f>IF(AND('6 Mic'!F57&lt;Tmax, NOT('6 Mic'!$H57="")),'6 Mic'!$H57,4)</f>
        <v>4</v>
      </c>
      <c r="AI57"/>
    </row>
    <row r="58" spans="1:35" x14ac:dyDescent="0.25">
      <c r="A58" s="327" t="s">
        <v>649</v>
      </c>
      <c r="B58" s="128" t="s">
        <v>169</v>
      </c>
      <c r="C58" s="243"/>
      <c r="E58" s="304"/>
      <c r="F58" s="304"/>
      <c r="G58" s="133"/>
      <c r="H58" s="133"/>
      <c r="I58" s="136"/>
      <c r="J58" s="135"/>
      <c r="K58" s="135"/>
      <c r="AA58"/>
      <c r="AB58"/>
      <c r="AC58"/>
      <c r="AD58"/>
      <c r="AE58"/>
      <c r="AF58"/>
      <c r="AG58"/>
      <c r="AH58"/>
      <c r="AI58"/>
    </row>
    <row r="59" spans="1:35" x14ac:dyDescent="0.25">
      <c r="A59" s="327" t="s">
        <v>1387</v>
      </c>
      <c r="B59" s="128" t="s">
        <v>193</v>
      </c>
      <c r="C59" s="243"/>
      <c r="E59" s="304"/>
      <c r="F59" s="304"/>
      <c r="G59" s="133">
        <v>3</v>
      </c>
      <c r="H59" s="133"/>
      <c r="I59" s="136"/>
      <c r="J59" s="135"/>
      <c r="K59" s="135"/>
      <c r="AA59">
        <f>IF(AND('6 Mic'!C59&gt;Tmin, NOT('6 Mic'!$I59="")),'6 Mic'!$I59,0)</f>
        <v>0</v>
      </c>
      <c r="AB59">
        <f>IF(AND('6 Mic'!D59&gt;Tmin, NOT('6 Mic'!$I59="")),'6 Mic'!$I59,0)</f>
        <v>0</v>
      </c>
      <c r="AC59">
        <f>IF(AND('6 Mic'!E59&gt;Tmin, NOT('6 Mic'!$I59="")),'6 Mic'!$I59,0)</f>
        <v>0</v>
      </c>
      <c r="AD59">
        <f>IF(AND('6 Mic'!F59&gt;Tmin, NOT('6 Mic'!$I59="")),'6 Mic'!$I59,0)</f>
        <v>0</v>
      </c>
      <c r="AE59">
        <f>IF(AND('6 Mic'!C59&lt;Tmax, NOT('6 Mic'!$H59="")),'6 Mic'!$H59,4)</f>
        <v>4</v>
      </c>
      <c r="AF59">
        <f>IF(AND('6 Mic'!D59&lt;Tmax, NOT('6 Mic'!$H59="")),'6 Mic'!$H59,4)</f>
        <v>4</v>
      </c>
      <c r="AG59">
        <f>IF(AND('6 Mic'!E59&lt;Tmax, NOT('6 Mic'!$H59="")),'6 Mic'!$H59,4)</f>
        <v>4</v>
      </c>
      <c r="AH59">
        <f>IF(AND('6 Mic'!F59&lt;Tmax, NOT('6 Mic'!$H59="")),'6 Mic'!$H59,4)</f>
        <v>4</v>
      </c>
      <c r="AI59"/>
    </row>
    <row r="60" spans="1:35" ht="20.399999999999999" x14ac:dyDescent="0.25">
      <c r="A60" s="327" t="s">
        <v>1388</v>
      </c>
      <c r="B60" s="128" t="s">
        <v>114</v>
      </c>
      <c r="C60" s="243"/>
      <c r="E60" s="304"/>
      <c r="F60" s="304"/>
      <c r="G60" s="133">
        <v>4</v>
      </c>
      <c r="H60" s="133"/>
      <c r="I60" s="136"/>
      <c r="J60" s="135"/>
      <c r="K60" s="135"/>
      <c r="AA60">
        <f>IF(AND('6 Mic'!C60&gt;Tmin, NOT('6 Mic'!$I60="")),'6 Mic'!$I60,0)</f>
        <v>0</v>
      </c>
      <c r="AB60">
        <f>IF(AND('6 Mic'!D60&gt;Tmin, NOT('6 Mic'!$I60="")),'6 Mic'!$I60,0)</f>
        <v>0</v>
      </c>
      <c r="AC60">
        <f>IF(AND('6 Mic'!E60&gt;Tmin, NOT('6 Mic'!$I60="")),'6 Mic'!$I60,0)</f>
        <v>0</v>
      </c>
      <c r="AD60">
        <f>IF(AND('6 Mic'!F60&gt;Tmin, NOT('6 Mic'!$I60="")),'6 Mic'!$I60,0)</f>
        <v>0</v>
      </c>
      <c r="AE60">
        <f>IF(AND('6 Mic'!C60&lt;Tmax, NOT('6 Mic'!$H60="")),'6 Mic'!$H60,4)</f>
        <v>4</v>
      </c>
      <c r="AF60">
        <f>IF(AND('6 Mic'!D60&lt;Tmax, NOT('6 Mic'!$H60="")),'6 Mic'!$H60,4)</f>
        <v>4</v>
      </c>
      <c r="AG60">
        <f>IF(AND('6 Mic'!E60&lt;Tmax, NOT('6 Mic'!$H60="")),'6 Mic'!$H60,4)</f>
        <v>4</v>
      </c>
      <c r="AH60">
        <f>IF(AND('6 Mic'!F60&lt;Tmax, NOT('6 Mic'!$H60="")),'6 Mic'!$H60,4)</f>
        <v>4</v>
      </c>
      <c r="AI60"/>
    </row>
    <row r="61" spans="1:35" x14ac:dyDescent="0.25">
      <c r="A61" s="327" t="s">
        <v>1389</v>
      </c>
      <c r="B61" s="128" t="s">
        <v>165</v>
      </c>
      <c r="C61" s="243"/>
      <c r="E61" s="304"/>
      <c r="F61" s="304"/>
      <c r="G61" s="133">
        <v>4</v>
      </c>
      <c r="H61" s="133"/>
      <c r="I61" s="136"/>
      <c r="J61" s="135"/>
      <c r="K61" s="135"/>
      <c r="AA61">
        <f>IF(AND('6 Mic'!C61&gt;Tmin, NOT('6 Mic'!$I61="")),'6 Mic'!$I61,0)</f>
        <v>0</v>
      </c>
      <c r="AB61">
        <f>IF(AND('6 Mic'!D61&gt;Tmin, NOT('6 Mic'!$I61="")),'6 Mic'!$I61,0)</f>
        <v>0</v>
      </c>
      <c r="AC61">
        <f>IF(AND('6 Mic'!E61&gt;Tmin, NOT('6 Mic'!$I61="")),'6 Mic'!$I61,0)</f>
        <v>0</v>
      </c>
      <c r="AD61">
        <f>IF(AND('6 Mic'!F61&gt;Tmin, NOT('6 Mic'!$I61="")),'6 Mic'!$I61,0)</f>
        <v>0</v>
      </c>
      <c r="AE61">
        <f>IF(AND('6 Mic'!C61&lt;Tmax, NOT('6 Mic'!$H61="")),'6 Mic'!$H61,4)</f>
        <v>4</v>
      </c>
      <c r="AF61">
        <f>IF(AND('6 Mic'!D61&lt;Tmax, NOT('6 Mic'!$H61="")),'6 Mic'!$H61,4)</f>
        <v>4</v>
      </c>
      <c r="AG61">
        <f>IF(AND('6 Mic'!E61&lt;Tmax, NOT('6 Mic'!$H61="")),'6 Mic'!$H61,4)</f>
        <v>4</v>
      </c>
      <c r="AH61">
        <f>IF(AND('6 Mic'!F61&lt;Tmax, NOT('6 Mic'!$H61="")),'6 Mic'!$H61,4)</f>
        <v>4</v>
      </c>
      <c r="AI61"/>
    </row>
    <row r="62" spans="1:35" ht="20.399999999999999" x14ac:dyDescent="0.25">
      <c r="A62" s="327" t="s">
        <v>1390</v>
      </c>
      <c r="B62" s="128" t="s">
        <v>167</v>
      </c>
      <c r="C62" s="243"/>
      <c r="E62" s="304"/>
      <c r="F62" s="304"/>
      <c r="G62" s="133">
        <v>2</v>
      </c>
      <c r="H62" s="133"/>
      <c r="I62" s="136"/>
      <c r="J62" s="135"/>
      <c r="K62" s="135"/>
      <c r="AA62">
        <f>IF(AND('6 Mic'!C62&gt;Tmin, NOT('6 Mic'!$I62="")),'6 Mic'!$I62,0)</f>
        <v>0</v>
      </c>
      <c r="AB62">
        <f>IF(AND('6 Mic'!D62&gt;Tmin, NOT('6 Mic'!$I62="")),'6 Mic'!$I62,0)</f>
        <v>0</v>
      </c>
      <c r="AC62">
        <f>IF(AND('6 Mic'!E62&gt;Tmin, NOT('6 Mic'!$I62="")),'6 Mic'!$I62,0)</f>
        <v>0</v>
      </c>
      <c r="AD62">
        <f>IF(AND('6 Mic'!F62&gt;Tmin, NOT('6 Mic'!$I62="")),'6 Mic'!$I62,0)</f>
        <v>0</v>
      </c>
      <c r="AE62">
        <f>IF(AND('6 Mic'!C62&lt;Tmax, NOT('6 Mic'!$H62="")),'6 Mic'!$H62,4)</f>
        <v>4</v>
      </c>
      <c r="AF62">
        <f>IF(AND('6 Mic'!D62&lt;Tmax, NOT('6 Mic'!$H62="")),'6 Mic'!$H62,4)</f>
        <v>4</v>
      </c>
      <c r="AG62">
        <f>IF(AND('6 Mic'!E62&lt;Tmax, NOT('6 Mic'!$H62="")),'6 Mic'!$H62,4)</f>
        <v>4</v>
      </c>
      <c r="AH62">
        <f>IF(AND('6 Mic'!F62&lt;Tmax, NOT('6 Mic'!$H62="")),'6 Mic'!$H62,4)</f>
        <v>4</v>
      </c>
      <c r="AI62"/>
    </row>
    <row r="63" spans="1:35" ht="20.399999999999999" x14ac:dyDescent="0.25">
      <c r="A63" s="327" t="s">
        <v>1391</v>
      </c>
      <c r="B63" s="128" t="s">
        <v>168</v>
      </c>
      <c r="C63" s="243"/>
      <c r="F63" s="304"/>
      <c r="G63" s="133">
        <v>2</v>
      </c>
      <c r="H63" s="133"/>
      <c r="I63" s="136"/>
      <c r="J63" s="135"/>
      <c r="K63" s="135"/>
      <c r="AA63">
        <f>IF(AND('6 Mic'!C63&gt;Tmin, NOT('6 Mic'!$I63="")),'6 Mic'!$I63,0)</f>
        <v>0</v>
      </c>
      <c r="AB63">
        <f>IF(AND('6 Mic'!D63&gt;Tmin, NOT('6 Mic'!$I63="")),'6 Mic'!$I63,0)</f>
        <v>0</v>
      </c>
      <c r="AC63">
        <f>IF(AND('6 Mic'!E63&gt;Tmin, NOT('6 Mic'!$I63="")),'6 Mic'!$I63,0)</f>
        <v>0</v>
      </c>
      <c r="AD63">
        <f>IF(AND('6 Mic'!F63&gt;Tmin, NOT('6 Mic'!$I63="")),'6 Mic'!$I63,0)</f>
        <v>0</v>
      </c>
      <c r="AE63">
        <f>IF(AND('6 Mic'!C63&lt;Tmax, NOT('6 Mic'!$H63="")),'6 Mic'!$H63,4)</f>
        <v>4</v>
      </c>
      <c r="AF63">
        <f>IF(AND('6 Mic'!D63&lt;Tmax, NOT('6 Mic'!$H63="")),'6 Mic'!$H63,4)</f>
        <v>4</v>
      </c>
      <c r="AG63">
        <f>IF(AND('6 Mic'!E63&lt;Tmax, NOT('6 Mic'!$H63="")),'6 Mic'!$H63,4)</f>
        <v>4</v>
      </c>
      <c r="AH63">
        <f>IF(AND('6 Mic'!F63&lt;Tmax, NOT('6 Mic'!$H63="")),'6 Mic'!$H63,4)</f>
        <v>4</v>
      </c>
      <c r="AI63"/>
    </row>
    <row r="64" spans="1:35" x14ac:dyDescent="0.25">
      <c r="A64" s="327" t="s">
        <v>795</v>
      </c>
      <c r="B64" s="128" t="s">
        <v>283</v>
      </c>
      <c r="C64" s="243"/>
      <c r="E64" s="304"/>
      <c r="F64" s="304"/>
      <c r="G64" s="133"/>
      <c r="H64" s="133"/>
      <c r="I64" s="136"/>
      <c r="J64" s="135"/>
      <c r="K64" s="135"/>
      <c r="AA64"/>
      <c r="AB64"/>
      <c r="AC64"/>
      <c r="AD64"/>
      <c r="AE64"/>
      <c r="AF64"/>
      <c r="AG64"/>
      <c r="AH64"/>
      <c r="AI64"/>
    </row>
    <row r="65" spans="1:47" x14ac:dyDescent="0.25">
      <c r="A65" s="327" t="s">
        <v>1535</v>
      </c>
      <c r="B65" s="128" t="s">
        <v>191</v>
      </c>
      <c r="C65" s="243"/>
      <c r="E65" s="304"/>
      <c r="F65" s="304"/>
      <c r="G65" s="133">
        <v>2</v>
      </c>
      <c r="H65" s="133"/>
      <c r="I65" s="136"/>
      <c r="J65" s="135"/>
      <c r="K65" s="135"/>
      <c r="AA65">
        <f>IF(AND('6 Mic'!C65&gt;Tmin, NOT('6 Mic'!$I65="")),'6 Mic'!$I65,0)</f>
        <v>0</v>
      </c>
      <c r="AB65">
        <f>IF(AND('6 Mic'!D65&gt;Tmin, NOT('6 Mic'!$I65="")),'6 Mic'!$I65,0)</f>
        <v>0</v>
      </c>
      <c r="AC65">
        <f>IF(AND('6 Mic'!E65&gt;Tmin, NOT('6 Mic'!$I65="")),'6 Mic'!$I65,0)</f>
        <v>0</v>
      </c>
      <c r="AD65">
        <f>IF(AND('6 Mic'!F65&gt;Tmin, NOT('6 Mic'!$I65="")),'6 Mic'!$I65,0)</f>
        <v>0</v>
      </c>
      <c r="AE65">
        <f>IF(AND('6 Mic'!C65&lt;Tmax, NOT('6 Mic'!$H65="")),'6 Mic'!$H65,4)</f>
        <v>4</v>
      </c>
      <c r="AF65">
        <f>IF(AND('6 Mic'!D65&lt;Tmax, NOT('6 Mic'!$H65="")),'6 Mic'!$H65,4)</f>
        <v>4</v>
      </c>
      <c r="AG65">
        <f>IF(AND('6 Mic'!E65&lt;Tmax, NOT('6 Mic'!$H65="")),'6 Mic'!$H65,4)</f>
        <v>4</v>
      </c>
      <c r="AH65">
        <f>IF(AND('6 Mic'!F65&lt;Tmax, NOT('6 Mic'!$H65="")),'6 Mic'!$H65,4)</f>
        <v>4</v>
      </c>
      <c r="AI65"/>
    </row>
    <row r="66" spans="1:47" x14ac:dyDescent="0.25">
      <c r="A66" s="327" t="s">
        <v>1536</v>
      </c>
      <c r="B66" s="128" t="s">
        <v>256</v>
      </c>
      <c r="C66" s="243"/>
      <c r="E66" s="243"/>
      <c r="F66" s="304"/>
      <c r="G66" s="133">
        <v>4</v>
      </c>
      <c r="H66" s="133"/>
      <c r="I66" s="136"/>
      <c r="J66" s="135"/>
      <c r="K66" s="135"/>
      <c r="AA66">
        <f>IF(AND('6 Mic'!C66&gt;Tmin, NOT('6 Mic'!$I66="")),'6 Mic'!$I66,0)</f>
        <v>0</v>
      </c>
      <c r="AB66">
        <f>IF(AND('6 Mic'!D66&gt;Tmin, NOT('6 Mic'!$I66="")),'6 Mic'!$I66,0)</f>
        <v>0</v>
      </c>
      <c r="AC66">
        <f>IF(AND('6 Mic'!E66&gt;Tmin, NOT('6 Mic'!$I66="")),'6 Mic'!$I66,0)</f>
        <v>0</v>
      </c>
      <c r="AD66">
        <f>IF(AND('6 Mic'!F66&gt;Tmin, NOT('6 Mic'!$I66="")),'6 Mic'!$I66,0)</f>
        <v>0</v>
      </c>
      <c r="AE66">
        <f>IF(AND('6 Mic'!C66&lt;Tmax, NOT('6 Mic'!$H66="")),'6 Mic'!$H66,4)</f>
        <v>4</v>
      </c>
      <c r="AF66">
        <f>IF(AND('6 Mic'!D66&lt;Tmax, NOT('6 Mic'!$H66="")),'6 Mic'!$H66,4)</f>
        <v>4</v>
      </c>
      <c r="AG66">
        <f>IF(AND('6 Mic'!E66&lt;Tmax, NOT('6 Mic'!$H66="")),'6 Mic'!$H66,4)</f>
        <v>4</v>
      </c>
      <c r="AH66">
        <f>IF(AND('6 Mic'!F66&lt;Tmax, NOT('6 Mic'!$H66="")),'6 Mic'!$H66,4)</f>
        <v>4</v>
      </c>
      <c r="AI66"/>
    </row>
    <row r="67" spans="1:47" ht="15" customHeight="1" x14ac:dyDescent="0.25">
      <c r="A67" s="327" t="s">
        <v>1537</v>
      </c>
      <c r="B67" s="128" t="s">
        <v>257</v>
      </c>
      <c r="C67" s="243"/>
      <c r="E67" s="304"/>
      <c r="F67" s="304"/>
      <c r="G67" s="133">
        <v>4</v>
      </c>
      <c r="H67" s="133"/>
      <c r="I67" s="136"/>
      <c r="J67" s="135"/>
      <c r="K67" s="135"/>
      <c r="AA67">
        <f>IF(AND('6 Mic'!C67&gt;Tmin, NOT('6 Mic'!$I67="")),'6 Mic'!$I67,0)</f>
        <v>0</v>
      </c>
      <c r="AB67">
        <f>IF(AND('6 Mic'!D67&gt;Tmin, NOT('6 Mic'!$I67="")),'6 Mic'!$I67,0)</f>
        <v>0</v>
      </c>
      <c r="AC67">
        <f>IF(AND('6 Mic'!E67&gt;Tmin, NOT('6 Mic'!$I67="")),'6 Mic'!$I67,0)</f>
        <v>0</v>
      </c>
      <c r="AD67">
        <f>IF(AND('6 Mic'!F67&gt;Tmin, NOT('6 Mic'!$I67="")),'6 Mic'!$I67,0)</f>
        <v>0</v>
      </c>
      <c r="AE67">
        <f>IF(AND('6 Mic'!C67&lt;Tmax, NOT('6 Mic'!$H67="")),'6 Mic'!$H67,4)</f>
        <v>4</v>
      </c>
      <c r="AF67">
        <f>IF(AND('6 Mic'!D67&lt;Tmax, NOT('6 Mic'!$H67="")),'6 Mic'!$H67,4)</f>
        <v>4</v>
      </c>
      <c r="AG67">
        <f>IF(AND('6 Mic'!E67&lt;Tmax, NOT('6 Mic'!$H67="")),'6 Mic'!$H67,4)</f>
        <v>4</v>
      </c>
      <c r="AH67">
        <f>IF(AND('6 Mic'!F67&lt;Tmax, NOT('6 Mic'!$H67="")),'6 Mic'!$H67,4)</f>
        <v>4</v>
      </c>
      <c r="AI67"/>
    </row>
    <row r="68" spans="1:47" x14ac:dyDescent="0.25">
      <c r="A68" s="327" t="s">
        <v>1538</v>
      </c>
      <c r="B68" s="128" t="s">
        <v>323</v>
      </c>
      <c r="C68" s="243"/>
      <c r="E68" s="304"/>
      <c r="F68" s="304"/>
      <c r="G68" s="133">
        <v>4</v>
      </c>
      <c r="H68" s="133"/>
      <c r="I68" s="136"/>
      <c r="J68" s="135"/>
      <c r="K68" s="135"/>
      <c r="AA68">
        <f>IF(AND('6 Mic'!C68&gt;Tmin, NOT('6 Mic'!$I68="")),'6 Mic'!$I68,0)</f>
        <v>0</v>
      </c>
      <c r="AB68">
        <f>IF(AND('6 Mic'!D68&gt;Tmin, NOT('6 Mic'!$I68="")),'6 Mic'!$I68,0)</f>
        <v>0</v>
      </c>
      <c r="AC68">
        <f>IF(AND('6 Mic'!E68&gt;Tmin, NOT('6 Mic'!$I68="")),'6 Mic'!$I68,0)</f>
        <v>0</v>
      </c>
      <c r="AD68">
        <f>IF(AND('6 Mic'!F68&gt;Tmin, NOT('6 Mic'!$I68="")),'6 Mic'!$I68,0)</f>
        <v>0</v>
      </c>
      <c r="AE68">
        <f>IF(AND('6 Mic'!C68&lt;Tmax, NOT('6 Mic'!$H68="")),'6 Mic'!$H68,4)</f>
        <v>4</v>
      </c>
      <c r="AF68">
        <f>IF(AND('6 Mic'!D68&lt;Tmax, NOT('6 Mic'!$H68="")),'6 Mic'!$H68,4)</f>
        <v>4</v>
      </c>
      <c r="AG68">
        <f>IF(AND('6 Mic'!E68&lt;Tmax, NOT('6 Mic'!$H68="")),'6 Mic'!$H68,4)</f>
        <v>4</v>
      </c>
      <c r="AH68">
        <f>IF(AND('6 Mic'!F68&lt;Tmax, NOT('6 Mic'!$H68="")),'6 Mic'!$H68,4)</f>
        <v>4</v>
      </c>
      <c r="AI68"/>
    </row>
    <row r="69" spans="1:47" x14ac:dyDescent="0.25">
      <c r="A69" s="327" t="s">
        <v>1539</v>
      </c>
      <c r="B69" s="128" t="s">
        <v>282</v>
      </c>
      <c r="C69" s="243"/>
      <c r="E69" s="304"/>
      <c r="F69" s="304"/>
      <c r="G69" s="133">
        <v>4</v>
      </c>
      <c r="H69" s="133"/>
      <c r="I69" s="136"/>
      <c r="J69" s="135"/>
      <c r="K69" s="135"/>
      <c r="AA69">
        <f>IF(AND('6 Mic'!C69&gt;Tmin, NOT('6 Mic'!$I69="")),'6 Mic'!$I69,0)</f>
        <v>0</v>
      </c>
      <c r="AB69">
        <f>IF(AND('6 Mic'!D69&gt;Tmin, NOT('6 Mic'!$I69="")),'6 Mic'!$I69,0)</f>
        <v>0</v>
      </c>
      <c r="AC69">
        <f>IF(AND('6 Mic'!E69&gt;Tmin, NOT('6 Mic'!$I69="")),'6 Mic'!$I69,0)</f>
        <v>0</v>
      </c>
      <c r="AD69">
        <f>IF(AND('6 Mic'!F69&gt;Tmin, NOT('6 Mic'!$I69="")),'6 Mic'!$I69,0)</f>
        <v>0</v>
      </c>
      <c r="AE69">
        <f>IF(AND('6 Mic'!C69&lt;Tmax, NOT('6 Mic'!$H69="")),'6 Mic'!$H69,4)</f>
        <v>4</v>
      </c>
      <c r="AF69">
        <f>IF(AND('6 Mic'!D69&lt;Tmax, NOT('6 Mic'!$H69="")),'6 Mic'!$H69,4)</f>
        <v>4</v>
      </c>
      <c r="AG69">
        <f>IF(AND('6 Mic'!E69&lt;Tmax, NOT('6 Mic'!$H69="")),'6 Mic'!$H69,4)</f>
        <v>4</v>
      </c>
      <c r="AH69">
        <f>IF(AND('6 Mic'!F69&lt;Tmax, NOT('6 Mic'!$H69="")),'6 Mic'!$H69,4)</f>
        <v>4</v>
      </c>
      <c r="AI69"/>
    </row>
    <row r="70" spans="1:47" x14ac:dyDescent="0.25">
      <c r="A70" s="327" t="s">
        <v>1540</v>
      </c>
      <c r="B70" s="128" t="s">
        <v>192</v>
      </c>
      <c r="C70" s="243"/>
      <c r="E70" s="304"/>
      <c r="F70" s="304"/>
      <c r="G70" s="133">
        <v>2</v>
      </c>
      <c r="H70" s="133"/>
      <c r="I70" s="136"/>
      <c r="J70" s="135"/>
      <c r="K70" s="135"/>
      <c r="AA70">
        <f>IF(AND('6 Mic'!C70&gt;Tmin, NOT('6 Mic'!$I70="")),'6 Mic'!$I70,0)</f>
        <v>0</v>
      </c>
      <c r="AB70">
        <f>IF(AND('6 Mic'!D70&gt;Tmin, NOT('6 Mic'!$I70="")),'6 Mic'!$I70,0)</f>
        <v>0</v>
      </c>
      <c r="AC70">
        <f>IF(AND('6 Mic'!E70&gt;Tmin, NOT('6 Mic'!$I70="")),'6 Mic'!$I70,0)</f>
        <v>0</v>
      </c>
      <c r="AD70">
        <f>IF(AND('6 Mic'!F70&gt;Tmin, NOT('6 Mic'!$I70="")),'6 Mic'!$I70,0)</f>
        <v>0</v>
      </c>
      <c r="AE70">
        <f>IF(AND('6 Mic'!C70&lt;Tmax, NOT('6 Mic'!$H70="")),'6 Mic'!$H70,4)</f>
        <v>4</v>
      </c>
      <c r="AF70">
        <f>IF(AND('6 Mic'!D70&lt;Tmax, NOT('6 Mic'!$H70="")),'6 Mic'!$H70,4)</f>
        <v>4</v>
      </c>
      <c r="AG70">
        <f>IF(AND('6 Mic'!E70&lt;Tmax, NOT('6 Mic'!$H70="")),'6 Mic'!$H70,4)</f>
        <v>4</v>
      </c>
      <c r="AH70">
        <f>IF(AND('6 Mic'!F70&lt;Tmax, NOT('6 Mic'!$H70="")),'6 Mic'!$H70,4)</f>
        <v>4</v>
      </c>
      <c r="AI70"/>
    </row>
    <row r="71" spans="1:47" x14ac:dyDescent="0.25">
      <c r="A71" s="327" t="s">
        <v>2152</v>
      </c>
      <c r="B71" s="128" t="s">
        <v>2153</v>
      </c>
      <c r="J71" s="251"/>
      <c r="AA71"/>
      <c r="AB71"/>
      <c r="AC71"/>
      <c r="AD71"/>
      <c r="AE71"/>
      <c r="AF71"/>
      <c r="AG71"/>
      <c r="AH71"/>
      <c r="AI71"/>
    </row>
    <row r="72" spans="1:47" ht="20.399999999999999" x14ac:dyDescent="0.25">
      <c r="A72" s="327" t="s">
        <v>2154</v>
      </c>
      <c r="B72" s="128" t="s">
        <v>2173</v>
      </c>
      <c r="C72" s="1053"/>
      <c r="E72" s="1053"/>
      <c r="G72" s="1147">
        <v>4</v>
      </c>
      <c r="H72" s="1147"/>
      <c r="J72" s="251"/>
      <c r="AA72">
        <f>IF(AND('6 Mic'!C72&gt;Tmin, NOT('6 Mic'!$I72="")),'6 Mic'!$I72,0)</f>
        <v>0</v>
      </c>
      <c r="AB72">
        <f>IF(AND('6 Mic'!D72&gt;Tmin, NOT('6 Mic'!$I72="")),'6 Mic'!$I72,0)</f>
        <v>0</v>
      </c>
      <c r="AC72">
        <f>IF(AND('6 Mic'!E72&gt;Tmin, NOT('6 Mic'!$I72="")),'6 Mic'!$I72,0)</f>
        <v>0</v>
      </c>
      <c r="AD72">
        <f>IF(AND('6 Mic'!F72&gt;Tmin, NOT('6 Mic'!$I72="")),'6 Mic'!$I72,0)</f>
        <v>0</v>
      </c>
      <c r="AE72">
        <f>IF(AND('6 Mic'!C72&lt;Tmax, NOT('6 Mic'!$H72="")),'6 Mic'!$H72,4)</f>
        <v>4</v>
      </c>
      <c r="AF72">
        <f>IF(AND('6 Mic'!D72&lt;Tmax, NOT('6 Mic'!$H72="")),'6 Mic'!$H72,4)</f>
        <v>4</v>
      </c>
      <c r="AG72">
        <f>IF(AND('6 Mic'!E72&lt;Tmax, NOT('6 Mic'!$H72="")),'6 Mic'!$H72,4)</f>
        <v>4</v>
      </c>
      <c r="AH72">
        <f>IF(AND('6 Mic'!F72&lt;Tmax, NOT('6 Mic'!$H72="")),'6 Mic'!$H72,4)</f>
        <v>4</v>
      </c>
      <c r="AI72"/>
    </row>
    <row r="73" spans="1:47" x14ac:dyDescent="0.25">
      <c r="A73" s="327" t="s">
        <v>2176</v>
      </c>
      <c r="B73" s="128" t="s">
        <v>389</v>
      </c>
      <c r="C73" s="1053"/>
      <c r="G73" s="1147">
        <v>2</v>
      </c>
      <c r="H73" s="1147"/>
      <c r="J73" s="251"/>
      <c r="AA73">
        <f>IF(AND('6 Mic'!C73&gt;Tmin, NOT('6 Mic'!$I73="")),'6 Mic'!$I73,0)</f>
        <v>0</v>
      </c>
      <c r="AB73">
        <f>IF(AND('6 Mic'!D73&gt;Tmin, NOT('6 Mic'!$I73="")),'6 Mic'!$I73,0)</f>
        <v>0</v>
      </c>
      <c r="AC73">
        <f>IF(AND('6 Mic'!E73&gt;Tmin, NOT('6 Mic'!$I73="")),'6 Mic'!$I73,0)</f>
        <v>0</v>
      </c>
      <c r="AD73">
        <f>IF(AND('6 Mic'!F73&gt;Tmin, NOT('6 Mic'!$I73="")),'6 Mic'!$I73,0)</f>
        <v>0</v>
      </c>
      <c r="AE73">
        <f>IF(AND('6 Mic'!C73&lt;Tmax, NOT('6 Mic'!$H73="")),'6 Mic'!$H73,4)</f>
        <v>4</v>
      </c>
      <c r="AF73">
        <f>IF(AND('6 Mic'!D73&lt;Tmax, NOT('6 Mic'!$H73="")),'6 Mic'!$H73,4)</f>
        <v>4</v>
      </c>
      <c r="AG73">
        <f>IF(AND('6 Mic'!E73&lt;Tmax, NOT('6 Mic'!$H73="")),'6 Mic'!$H73,4)</f>
        <v>4</v>
      </c>
      <c r="AH73">
        <f>IF(AND('6 Mic'!F73&lt;Tmax, NOT('6 Mic'!$H73="")),'6 Mic'!$H73,4)</f>
        <v>4</v>
      </c>
      <c r="AI73"/>
    </row>
    <row r="74" spans="1:47" ht="48" customHeight="1" x14ac:dyDescent="0.25">
      <c r="A74" s="327" t="s">
        <v>2177</v>
      </c>
      <c r="B74" s="128" t="s">
        <v>63</v>
      </c>
      <c r="C74" s="1053"/>
      <c r="G74" s="1147">
        <v>2</v>
      </c>
      <c r="H74" s="1147">
        <v>3</v>
      </c>
      <c r="J74" s="251"/>
      <c r="AA74">
        <f>IF(AND('6 Mic'!C74&gt;Tmin, NOT('6 Mic'!$I74="")),'6 Mic'!$I74,0)</f>
        <v>0</v>
      </c>
      <c r="AB74">
        <f>IF(AND('6 Mic'!D74&gt;Tmin, NOT('6 Mic'!$I74="")),'6 Mic'!$I74,0)</f>
        <v>0</v>
      </c>
      <c r="AC74">
        <f>IF(AND('6 Mic'!E74&gt;Tmin, NOT('6 Mic'!$I74="")),'6 Mic'!$I74,0)</f>
        <v>0</v>
      </c>
      <c r="AD74">
        <f>IF(AND('6 Mic'!F74&gt;Tmin, NOT('6 Mic'!$I74="")),'6 Mic'!$I74,0)</f>
        <v>0</v>
      </c>
      <c r="AE74">
        <f>IF(AND('6 Mic'!C74&lt;Tmax, NOT('6 Mic'!$H74="")),'6 Mic'!$H74,4)</f>
        <v>3</v>
      </c>
      <c r="AF74">
        <f>IF(AND('6 Mic'!D74&lt;Tmax, NOT('6 Mic'!$H74="")),'6 Mic'!$H74,4)</f>
        <v>3</v>
      </c>
      <c r="AG74">
        <f>IF(AND('6 Mic'!E74&lt;Tmax, NOT('6 Mic'!$H74="")),'6 Mic'!$H74,4)</f>
        <v>3</v>
      </c>
      <c r="AH74">
        <f>IF(AND('6 Mic'!F74&lt;Tmax, NOT('6 Mic'!$H74="")),'6 Mic'!$H74,4)</f>
        <v>3</v>
      </c>
      <c r="AI74"/>
    </row>
    <row r="75" spans="1:47" ht="13.5" customHeight="1" x14ac:dyDescent="0.25">
      <c r="A75" s="327" t="s">
        <v>2178</v>
      </c>
      <c r="B75" s="128" t="s">
        <v>2174</v>
      </c>
      <c r="C75" s="1053"/>
      <c r="G75" s="1147">
        <v>2</v>
      </c>
      <c r="H75" s="1147">
        <v>3</v>
      </c>
      <c r="J75" s="251"/>
      <c r="AA75">
        <f>IF(AND('6 Mic'!C75&gt;Tmin, NOT('6 Mic'!$I75="")),'6 Mic'!$I75,0)</f>
        <v>0</v>
      </c>
      <c r="AB75">
        <f>IF(AND('6 Mic'!D75&gt;Tmin, NOT('6 Mic'!$I75="")),'6 Mic'!$I75,0)</f>
        <v>0</v>
      </c>
      <c r="AC75">
        <f>IF(AND('6 Mic'!E75&gt;Tmin, NOT('6 Mic'!$I75="")),'6 Mic'!$I75,0)</f>
        <v>0</v>
      </c>
      <c r="AD75">
        <f>IF(AND('6 Mic'!F75&gt;Tmin, NOT('6 Mic'!$I75="")),'6 Mic'!$I75,0)</f>
        <v>0</v>
      </c>
      <c r="AE75">
        <f>IF(AND('6 Mic'!C75&lt;Tmax, NOT('6 Mic'!$H75="")),'6 Mic'!$H75,4)</f>
        <v>3</v>
      </c>
      <c r="AF75">
        <f>IF(AND('6 Mic'!D75&lt;Tmax, NOT('6 Mic'!$H75="")),'6 Mic'!$H75,4)</f>
        <v>3</v>
      </c>
      <c r="AG75">
        <f>IF(AND('6 Mic'!E75&lt;Tmax, NOT('6 Mic'!$H75="")),'6 Mic'!$H75,4)</f>
        <v>3</v>
      </c>
      <c r="AH75">
        <f>IF(AND('6 Mic'!F75&lt;Tmax, NOT('6 Mic'!$H75="")),'6 Mic'!$H75,4)</f>
        <v>3</v>
      </c>
      <c r="AI75"/>
    </row>
    <row r="76" spans="1:47" x14ac:dyDescent="0.25">
      <c r="A76" s="327" t="s">
        <v>2179</v>
      </c>
      <c r="B76" s="128" t="s">
        <v>2175</v>
      </c>
      <c r="C76" s="1053"/>
      <c r="G76" s="1147">
        <v>2</v>
      </c>
      <c r="H76" s="1147">
        <v>3</v>
      </c>
      <c r="J76" s="251"/>
      <c r="AA76">
        <f>IF(AND('6 Mic'!C76&gt;Tmin, NOT('6 Mic'!$I76="")),'6 Mic'!$I76,0)</f>
        <v>0</v>
      </c>
      <c r="AB76">
        <f>IF(AND('6 Mic'!D76&gt;Tmin, NOT('6 Mic'!$I76="")),'6 Mic'!$I76,0)</f>
        <v>0</v>
      </c>
      <c r="AC76">
        <f>IF(AND('6 Mic'!E76&gt;Tmin, NOT('6 Mic'!$I76="")),'6 Mic'!$I76,0)</f>
        <v>0</v>
      </c>
      <c r="AD76">
        <f>IF(AND('6 Mic'!F76&gt;Tmin, NOT('6 Mic'!$I76="")),'6 Mic'!$I76,0)</f>
        <v>0</v>
      </c>
      <c r="AE76">
        <f>IF(AND('6 Mic'!C76&lt;Tmax, NOT('6 Mic'!$H76="")),'6 Mic'!$H76,4)</f>
        <v>3</v>
      </c>
      <c r="AF76">
        <f>IF(AND('6 Mic'!D76&lt;Tmax, NOT('6 Mic'!$H76="")),'6 Mic'!$H76,4)</f>
        <v>3</v>
      </c>
      <c r="AG76">
        <f>IF(AND('6 Mic'!E76&lt;Tmax, NOT('6 Mic'!$H76="")),'6 Mic'!$H76,4)</f>
        <v>3</v>
      </c>
      <c r="AH76">
        <f>IF(AND('6 Mic'!F76&lt;Tmax, NOT('6 Mic'!$H76="")),'6 Mic'!$H76,4)</f>
        <v>3</v>
      </c>
      <c r="AI76"/>
    </row>
    <row r="77" spans="1:47" x14ac:dyDescent="0.25">
      <c r="A77" s="327" t="s">
        <v>4461</v>
      </c>
      <c r="B77" s="128" t="s">
        <v>4507</v>
      </c>
      <c r="C77" s="243"/>
      <c r="E77" s="304"/>
      <c r="F77" s="304"/>
      <c r="G77" s="133"/>
      <c r="H77" s="133"/>
      <c r="I77" s="136"/>
      <c r="J77" s="135"/>
      <c r="K77" s="135"/>
      <c r="AA77"/>
      <c r="AB77"/>
      <c r="AC77"/>
      <c r="AD77"/>
      <c r="AE77"/>
      <c r="AF77"/>
      <c r="AG77"/>
      <c r="AH77"/>
      <c r="AI77"/>
    </row>
    <row r="78" spans="1:47" s="34" customFormat="1" ht="20.399999999999999" x14ac:dyDescent="0.25">
      <c r="A78" s="135" t="s">
        <v>4463</v>
      </c>
      <c r="B78" s="128" t="s">
        <v>4508</v>
      </c>
      <c r="C78" s="243"/>
      <c r="D78" s="234"/>
      <c r="E78" s="304"/>
      <c r="F78" s="304"/>
      <c r="G78" s="1142">
        <v>4</v>
      </c>
      <c r="H78" s="133"/>
      <c r="I78" s="136"/>
      <c r="J78" s="135"/>
      <c r="K78" s="135"/>
      <c r="L78" s="234"/>
      <c r="M78" s="234"/>
      <c r="N78" s="234"/>
      <c r="O78" s="234"/>
      <c r="P78" s="234"/>
      <c r="Q78" s="234"/>
      <c r="R78" s="234"/>
      <c r="S78" s="234"/>
      <c r="T78" s="234"/>
      <c r="U78" s="234"/>
      <c r="V78" s="234"/>
      <c r="W78" s="234"/>
      <c r="X78" s="234"/>
      <c r="Y78" s="234"/>
      <c r="Z78" s="234"/>
      <c r="AA78">
        <f>IF(AND('6 Mic'!C78&gt;Tmin, NOT('6 Mic'!$I78="")),'6 Mic'!$I78,0)</f>
        <v>0</v>
      </c>
      <c r="AB78">
        <f>IF(AND('6 Mic'!D78&gt;Tmin, NOT('6 Mic'!$I78="")),'6 Mic'!$I78,0)</f>
        <v>0</v>
      </c>
      <c r="AC78">
        <f>IF(AND('6 Mic'!E78&gt;Tmin, NOT('6 Mic'!$I78="")),'6 Mic'!$I78,0)</f>
        <v>0</v>
      </c>
      <c r="AD78">
        <f>IF(AND('6 Mic'!F78&gt;Tmin, NOT('6 Mic'!$I78="")),'6 Mic'!$I78,0)</f>
        <v>0</v>
      </c>
      <c r="AE78">
        <f>IF(AND('6 Mic'!C78&lt;Tmax, NOT('6 Mic'!$H78="")),'6 Mic'!$H78,4)</f>
        <v>4</v>
      </c>
      <c r="AF78">
        <f>IF(AND('6 Mic'!D78&lt;Tmax, NOT('6 Mic'!$H78="")),'6 Mic'!$H78,4)</f>
        <v>4</v>
      </c>
      <c r="AG78">
        <f>IF(AND('6 Mic'!E78&lt;Tmax, NOT('6 Mic'!$H78="")),'6 Mic'!$H78,4)</f>
        <v>4</v>
      </c>
      <c r="AH78">
        <f>IF(AND('6 Mic'!F78&lt;Tmax, NOT('6 Mic'!$H78="")),'6 Mic'!$H78,4)</f>
        <v>4</v>
      </c>
      <c r="AI78"/>
      <c r="AJ78" s="234"/>
      <c r="AK78" s="234"/>
      <c r="AL78" s="234"/>
      <c r="AM78" s="234"/>
      <c r="AN78" s="234"/>
      <c r="AO78" s="234"/>
      <c r="AP78" s="234"/>
      <c r="AQ78" s="234"/>
      <c r="AR78" s="234"/>
      <c r="AS78" s="234"/>
      <c r="AT78" s="234"/>
      <c r="AU78" s="234"/>
    </row>
    <row r="79" spans="1:47" s="34" customFormat="1" ht="15" customHeight="1" x14ac:dyDescent="0.25">
      <c r="A79" s="135" t="s">
        <v>4464</v>
      </c>
      <c r="B79" s="128" t="s">
        <v>4460</v>
      </c>
      <c r="C79" s="1072"/>
      <c r="D79" s="234"/>
      <c r="E79" s="304"/>
      <c r="F79" s="304"/>
      <c r="G79" s="1142">
        <v>2</v>
      </c>
      <c r="H79" s="133"/>
      <c r="I79" s="136"/>
      <c r="J79" s="135"/>
      <c r="K79" s="135"/>
      <c r="L79" s="234"/>
      <c r="M79" s="234"/>
      <c r="N79" s="234"/>
      <c r="O79" s="234"/>
      <c r="P79" s="234"/>
      <c r="Q79" s="234"/>
      <c r="R79" s="234"/>
      <c r="S79" s="234"/>
      <c r="T79" s="234"/>
      <c r="U79" s="234"/>
      <c r="V79" s="234"/>
      <c r="W79" s="234"/>
      <c r="X79" s="234"/>
      <c r="Y79" s="234"/>
      <c r="Z79" s="234"/>
      <c r="AA79">
        <f>IF(AND('6 Mic'!C79&gt;Tmin, NOT('6 Mic'!$I79="")),'6 Mic'!$I79,0)</f>
        <v>0</v>
      </c>
      <c r="AB79">
        <f>IF(AND('6 Mic'!D79&gt;Tmin, NOT('6 Mic'!$I79="")),'6 Mic'!$I79,0)</f>
        <v>0</v>
      </c>
      <c r="AC79">
        <f>IF(AND('6 Mic'!E79&gt;Tmin, NOT('6 Mic'!$I79="")),'6 Mic'!$I79,0)</f>
        <v>0</v>
      </c>
      <c r="AD79">
        <f>IF(AND('6 Mic'!F79&gt;Tmin, NOT('6 Mic'!$I79="")),'6 Mic'!$I79,0)</f>
        <v>0</v>
      </c>
      <c r="AE79">
        <f>IF(AND('6 Mic'!C79&lt;Tmax, NOT('6 Mic'!$H79="")),'6 Mic'!$H79,4)</f>
        <v>4</v>
      </c>
      <c r="AF79">
        <f>IF(AND('6 Mic'!D79&lt;Tmax, NOT('6 Mic'!$H79="")),'6 Mic'!$H79,4)</f>
        <v>4</v>
      </c>
      <c r="AG79">
        <f>IF(AND('6 Mic'!E79&lt;Tmax, NOT('6 Mic'!$H79="")),'6 Mic'!$H79,4)</f>
        <v>4</v>
      </c>
      <c r="AH79">
        <f>IF(AND('6 Mic'!F79&lt;Tmax, NOT('6 Mic'!$H79="")),'6 Mic'!$H79,4)</f>
        <v>4</v>
      </c>
      <c r="AI79"/>
      <c r="AJ79" s="234"/>
      <c r="AK79" s="234"/>
      <c r="AL79" s="234"/>
      <c r="AM79" s="234"/>
      <c r="AN79" s="234"/>
      <c r="AO79" s="234"/>
      <c r="AP79" s="234"/>
      <c r="AQ79" s="234"/>
      <c r="AR79" s="234"/>
      <c r="AS79" s="234"/>
      <c r="AT79" s="234"/>
      <c r="AU79" s="234"/>
    </row>
    <row r="80" spans="1:47" s="34" customFormat="1" x14ac:dyDescent="0.25">
      <c r="A80" s="135" t="s">
        <v>4465</v>
      </c>
      <c r="B80" s="128" t="s">
        <v>333</v>
      </c>
      <c r="C80" s="243"/>
      <c r="D80" s="234"/>
      <c r="E80" s="304"/>
      <c r="F80" s="304"/>
      <c r="G80" s="1142">
        <v>2</v>
      </c>
      <c r="H80" s="133">
        <v>3</v>
      </c>
      <c r="I80" s="136"/>
      <c r="J80" s="135"/>
      <c r="K80" s="135"/>
      <c r="L80" s="234"/>
      <c r="M80" s="234"/>
      <c r="N80" s="234"/>
      <c r="O80" s="234"/>
      <c r="P80" s="234"/>
      <c r="Q80" s="234"/>
      <c r="R80" s="234"/>
      <c r="S80" s="234"/>
      <c r="T80" s="234"/>
      <c r="U80" s="234"/>
      <c r="V80" s="234"/>
      <c r="W80" s="234"/>
      <c r="X80" s="234"/>
      <c r="Y80" s="234"/>
      <c r="Z80" s="234"/>
      <c r="AA80">
        <f>IF(AND('6 Mic'!C80&gt;Tmin, NOT('6 Mic'!$I80="")),'6 Mic'!$I80,0)</f>
        <v>0</v>
      </c>
      <c r="AB80">
        <f>IF(AND('6 Mic'!D80&gt;Tmin, NOT('6 Mic'!$I80="")),'6 Mic'!$I80,0)</f>
        <v>0</v>
      </c>
      <c r="AC80">
        <f>IF(AND('6 Mic'!E80&gt;Tmin, NOT('6 Mic'!$I80="")),'6 Mic'!$I80,0)</f>
        <v>0</v>
      </c>
      <c r="AD80">
        <f>IF(AND('6 Mic'!F80&gt;Tmin, NOT('6 Mic'!$I80="")),'6 Mic'!$I80,0)</f>
        <v>0</v>
      </c>
      <c r="AE80">
        <f>IF(AND('6 Mic'!C80&lt;Tmax, NOT('6 Mic'!$H80="")),'6 Mic'!$H80,4)</f>
        <v>3</v>
      </c>
      <c r="AF80">
        <f>IF(AND('6 Mic'!D80&lt;Tmax, NOT('6 Mic'!$H80="")),'6 Mic'!$H80,4)</f>
        <v>3</v>
      </c>
      <c r="AG80">
        <f>IF(AND('6 Mic'!E80&lt;Tmax, NOT('6 Mic'!$H80="")),'6 Mic'!$H80,4)</f>
        <v>3</v>
      </c>
      <c r="AH80">
        <f>IF(AND('6 Mic'!F80&lt;Tmax, NOT('6 Mic'!$H80="")),'6 Mic'!$H80,4)</f>
        <v>3</v>
      </c>
      <c r="AI80"/>
      <c r="AJ80" s="234"/>
      <c r="AK80" s="234"/>
      <c r="AL80" s="234"/>
      <c r="AM80" s="234"/>
      <c r="AN80" s="234"/>
      <c r="AO80" s="234"/>
      <c r="AP80" s="234"/>
      <c r="AQ80" s="234"/>
      <c r="AR80" s="234"/>
      <c r="AS80" s="234"/>
      <c r="AT80" s="234"/>
      <c r="AU80" s="234"/>
    </row>
    <row r="81" spans="1:47" s="34" customFormat="1" ht="20.399999999999999" x14ac:dyDescent="0.25">
      <c r="A81" s="135" t="s">
        <v>4466</v>
      </c>
      <c r="B81" s="128" t="s">
        <v>526</v>
      </c>
      <c r="C81" s="243"/>
      <c r="D81" s="234"/>
      <c r="E81" s="304"/>
      <c r="F81" s="304"/>
      <c r="G81" s="1142">
        <v>2</v>
      </c>
      <c r="H81" s="133"/>
      <c r="I81" s="136"/>
      <c r="J81" s="135"/>
      <c r="K81" s="135"/>
      <c r="L81" s="234"/>
      <c r="M81" s="234"/>
      <c r="N81" s="234"/>
      <c r="O81" s="234"/>
      <c r="P81" s="234"/>
      <c r="Q81" s="234"/>
      <c r="R81" s="234"/>
      <c r="S81" s="234"/>
      <c r="T81" s="234"/>
      <c r="U81" s="234"/>
      <c r="V81" s="234"/>
      <c r="W81" s="234"/>
      <c r="X81" s="234"/>
      <c r="Y81" s="234"/>
      <c r="Z81" s="234"/>
      <c r="AA81">
        <f>IF(AND('6 Mic'!C81&gt;Tmin, NOT('6 Mic'!$I81="")),'6 Mic'!$I81,0)</f>
        <v>0</v>
      </c>
      <c r="AB81">
        <f>IF(AND('6 Mic'!D81&gt;Tmin, NOT('6 Mic'!$I81="")),'6 Mic'!$I81,0)</f>
        <v>0</v>
      </c>
      <c r="AC81">
        <f>IF(AND('6 Mic'!E81&gt;Tmin, NOT('6 Mic'!$I81="")),'6 Mic'!$I81,0)</f>
        <v>0</v>
      </c>
      <c r="AD81">
        <f>IF(AND('6 Mic'!F81&gt;Tmin, NOT('6 Mic'!$I81="")),'6 Mic'!$I81,0)</f>
        <v>0</v>
      </c>
      <c r="AE81">
        <f>IF(AND('6 Mic'!C81&lt;Tmax, NOT('6 Mic'!$H81="")),'6 Mic'!$H81,4)</f>
        <v>4</v>
      </c>
      <c r="AF81">
        <f>IF(AND('6 Mic'!D81&lt;Tmax, NOT('6 Mic'!$H81="")),'6 Mic'!$H81,4)</f>
        <v>4</v>
      </c>
      <c r="AG81">
        <f>IF(AND('6 Mic'!E81&lt;Tmax, NOT('6 Mic'!$H81="")),'6 Mic'!$H81,4)</f>
        <v>4</v>
      </c>
      <c r="AH81">
        <f>IF(AND('6 Mic'!F81&lt;Tmax, NOT('6 Mic'!$H81="")),'6 Mic'!$H81,4)</f>
        <v>4</v>
      </c>
      <c r="AI81"/>
      <c r="AJ81" s="234"/>
      <c r="AK81" s="234"/>
      <c r="AL81" s="234"/>
      <c r="AM81" s="234"/>
      <c r="AN81" s="234"/>
      <c r="AO81" s="234"/>
      <c r="AP81" s="234"/>
      <c r="AQ81" s="234"/>
      <c r="AR81" s="234"/>
      <c r="AS81" s="234"/>
      <c r="AT81" s="234"/>
      <c r="AU81" s="234"/>
    </row>
    <row r="82" spans="1:47" s="34" customFormat="1" x14ac:dyDescent="0.25">
      <c r="A82" s="135" t="s">
        <v>4467</v>
      </c>
      <c r="B82" s="128" t="s">
        <v>389</v>
      </c>
      <c r="C82" s="243"/>
      <c r="D82" s="234"/>
      <c r="E82" s="304"/>
      <c r="F82" s="304"/>
      <c r="G82" s="1142">
        <v>2</v>
      </c>
      <c r="H82" s="133"/>
      <c r="I82" s="136"/>
      <c r="J82" s="135"/>
      <c r="K82" s="135"/>
      <c r="L82" s="234"/>
      <c r="M82" s="234"/>
      <c r="N82" s="234"/>
      <c r="O82" s="234"/>
      <c r="P82" s="234"/>
      <c r="Q82" s="234"/>
      <c r="R82" s="234"/>
      <c r="S82" s="234"/>
      <c r="T82" s="234"/>
      <c r="U82" s="234"/>
      <c r="V82" s="234"/>
      <c r="W82" s="234"/>
      <c r="X82" s="234"/>
      <c r="Y82" s="234"/>
      <c r="Z82" s="234"/>
      <c r="AA82">
        <f>IF(AND('6 Mic'!C82&gt;Tmin, NOT('6 Mic'!$I82="")),'6 Mic'!$I82,0)</f>
        <v>0</v>
      </c>
      <c r="AB82">
        <f>IF(AND('6 Mic'!D82&gt;Tmin, NOT('6 Mic'!$I82="")),'6 Mic'!$I82,0)</f>
        <v>0</v>
      </c>
      <c r="AC82">
        <f>IF(AND('6 Mic'!E82&gt;Tmin, NOT('6 Mic'!$I82="")),'6 Mic'!$I82,0)</f>
        <v>0</v>
      </c>
      <c r="AD82">
        <f>IF(AND('6 Mic'!F82&gt;Tmin, NOT('6 Mic'!$I82="")),'6 Mic'!$I82,0)</f>
        <v>0</v>
      </c>
      <c r="AE82">
        <f>IF(AND('6 Mic'!C82&lt;Tmax, NOT('6 Mic'!$H82="")),'6 Mic'!$H82,4)</f>
        <v>4</v>
      </c>
      <c r="AF82">
        <f>IF(AND('6 Mic'!D82&lt;Tmax, NOT('6 Mic'!$H82="")),'6 Mic'!$H82,4)</f>
        <v>4</v>
      </c>
      <c r="AG82">
        <f>IF(AND('6 Mic'!E82&lt;Tmax, NOT('6 Mic'!$H82="")),'6 Mic'!$H82,4)</f>
        <v>4</v>
      </c>
      <c r="AH82">
        <f>IF(AND('6 Mic'!F82&lt;Tmax, NOT('6 Mic'!$H82="")),'6 Mic'!$H82,4)</f>
        <v>4</v>
      </c>
      <c r="AI82"/>
      <c r="AJ82" s="234"/>
      <c r="AK82" s="234"/>
      <c r="AL82" s="234"/>
      <c r="AM82" s="234"/>
      <c r="AN82" s="234"/>
      <c r="AO82" s="234"/>
      <c r="AP82" s="234"/>
      <c r="AQ82" s="234"/>
      <c r="AR82" s="234"/>
      <c r="AS82" s="234"/>
      <c r="AT82" s="234"/>
      <c r="AU82" s="234"/>
    </row>
    <row r="83" spans="1:47" s="34" customFormat="1" ht="27.75" customHeight="1" x14ac:dyDescent="0.25">
      <c r="A83" s="135" t="s">
        <v>4468</v>
      </c>
      <c r="B83" s="128" t="s">
        <v>559</v>
      </c>
      <c r="C83" s="243"/>
      <c r="D83" s="234"/>
      <c r="E83" s="304"/>
      <c r="F83" s="304"/>
      <c r="G83" s="1142">
        <v>2</v>
      </c>
      <c r="H83" s="133">
        <v>3</v>
      </c>
      <c r="I83" s="136"/>
      <c r="J83" s="135"/>
      <c r="K83" s="135"/>
      <c r="L83" s="234"/>
      <c r="M83" s="234"/>
      <c r="N83" s="234"/>
      <c r="O83" s="234"/>
      <c r="P83" s="234"/>
      <c r="Q83" s="234"/>
      <c r="R83" s="234"/>
      <c r="S83" s="234"/>
      <c r="T83" s="234"/>
      <c r="U83" s="234"/>
      <c r="V83" s="234"/>
      <c r="W83" s="234"/>
      <c r="X83" s="234"/>
      <c r="Y83" s="234"/>
      <c r="Z83" s="234"/>
      <c r="AA83">
        <f>IF(AND('6 Mic'!C83&gt;Tmin, NOT('6 Mic'!$I83="")),'6 Mic'!$I83,0)</f>
        <v>0</v>
      </c>
      <c r="AB83">
        <f>IF(AND('6 Mic'!D83&gt;Tmin, NOT('6 Mic'!$I83="")),'6 Mic'!$I83,0)</f>
        <v>0</v>
      </c>
      <c r="AC83">
        <f>IF(AND('6 Mic'!E83&gt;Tmin, NOT('6 Mic'!$I83="")),'6 Mic'!$I83,0)</f>
        <v>0</v>
      </c>
      <c r="AD83">
        <f>IF(AND('6 Mic'!F83&gt;Tmin, NOT('6 Mic'!$I83="")),'6 Mic'!$I83,0)</f>
        <v>0</v>
      </c>
      <c r="AE83">
        <f>IF(AND('6 Mic'!C83&lt;Tmax, NOT('6 Mic'!$H83="")),'6 Mic'!$H83,4)</f>
        <v>3</v>
      </c>
      <c r="AF83">
        <f>IF(AND('6 Mic'!D83&lt;Tmax, NOT('6 Mic'!$H83="")),'6 Mic'!$H83,4)</f>
        <v>3</v>
      </c>
      <c r="AG83">
        <f>IF(AND('6 Mic'!E83&lt;Tmax, NOT('6 Mic'!$H83="")),'6 Mic'!$H83,4)</f>
        <v>3</v>
      </c>
      <c r="AH83">
        <f>IF(AND('6 Mic'!F83&lt;Tmax, NOT('6 Mic'!$H83="")),'6 Mic'!$H83,4)</f>
        <v>3</v>
      </c>
      <c r="AI83"/>
      <c r="AJ83" s="234"/>
      <c r="AK83" s="234"/>
      <c r="AL83" s="234"/>
      <c r="AM83" s="234"/>
      <c r="AN83" s="234"/>
      <c r="AO83" s="234"/>
      <c r="AP83" s="234"/>
      <c r="AQ83" s="234"/>
      <c r="AR83" s="234"/>
      <c r="AS83" s="234"/>
      <c r="AT83" s="234"/>
      <c r="AU83" s="234"/>
    </row>
    <row r="84" spans="1:47" s="34" customFormat="1" ht="40.799999999999997" x14ac:dyDescent="0.25">
      <c r="A84" s="135" t="s">
        <v>4469</v>
      </c>
      <c r="B84" s="128" t="s">
        <v>63</v>
      </c>
      <c r="C84" s="243"/>
      <c r="D84" s="234"/>
      <c r="E84" s="304"/>
      <c r="F84" s="304"/>
      <c r="G84" s="1142">
        <v>2</v>
      </c>
      <c r="H84" s="133">
        <v>3</v>
      </c>
      <c r="I84" s="136"/>
      <c r="J84" s="135"/>
      <c r="K84" s="135"/>
      <c r="L84" s="234"/>
      <c r="M84" s="234"/>
      <c r="N84" s="234"/>
      <c r="O84" s="234"/>
      <c r="P84" s="234"/>
      <c r="Q84" s="234"/>
      <c r="R84" s="234"/>
      <c r="S84" s="234"/>
      <c r="T84" s="234"/>
      <c r="U84" s="234"/>
      <c r="V84" s="234"/>
      <c r="W84" s="234"/>
      <c r="X84" s="234"/>
      <c r="Y84" s="234"/>
      <c r="Z84" s="234"/>
      <c r="AA84">
        <f>IF(AND('6 Mic'!C84&gt;Tmin, NOT('6 Mic'!$I84="")),'6 Mic'!$I84,0)</f>
        <v>0</v>
      </c>
      <c r="AB84">
        <f>IF(AND('6 Mic'!D84&gt;Tmin, NOT('6 Mic'!$I84="")),'6 Mic'!$I84,0)</f>
        <v>0</v>
      </c>
      <c r="AC84">
        <f>IF(AND('6 Mic'!E84&gt;Tmin, NOT('6 Mic'!$I84="")),'6 Mic'!$I84,0)</f>
        <v>0</v>
      </c>
      <c r="AD84">
        <f>IF(AND('6 Mic'!F84&gt;Tmin, NOT('6 Mic'!$I84="")),'6 Mic'!$I84,0)</f>
        <v>0</v>
      </c>
      <c r="AE84">
        <f>IF(AND('6 Mic'!C84&lt;Tmax, NOT('6 Mic'!$H84="")),'6 Mic'!$H84,4)</f>
        <v>3</v>
      </c>
      <c r="AF84">
        <f>IF(AND('6 Mic'!D84&lt;Tmax, NOT('6 Mic'!$H84="")),'6 Mic'!$H84,4)</f>
        <v>3</v>
      </c>
      <c r="AG84">
        <f>IF(AND('6 Mic'!E84&lt;Tmax, NOT('6 Mic'!$H84="")),'6 Mic'!$H84,4)</f>
        <v>3</v>
      </c>
      <c r="AH84">
        <f>IF(AND('6 Mic'!F84&lt;Tmax, NOT('6 Mic'!$H84="")),'6 Mic'!$H84,4)</f>
        <v>3</v>
      </c>
      <c r="AI84"/>
      <c r="AJ84" s="234"/>
      <c r="AK84" s="234"/>
      <c r="AL84" s="234"/>
      <c r="AM84" s="234"/>
      <c r="AN84" s="234"/>
      <c r="AO84" s="234"/>
      <c r="AP84" s="234"/>
      <c r="AQ84" s="234"/>
      <c r="AR84" s="234"/>
      <c r="AS84" s="234"/>
      <c r="AT84" s="234"/>
      <c r="AU84" s="234"/>
    </row>
    <row r="85" spans="1:47" s="34" customFormat="1" ht="20.399999999999999" x14ac:dyDescent="0.25">
      <c r="A85" s="135" t="s">
        <v>4470</v>
      </c>
      <c r="B85" s="128" t="s">
        <v>560</v>
      </c>
      <c r="C85" s="1072"/>
      <c r="D85" s="234"/>
      <c r="E85" s="304"/>
      <c r="F85" s="304"/>
      <c r="G85" s="1142">
        <v>2</v>
      </c>
      <c r="H85" s="133">
        <v>3</v>
      </c>
      <c r="I85" s="136"/>
      <c r="J85" s="135"/>
      <c r="K85" s="135"/>
      <c r="L85" s="234"/>
      <c r="M85" s="234"/>
      <c r="N85" s="234"/>
      <c r="O85" s="234"/>
      <c r="P85" s="234"/>
      <c r="Q85" s="234"/>
      <c r="R85" s="234"/>
      <c r="S85" s="234"/>
      <c r="T85" s="234"/>
      <c r="U85" s="234"/>
      <c r="V85" s="234"/>
      <c r="W85" s="234"/>
      <c r="X85" s="234"/>
      <c r="Y85" s="234"/>
      <c r="Z85" s="234"/>
      <c r="AA85">
        <f>IF(AND('6 Mic'!C85&gt;Tmin, NOT('6 Mic'!$I85="")),'6 Mic'!$I85,0)</f>
        <v>0</v>
      </c>
      <c r="AB85">
        <f>IF(AND('6 Mic'!D85&gt;Tmin, NOT('6 Mic'!$I85="")),'6 Mic'!$I85,0)</f>
        <v>0</v>
      </c>
      <c r="AC85">
        <f>IF(AND('6 Mic'!E85&gt;Tmin, NOT('6 Mic'!$I85="")),'6 Mic'!$I85,0)</f>
        <v>0</v>
      </c>
      <c r="AD85">
        <f>IF(AND('6 Mic'!F85&gt;Tmin, NOT('6 Mic'!$I85="")),'6 Mic'!$I85,0)</f>
        <v>0</v>
      </c>
      <c r="AE85">
        <f>IF(AND('6 Mic'!C85&lt;Tmax, NOT('6 Mic'!$H85="")),'6 Mic'!$H85,4)</f>
        <v>3</v>
      </c>
      <c r="AF85">
        <f>IF(AND('6 Mic'!D85&lt;Tmax, NOT('6 Mic'!$H85="")),'6 Mic'!$H85,4)</f>
        <v>3</v>
      </c>
      <c r="AG85">
        <f>IF(AND('6 Mic'!E85&lt;Tmax, NOT('6 Mic'!$H85="")),'6 Mic'!$H85,4)</f>
        <v>3</v>
      </c>
      <c r="AH85">
        <f>IF(AND('6 Mic'!F85&lt;Tmax, NOT('6 Mic'!$H85="")),'6 Mic'!$H85,4)</f>
        <v>3</v>
      </c>
      <c r="AI85"/>
      <c r="AJ85" s="234"/>
      <c r="AK85" s="234"/>
      <c r="AL85" s="234"/>
      <c r="AM85" s="234"/>
      <c r="AN85" s="234"/>
      <c r="AO85" s="234"/>
      <c r="AP85" s="234"/>
      <c r="AQ85" s="234"/>
      <c r="AR85" s="234"/>
      <c r="AS85" s="234"/>
      <c r="AT85" s="234"/>
      <c r="AU85" s="234"/>
    </row>
    <row r="86" spans="1:47" ht="20.399999999999999" x14ac:dyDescent="0.25">
      <c r="A86" s="135" t="s">
        <v>4471</v>
      </c>
      <c r="B86" s="128" t="s">
        <v>68</v>
      </c>
      <c r="C86" s="243"/>
      <c r="E86" s="304"/>
      <c r="F86" s="304"/>
      <c r="G86" s="1142">
        <v>4</v>
      </c>
      <c r="H86" s="133">
        <v>3</v>
      </c>
      <c r="I86" s="136"/>
      <c r="J86" s="128"/>
      <c r="K86" s="128"/>
      <c r="L86" s="128"/>
      <c r="AA86">
        <f>IF(AND('6 Mic'!C86&gt;Tmin, NOT('6 Mic'!$I86="")),'6 Mic'!$I86,0)</f>
        <v>0</v>
      </c>
      <c r="AB86">
        <f>IF(AND('6 Mic'!D86&gt;Tmin, NOT('6 Mic'!$I86="")),'6 Mic'!$I86,0)</f>
        <v>0</v>
      </c>
      <c r="AC86">
        <f>IF(AND('6 Mic'!E86&gt;Tmin, NOT('6 Mic'!$I86="")),'6 Mic'!$I86,0)</f>
        <v>0</v>
      </c>
      <c r="AD86">
        <f>IF(AND('6 Mic'!F86&gt;Tmin, NOT('6 Mic'!$I86="")),'6 Mic'!$I86,0)</f>
        <v>0</v>
      </c>
      <c r="AE86">
        <f>IF(AND('6 Mic'!C86&lt;Tmax, NOT('6 Mic'!$H86="")),'6 Mic'!$H86,4)</f>
        <v>3</v>
      </c>
      <c r="AF86">
        <f>IF(AND('6 Mic'!D86&lt;Tmax, NOT('6 Mic'!$H86="")),'6 Mic'!$H86,4)</f>
        <v>3</v>
      </c>
      <c r="AG86">
        <f>IF(AND('6 Mic'!E86&lt;Tmax, NOT('6 Mic'!$H86="")),'6 Mic'!$H86,4)</f>
        <v>3</v>
      </c>
      <c r="AH86">
        <f>IF(AND('6 Mic'!F86&lt;Tmax, NOT('6 Mic'!$H86="")),'6 Mic'!$H86,4)</f>
        <v>3</v>
      </c>
      <c r="AI86"/>
    </row>
    <row r="87" spans="1:47" x14ac:dyDescent="0.25">
      <c r="A87" s="135" t="s">
        <v>4472</v>
      </c>
      <c r="B87" s="128" t="s">
        <v>70</v>
      </c>
      <c r="C87" s="243"/>
      <c r="E87" s="304"/>
      <c r="F87" s="304"/>
      <c r="G87" s="1142">
        <v>2</v>
      </c>
      <c r="H87" s="133">
        <v>3</v>
      </c>
      <c r="I87" s="136"/>
      <c r="J87" s="128"/>
      <c r="K87" s="128"/>
      <c r="L87" s="128"/>
      <c r="AA87">
        <f>IF(AND('6 Mic'!C87&gt;Tmin, NOT('6 Mic'!$I87="")),'6 Mic'!$I87,0)</f>
        <v>0</v>
      </c>
      <c r="AB87">
        <f>IF(AND('6 Mic'!D87&gt;Tmin, NOT('6 Mic'!$I87="")),'6 Mic'!$I87,0)</f>
        <v>0</v>
      </c>
      <c r="AC87">
        <f>IF(AND('6 Mic'!E87&gt;Tmin, NOT('6 Mic'!$I87="")),'6 Mic'!$I87,0)</f>
        <v>0</v>
      </c>
      <c r="AD87">
        <f>IF(AND('6 Mic'!F87&gt;Tmin, NOT('6 Mic'!$I87="")),'6 Mic'!$I87,0)</f>
        <v>0</v>
      </c>
      <c r="AE87">
        <f>IF(AND('6 Mic'!C87&lt;Tmax, NOT('6 Mic'!$H87="")),'6 Mic'!$H87,4)</f>
        <v>3</v>
      </c>
      <c r="AF87">
        <f>IF(AND('6 Mic'!D87&lt;Tmax, NOT('6 Mic'!$H87="")),'6 Mic'!$H87,4)</f>
        <v>3</v>
      </c>
      <c r="AG87">
        <f>IF(AND('6 Mic'!E87&lt;Tmax, NOT('6 Mic'!$H87="")),'6 Mic'!$H87,4)</f>
        <v>3</v>
      </c>
      <c r="AH87">
        <f>IF(AND('6 Mic'!F87&lt;Tmax, NOT('6 Mic'!$H87="")),'6 Mic'!$H87,4)</f>
        <v>3</v>
      </c>
      <c r="AI87"/>
    </row>
    <row r="88" spans="1:47" s="34" customFormat="1" x14ac:dyDescent="0.25">
      <c r="A88" s="135" t="s">
        <v>4473</v>
      </c>
      <c r="B88" s="128" t="s">
        <v>4462</v>
      </c>
      <c r="C88" s="243"/>
      <c r="D88" s="234"/>
      <c r="E88" s="304"/>
      <c r="F88" s="304"/>
      <c r="G88" s="1142">
        <v>2</v>
      </c>
      <c r="H88" s="133">
        <v>3</v>
      </c>
      <c r="I88" s="136"/>
      <c r="J88" s="135"/>
      <c r="K88" s="135"/>
      <c r="L88" s="234"/>
      <c r="M88" s="234"/>
      <c r="N88" s="234"/>
      <c r="O88" s="234"/>
      <c r="P88" s="234"/>
      <c r="Q88" s="234"/>
      <c r="R88" s="234"/>
      <c r="S88" s="234"/>
      <c r="T88" s="234"/>
      <c r="U88" s="234"/>
      <c r="V88" s="234"/>
      <c r="W88" s="234"/>
      <c r="X88" s="234"/>
      <c r="Y88" s="234"/>
      <c r="Z88" s="234"/>
      <c r="AA88">
        <f>IF(AND('6 Mic'!C88&gt;Tmin, NOT('6 Mic'!$I88="")),'6 Mic'!$I88,0)</f>
        <v>0</v>
      </c>
      <c r="AB88">
        <f>IF(AND('6 Mic'!D88&gt;Tmin, NOT('6 Mic'!$I88="")),'6 Mic'!$I88,0)</f>
        <v>0</v>
      </c>
      <c r="AC88">
        <f>IF(AND('6 Mic'!E88&gt;Tmin, NOT('6 Mic'!$I88="")),'6 Mic'!$I88,0)</f>
        <v>0</v>
      </c>
      <c r="AD88">
        <f>IF(AND('6 Mic'!F88&gt;Tmin, NOT('6 Mic'!$I88="")),'6 Mic'!$I88,0)</f>
        <v>0</v>
      </c>
      <c r="AE88">
        <f>IF(AND('6 Mic'!C88&lt;Tmax, NOT('6 Mic'!$H88="")),'6 Mic'!$H88,4)</f>
        <v>3</v>
      </c>
      <c r="AF88">
        <f>IF(AND('6 Mic'!D88&lt;Tmax, NOT('6 Mic'!$H88="")),'6 Mic'!$H88,4)</f>
        <v>3</v>
      </c>
      <c r="AG88">
        <f>IF(AND('6 Mic'!E88&lt;Tmax, NOT('6 Mic'!$H88="")),'6 Mic'!$H88,4)</f>
        <v>3</v>
      </c>
      <c r="AH88">
        <f>IF(AND('6 Mic'!F88&lt;Tmax, NOT('6 Mic'!$H88="")),'6 Mic'!$H88,4)</f>
        <v>3</v>
      </c>
      <c r="AI88"/>
      <c r="AJ88" s="234"/>
      <c r="AK88" s="234"/>
      <c r="AL88" s="234"/>
      <c r="AM88" s="234"/>
      <c r="AN88" s="234"/>
      <c r="AO88" s="234"/>
      <c r="AP88" s="234"/>
      <c r="AQ88" s="234"/>
      <c r="AR88" s="234"/>
      <c r="AS88" s="234"/>
      <c r="AT88" s="234"/>
      <c r="AU88" s="234"/>
    </row>
    <row r="89" spans="1:47" x14ac:dyDescent="0.25">
      <c r="A89" s="220" t="s">
        <v>2155</v>
      </c>
      <c r="B89" s="220" t="s">
        <v>1362</v>
      </c>
      <c r="C89" s="243"/>
      <c r="E89" s="304"/>
      <c r="F89" s="304"/>
      <c r="G89" s="133"/>
      <c r="H89" s="133"/>
      <c r="I89" s="136"/>
      <c r="J89" s="135"/>
      <c r="K89" s="135"/>
      <c r="AA89"/>
      <c r="AB89"/>
      <c r="AC89"/>
      <c r="AD89"/>
      <c r="AE89"/>
      <c r="AF89"/>
      <c r="AG89"/>
      <c r="AH89"/>
      <c r="AI89"/>
    </row>
    <row r="90" spans="1:47" x14ac:dyDescent="0.25">
      <c r="A90" s="327" t="s">
        <v>2156</v>
      </c>
      <c r="B90" s="128" t="s">
        <v>2157</v>
      </c>
      <c r="C90" s="243"/>
      <c r="E90" s="304"/>
      <c r="F90" s="304"/>
      <c r="G90" s="133"/>
      <c r="H90" s="133"/>
      <c r="I90" s="136"/>
      <c r="J90" s="135"/>
      <c r="K90" s="135"/>
      <c r="AA90"/>
      <c r="AB90"/>
      <c r="AC90"/>
      <c r="AD90"/>
      <c r="AE90"/>
      <c r="AF90"/>
      <c r="AG90"/>
      <c r="AH90"/>
      <c r="AI90"/>
    </row>
    <row r="91" spans="1:47" ht="20.399999999999999" x14ac:dyDescent="0.25">
      <c r="A91" s="327" t="s">
        <v>2158</v>
      </c>
      <c r="B91" s="128" t="s">
        <v>2163</v>
      </c>
      <c r="C91" s="1053"/>
      <c r="E91" s="304"/>
      <c r="F91" s="304"/>
      <c r="G91" s="133">
        <v>4</v>
      </c>
      <c r="H91" s="133"/>
      <c r="I91" s="136"/>
      <c r="J91" s="136"/>
      <c r="K91" s="135"/>
      <c r="L91" s="252"/>
      <c r="M91" s="254"/>
      <c r="N91" s="213"/>
      <c r="O91" s="213"/>
      <c r="P91" s="213"/>
      <c r="Q91" s="213"/>
      <c r="R91" s="213"/>
      <c r="S91" s="213"/>
      <c r="T91" s="213"/>
      <c r="U91" s="213"/>
      <c r="V91" s="213"/>
      <c r="W91" s="213"/>
      <c r="X91" s="213"/>
      <c r="Y91" s="213"/>
      <c r="Z91" s="213"/>
      <c r="AA91">
        <f>IF(AND('6 Mic'!C91&gt;Tmin, NOT('6 Mic'!$I91="")),'6 Mic'!$I91,0)</f>
        <v>0</v>
      </c>
      <c r="AB91">
        <f>IF(AND('6 Mic'!D91&gt;Tmin, NOT('6 Mic'!$I91="")),'6 Mic'!$I91,0)</f>
        <v>0</v>
      </c>
      <c r="AC91">
        <f>IF(AND('6 Mic'!E91&gt;Tmin, NOT('6 Mic'!$I91="")),'6 Mic'!$I91,0)</f>
        <v>0</v>
      </c>
      <c r="AD91">
        <f>IF(AND('6 Mic'!F91&gt;Tmin, NOT('6 Mic'!$I91="")),'6 Mic'!$I91,0)</f>
        <v>0</v>
      </c>
      <c r="AE91">
        <f>IF(AND('6 Mic'!C91&lt;Tmax, NOT('6 Mic'!$H91="")),'6 Mic'!$H91,4)</f>
        <v>4</v>
      </c>
      <c r="AF91">
        <f>IF(AND('6 Mic'!D91&lt;Tmax, NOT('6 Mic'!$H91="")),'6 Mic'!$H91,4)</f>
        <v>4</v>
      </c>
      <c r="AG91">
        <f>IF(AND('6 Mic'!E91&lt;Tmax, NOT('6 Mic'!$H91="")),'6 Mic'!$H91,4)</f>
        <v>4</v>
      </c>
      <c r="AH91">
        <f>IF(AND('6 Mic'!F91&lt;Tmax, NOT('6 Mic'!$H91="")),'6 Mic'!$H91,4)</f>
        <v>4</v>
      </c>
      <c r="AI91"/>
    </row>
    <row r="92" spans="1:47" ht="20.399999999999999" x14ac:dyDescent="0.25">
      <c r="A92" s="327" t="s">
        <v>2159</v>
      </c>
      <c r="B92" s="128" t="s">
        <v>7250</v>
      </c>
      <c r="C92" s="243"/>
      <c r="E92" s="304"/>
      <c r="F92" s="304"/>
      <c r="G92" s="133">
        <v>4</v>
      </c>
      <c r="H92" s="133"/>
      <c r="I92" s="136"/>
      <c r="J92" s="135"/>
      <c r="K92" s="135"/>
      <c r="L92" s="252"/>
      <c r="M92" s="254"/>
      <c r="N92" s="213"/>
      <c r="O92" s="213"/>
      <c r="P92" s="213"/>
      <c r="Q92" s="213"/>
      <c r="R92" s="213"/>
      <c r="S92" s="213"/>
      <c r="T92" s="213"/>
      <c r="U92" s="213"/>
      <c r="V92" s="213"/>
      <c r="W92" s="213"/>
      <c r="X92" s="213"/>
      <c r="Y92" s="213"/>
      <c r="Z92" s="213"/>
      <c r="AA92">
        <f>IF(AND('6 Mic'!C92&gt;Tmin, NOT('6 Mic'!$I92="")),'6 Mic'!$I92,0)</f>
        <v>0</v>
      </c>
      <c r="AB92">
        <f>IF(AND('6 Mic'!D92&gt;Tmin, NOT('6 Mic'!$I92="")),'6 Mic'!$I92,0)</f>
        <v>0</v>
      </c>
      <c r="AC92">
        <f>IF(AND('6 Mic'!E92&gt;Tmin, NOT('6 Mic'!$I92="")),'6 Mic'!$I92,0)</f>
        <v>0</v>
      </c>
      <c r="AD92">
        <f>IF(AND('6 Mic'!F92&gt;Tmin, NOT('6 Mic'!$I92="")),'6 Mic'!$I92,0)</f>
        <v>0</v>
      </c>
      <c r="AE92">
        <f>IF(AND('6 Mic'!C92&lt;Tmax, NOT('6 Mic'!$H92="")),'6 Mic'!$H92,4)</f>
        <v>4</v>
      </c>
      <c r="AF92">
        <f>IF(AND('6 Mic'!D92&lt;Tmax, NOT('6 Mic'!$H92="")),'6 Mic'!$H92,4)</f>
        <v>4</v>
      </c>
      <c r="AG92">
        <f>IF(AND('6 Mic'!E92&lt;Tmax, NOT('6 Mic'!$H92="")),'6 Mic'!$H92,4)</f>
        <v>4</v>
      </c>
      <c r="AH92">
        <f>IF(AND('6 Mic'!F92&lt;Tmax, NOT('6 Mic'!$H92="")),'6 Mic'!$H92,4)</f>
        <v>4</v>
      </c>
      <c r="AI92"/>
    </row>
    <row r="93" spans="1:47" ht="30.6" x14ac:dyDescent="0.25">
      <c r="A93" s="327" t="s">
        <v>2160</v>
      </c>
      <c r="B93" s="128" t="s">
        <v>2164</v>
      </c>
      <c r="C93" s="243"/>
      <c r="E93" s="304"/>
      <c r="F93" s="304"/>
      <c r="G93" s="133">
        <v>2</v>
      </c>
      <c r="H93" s="133"/>
      <c r="I93" s="136"/>
      <c r="J93" s="135"/>
      <c r="K93" s="135"/>
      <c r="L93" s="252"/>
      <c r="M93" s="254"/>
      <c r="N93" s="213"/>
      <c r="O93" s="213"/>
      <c r="P93" s="213"/>
      <c r="Q93" s="213"/>
      <c r="R93" s="213"/>
      <c r="S93" s="213"/>
      <c r="T93" s="213"/>
      <c r="U93" s="213"/>
      <c r="V93" s="213"/>
      <c r="W93" s="213"/>
      <c r="X93" s="213"/>
      <c r="Y93" s="213"/>
      <c r="Z93" s="213"/>
      <c r="AA93">
        <f>IF(AND('6 Mic'!C93&gt;Tmin, NOT('6 Mic'!$I93="")),'6 Mic'!$I93,0)</f>
        <v>0</v>
      </c>
      <c r="AB93">
        <f>IF(AND('6 Mic'!D93&gt;Tmin, NOT('6 Mic'!$I93="")),'6 Mic'!$I93,0)</f>
        <v>0</v>
      </c>
      <c r="AC93">
        <f>IF(AND('6 Mic'!E93&gt;Tmin, NOT('6 Mic'!$I93="")),'6 Mic'!$I93,0)</f>
        <v>0</v>
      </c>
      <c r="AD93">
        <f>IF(AND('6 Mic'!F93&gt;Tmin, NOT('6 Mic'!$I93="")),'6 Mic'!$I93,0)</f>
        <v>0</v>
      </c>
      <c r="AE93">
        <f>IF(AND('6 Mic'!C93&lt;Tmax, NOT('6 Mic'!$H93="")),'6 Mic'!$H93,4)</f>
        <v>4</v>
      </c>
      <c r="AF93">
        <f>IF(AND('6 Mic'!D93&lt;Tmax, NOT('6 Mic'!$H93="")),'6 Mic'!$H93,4)</f>
        <v>4</v>
      </c>
      <c r="AG93">
        <f>IF(AND('6 Mic'!E93&lt;Tmax, NOT('6 Mic'!$H93="")),'6 Mic'!$H93,4)</f>
        <v>4</v>
      </c>
      <c r="AH93">
        <f>IF(AND('6 Mic'!F93&lt;Tmax, NOT('6 Mic'!$H93="")),'6 Mic'!$H93,4)</f>
        <v>4</v>
      </c>
      <c r="AI93"/>
    </row>
    <row r="94" spans="1:47" ht="30.6" x14ac:dyDescent="0.25">
      <c r="A94" s="327" t="s">
        <v>2161</v>
      </c>
      <c r="B94" s="128" t="s">
        <v>18</v>
      </c>
      <c r="C94" s="243"/>
      <c r="E94" s="304"/>
      <c r="F94" s="304"/>
      <c r="G94" s="133">
        <v>2</v>
      </c>
      <c r="H94" s="133"/>
      <c r="I94" s="136"/>
      <c r="J94" s="135"/>
      <c r="K94" s="135"/>
      <c r="L94" s="252"/>
      <c r="M94" s="254"/>
      <c r="N94" s="213"/>
      <c r="O94" s="213"/>
      <c r="P94" s="213"/>
      <c r="Q94" s="213"/>
      <c r="R94" s="213"/>
      <c r="S94" s="213"/>
      <c r="T94" s="213"/>
      <c r="U94" s="213"/>
      <c r="V94" s="213"/>
      <c r="W94" s="213"/>
      <c r="X94" s="213"/>
      <c r="Y94" s="213"/>
      <c r="Z94" s="213"/>
      <c r="AA94">
        <f>IF(AND('6 Mic'!C94&gt;Tmin, NOT('6 Mic'!$I94="")),'6 Mic'!$I94,0)</f>
        <v>0</v>
      </c>
      <c r="AB94">
        <f>IF(AND('6 Mic'!D94&gt;Tmin, NOT('6 Mic'!$I94="")),'6 Mic'!$I94,0)</f>
        <v>0</v>
      </c>
      <c r="AC94">
        <f>IF(AND('6 Mic'!E94&gt;Tmin, NOT('6 Mic'!$I94="")),'6 Mic'!$I94,0)</f>
        <v>0</v>
      </c>
      <c r="AD94">
        <f>IF(AND('6 Mic'!F94&gt;Tmin, NOT('6 Mic'!$I94="")),'6 Mic'!$I94,0)</f>
        <v>0</v>
      </c>
      <c r="AE94">
        <f>IF(AND('6 Mic'!C94&lt;Tmax, NOT('6 Mic'!$H94="")),'6 Mic'!$H94,4)</f>
        <v>4</v>
      </c>
      <c r="AF94">
        <f>IF(AND('6 Mic'!D94&lt;Tmax, NOT('6 Mic'!$H94="")),'6 Mic'!$H94,4)</f>
        <v>4</v>
      </c>
      <c r="AG94">
        <f>IF(AND('6 Mic'!E94&lt;Tmax, NOT('6 Mic'!$H94="")),'6 Mic'!$H94,4)</f>
        <v>4</v>
      </c>
      <c r="AH94">
        <f>IF(AND('6 Mic'!F94&lt;Tmax, NOT('6 Mic'!$H94="")),'6 Mic'!$H94,4)</f>
        <v>4</v>
      </c>
      <c r="AI94"/>
    </row>
    <row r="95" spans="1:47" ht="51" x14ac:dyDescent="0.25">
      <c r="A95" s="327" t="s">
        <v>2162</v>
      </c>
      <c r="B95" s="128" t="s">
        <v>2318</v>
      </c>
      <c r="C95" s="243"/>
      <c r="E95" s="304"/>
      <c r="F95" s="304"/>
      <c r="G95" s="133">
        <v>4</v>
      </c>
      <c r="H95" s="133"/>
      <c r="I95" s="136"/>
      <c r="J95" s="135"/>
      <c r="K95" s="135"/>
      <c r="AA95">
        <f>IF(AND('6 Mic'!C95&gt;Tmin, NOT('6 Mic'!$I95="")),'6 Mic'!$I95,0)</f>
        <v>0</v>
      </c>
      <c r="AB95">
        <f>IF(AND('6 Mic'!D95&gt;Tmin, NOT('6 Mic'!$I95="")),'6 Mic'!$I95,0)</f>
        <v>0</v>
      </c>
      <c r="AC95">
        <f>IF(AND('6 Mic'!E95&gt;Tmin, NOT('6 Mic'!$I95="")),'6 Mic'!$I95,0)</f>
        <v>0</v>
      </c>
      <c r="AD95">
        <f>IF(AND('6 Mic'!F95&gt;Tmin, NOT('6 Mic'!$I95="")),'6 Mic'!$I95,0)</f>
        <v>0</v>
      </c>
      <c r="AE95">
        <f>IF(AND('6 Mic'!C95&lt;Tmax, NOT('6 Mic'!$H95="")),'6 Mic'!$H95,4)</f>
        <v>4</v>
      </c>
      <c r="AF95">
        <f>IF(AND('6 Mic'!D95&lt;Tmax, NOT('6 Mic'!$H95="")),'6 Mic'!$H95,4)</f>
        <v>4</v>
      </c>
      <c r="AG95">
        <f>IF(AND('6 Mic'!E95&lt;Tmax, NOT('6 Mic'!$H95="")),'6 Mic'!$H95,4)</f>
        <v>4</v>
      </c>
      <c r="AH95">
        <f>IF(AND('6 Mic'!F95&lt;Tmax, NOT('6 Mic'!$H95="")),'6 Mic'!$H95,4)</f>
        <v>4</v>
      </c>
      <c r="AI95"/>
    </row>
    <row r="96" spans="1:47" x14ac:dyDescent="0.25">
      <c r="A96" s="327" t="s">
        <v>2172</v>
      </c>
      <c r="B96" s="128" t="s">
        <v>2319</v>
      </c>
      <c r="C96" s="243"/>
      <c r="E96" s="304"/>
      <c r="F96" s="304"/>
      <c r="G96" s="133">
        <v>2</v>
      </c>
      <c r="H96" s="133"/>
      <c r="I96" s="136"/>
      <c r="J96" s="135"/>
      <c r="K96" s="135"/>
      <c r="AA96">
        <f>IF(AND('6 Mic'!C96&gt;Tmin, NOT('6 Mic'!$I96="")),'6 Mic'!$I96,0)</f>
        <v>0</v>
      </c>
      <c r="AB96">
        <f>IF(AND('6 Mic'!D96&gt;Tmin, NOT('6 Mic'!$I96="")),'6 Mic'!$I96,0)</f>
        <v>0</v>
      </c>
      <c r="AC96">
        <f>IF(AND('6 Mic'!E96&gt;Tmin, NOT('6 Mic'!$I96="")),'6 Mic'!$I96,0)</f>
        <v>0</v>
      </c>
      <c r="AD96">
        <f>IF(AND('6 Mic'!F96&gt;Tmin, NOT('6 Mic'!$I96="")),'6 Mic'!$I96,0)</f>
        <v>0</v>
      </c>
      <c r="AE96">
        <f>IF(AND('6 Mic'!C96&lt;Tmax, NOT('6 Mic'!$H96="")),'6 Mic'!$H96,4)</f>
        <v>4</v>
      </c>
      <c r="AF96">
        <f>IF(AND('6 Mic'!D96&lt;Tmax, NOT('6 Mic'!$H96="")),'6 Mic'!$H96,4)</f>
        <v>4</v>
      </c>
      <c r="AG96">
        <f>IF(AND('6 Mic'!E96&lt;Tmax, NOT('6 Mic'!$H96="")),'6 Mic'!$H96,4)</f>
        <v>4</v>
      </c>
      <c r="AH96">
        <f>IF(AND('6 Mic'!F96&lt;Tmax, NOT('6 Mic'!$H96="")),'6 Mic'!$H96,4)</f>
        <v>4</v>
      </c>
      <c r="AI96"/>
    </row>
    <row r="97" spans="1:35" x14ac:dyDescent="0.25">
      <c r="A97" s="327" t="s">
        <v>2165</v>
      </c>
      <c r="B97" s="128" t="s">
        <v>2166</v>
      </c>
      <c r="C97" s="243"/>
      <c r="E97" s="304"/>
      <c r="F97" s="304"/>
      <c r="G97" s="133"/>
      <c r="H97" s="133"/>
      <c r="I97" s="136"/>
      <c r="J97" s="135"/>
      <c r="K97" s="135"/>
      <c r="AA97"/>
      <c r="AB97"/>
      <c r="AC97"/>
      <c r="AD97"/>
      <c r="AE97"/>
      <c r="AF97"/>
      <c r="AG97"/>
      <c r="AH97"/>
      <c r="AI97"/>
    </row>
    <row r="98" spans="1:35" ht="61.2" x14ac:dyDescent="0.25">
      <c r="A98" s="327" t="s">
        <v>2167</v>
      </c>
      <c r="B98" s="128" t="s">
        <v>2340</v>
      </c>
      <c r="C98" s="243"/>
      <c r="E98" s="304"/>
      <c r="F98" s="304"/>
      <c r="G98" s="133">
        <v>2</v>
      </c>
      <c r="H98" s="133">
        <v>2</v>
      </c>
      <c r="I98" s="136"/>
      <c r="J98" s="135"/>
      <c r="K98" s="135"/>
      <c r="AA98">
        <f>IF(AND('6 Mic'!C98&gt;Tmin, NOT('6 Mic'!$I98="")),'6 Mic'!$I98,0)</f>
        <v>0</v>
      </c>
      <c r="AB98">
        <f>IF(AND('6 Mic'!D98&gt;Tmin, NOT('6 Mic'!$I98="")),'6 Mic'!$I98,0)</f>
        <v>0</v>
      </c>
      <c r="AC98">
        <f>IF(AND('6 Mic'!E98&gt;Tmin, NOT('6 Mic'!$I98="")),'6 Mic'!$I98,0)</f>
        <v>0</v>
      </c>
      <c r="AD98">
        <f>IF(AND('6 Mic'!F98&gt;Tmin, NOT('6 Mic'!$I98="")),'6 Mic'!$I98,0)</f>
        <v>0</v>
      </c>
      <c r="AE98">
        <f>IF(AND('6 Mic'!C98&lt;Tmax, NOT('6 Mic'!$H98="")),'6 Mic'!$H98,4)</f>
        <v>2</v>
      </c>
      <c r="AF98">
        <f>IF(AND('6 Mic'!D98&lt;Tmax, NOT('6 Mic'!$H98="")),'6 Mic'!$H98,4)</f>
        <v>2</v>
      </c>
      <c r="AG98">
        <f>IF(AND('6 Mic'!E98&lt;Tmax, NOT('6 Mic'!$H98="")),'6 Mic'!$H98,4)</f>
        <v>2</v>
      </c>
      <c r="AH98">
        <f>IF(AND('6 Mic'!F98&lt;Tmax, NOT('6 Mic'!$H98="")),'6 Mic'!$H98,4)</f>
        <v>2</v>
      </c>
      <c r="AI98"/>
    </row>
    <row r="99" spans="1:35" ht="30.6" x14ac:dyDescent="0.25">
      <c r="A99" s="327" t="s">
        <v>2168</v>
      </c>
      <c r="B99" s="128" t="s">
        <v>2329</v>
      </c>
      <c r="C99" s="243"/>
      <c r="E99" s="304"/>
      <c r="F99" s="304"/>
      <c r="G99" s="133">
        <v>4</v>
      </c>
      <c r="H99" s="133">
        <v>2</v>
      </c>
      <c r="I99" s="136"/>
      <c r="J99" s="135"/>
      <c r="K99" s="135"/>
      <c r="AA99">
        <f>IF(AND('6 Mic'!C99&gt;Tmin, NOT('6 Mic'!$I99="")),'6 Mic'!$I99,0)</f>
        <v>0</v>
      </c>
      <c r="AB99">
        <f>IF(AND('6 Mic'!D99&gt;Tmin, NOT('6 Mic'!$I99="")),'6 Mic'!$I99,0)</f>
        <v>0</v>
      </c>
      <c r="AC99">
        <f>IF(AND('6 Mic'!E99&gt;Tmin, NOT('6 Mic'!$I99="")),'6 Mic'!$I99,0)</f>
        <v>0</v>
      </c>
      <c r="AD99">
        <f>IF(AND('6 Mic'!F99&gt;Tmin, NOT('6 Mic'!$I99="")),'6 Mic'!$I99,0)</f>
        <v>0</v>
      </c>
      <c r="AE99">
        <f>IF(AND('6 Mic'!C99&lt;Tmax, NOT('6 Mic'!$H99="")),'6 Mic'!$H99,4)</f>
        <v>2</v>
      </c>
      <c r="AF99">
        <f>IF(AND('6 Mic'!D99&lt;Tmax, NOT('6 Mic'!$H99="")),'6 Mic'!$H99,4)</f>
        <v>2</v>
      </c>
      <c r="AG99">
        <f>IF(AND('6 Mic'!E99&lt;Tmax, NOT('6 Mic'!$H99="")),'6 Mic'!$H99,4)</f>
        <v>2</v>
      </c>
      <c r="AH99">
        <f>IF(AND('6 Mic'!F99&lt;Tmax, NOT('6 Mic'!$H99="")),'6 Mic'!$H99,4)</f>
        <v>2</v>
      </c>
      <c r="AI99"/>
    </row>
    <row r="100" spans="1:35" ht="30.6" x14ac:dyDescent="0.25">
      <c r="A100" s="327" t="s">
        <v>2169</v>
      </c>
      <c r="B100" s="128" t="s">
        <v>2330</v>
      </c>
      <c r="C100" s="243"/>
      <c r="E100" s="304"/>
      <c r="F100" s="304"/>
      <c r="G100" s="133">
        <v>2</v>
      </c>
      <c r="H100" s="133">
        <v>3</v>
      </c>
      <c r="I100" s="136"/>
      <c r="J100" s="135"/>
      <c r="K100" s="135"/>
      <c r="L100" s="252"/>
      <c r="M100" s="254"/>
      <c r="N100" s="213"/>
      <c r="O100" s="213"/>
      <c r="P100" s="213"/>
      <c r="Q100" s="213"/>
      <c r="R100" s="213"/>
      <c r="S100" s="213"/>
      <c r="T100" s="213"/>
      <c r="U100" s="213"/>
      <c r="V100" s="213"/>
      <c r="W100" s="213"/>
      <c r="X100" s="213"/>
      <c r="Y100" s="213"/>
      <c r="Z100" s="213"/>
      <c r="AA100">
        <f>IF(AND('6 Mic'!C100&gt;Tmin, NOT('6 Mic'!$I100="")),'6 Mic'!$I100,0)</f>
        <v>0</v>
      </c>
      <c r="AB100">
        <f>IF(AND('6 Mic'!D100&gt;Tmin, NOT('6 Mic'!$I100="")),'6 Mic'!$I100,0)</f>
        <v>0</v>
      </c>
      <c r="AC100">
        <f>IF(AND('6 Mic'!E100&gt;Tmin, NOT('6 Mic'!$I100="")),'6 Mic'!$I100,0)</f>
        <v>0</v>
      </c>
      <c r="AD100">
        <f>IF(AND('6 Mic'!F100&gt;Tmin, NOT('6 Mic'!$I100="")),'6 Mic'!$I100,0)</f>
        <v>0</v>
      </c>
      <c r="AE100">
        <f>IF(AND('6 Mic'!C100&lt;Tmax, NOT('6 Mic'!$H100="")),'6 Mic'!$H100,4)</f>
        <v>3</v>
      </c>
      <c r="AF100">
        <f>IF(AND('6 Mic'!D100&lt;Tmax, NOT('6 Mic'!$H100="")),'6 Mic'!$H100,4)</f>
        <v>3</v>
      </c>
      <c r="AG100">
        <f>IF(AND('6 Mic'!E100&lt;Tmax, NOT('6 Mic'!$H100="")),'6 Mic'!$H100,4)</f>
        <v>3</v>
      </c>
      <c r="AH100">
        <f>IF(AND('6 Mic'!F100&lt;Tmax, NOT('6 Mic'!$H100="")),'6 Mic'!$H100,4)</f>
        <v>3</v>
      </c>
      <c r="AI100"/>
    </row>
    <row r="101" spans="1:35" ht="20.399999999999999" x14ac:dyDescent="0.25">
      <c r="A101" s="327" t="s">
        <v>2170</v>
      </c>
      <c r="B101" s="128" t="s">
        <v>2331</v>
      </c>
      <c r="C101" s="243"/>
      <c r="E101" s="304"/>
      <c r="F101" s="304"/>
      <c r="G101" s="133">
        <v>2</v>
      </c>
      <c r="H101" s="133">
        <v>3</v>
      </c>
      <c r="I101" s="136"/>
      <c r="J101" s="135"/>
      <c r="K101" s="135"/>
      <c r="L101" s="252"/>
      <c r="M101" s="254"/>
      <c r="N101" s="213"/>
      <c r="O101" s="213"/>
      <c r="P101" s="213"/>
      <c r="Q101" s="213"/>
      <c r="R101" s="213"/>
      <c r="S101" s="213"/>
      <c r="T101" s="213"/>
      <c r="U101" s="213"/>
      <c r="V101" s="213"/>
      <c r="W101" s="213"/>
      <c r="X101" s="213"/>
      <c r="Y101" s="213"/>
      <c r="Z101" s="213"/>
      <c r="AA101">
        <f>IF(AND('6 Mic'!C101&gt;Tmin, NOT('6 Mic'!$I101="")),'6 Mic'!$I101,0)</f>
        <v>0</v>
      </c>
      <c r="AB101">
        <f>IF(AND('6 Mic'!D101&gt;Tmin, NOT('6 Mic'!$I101="")),'6 Mic'!$I101,0)</f>
        <v>0</v>
      </c>
      <c r="AC101">
        <f>IF(AND('6 Mic'!E101&gt;Tmin, NOT('6 Mic'!$I101="")),'6 Mic'!$I101,0)</f>
        <v>0</v>
      </c>
      <c r="AD101">
        <f>IF(AND('6 Mic'!F101&gt;Tmin, NOT('6 Mic'!$I101="")),'6 Mic'!$I101,0)</f>
        <v>0</v>
      </c>
      <c r="AE101">
        <f>IF(AND('6 Mic'!C101&lt;Tmax, NOT('6 Mic'!$H101="")),'6 Mic'!$H101,4)</f>
        <v>3</v>
      </c>
      <c r="AF101">
        <f>IF(AND('6 Mic'!D101&lt;Tmax, NOT('6 Mic'!$H101="")),'6 Mic'!$H101,4)</f>
        <v>3</v>
      </c>
      <c r="AG101">
        <f>IF(AND('6 Mic'!E101&lt;Tmax, NOT('6 Mic'!$H101="")),'6 Mic'!$H101,4)</f>
        <v>3</v>
      </c>
      <c r="AH101">
        <f>IF(AND('6 Mic'!F101&lt;Tmax, NOT('6 Mic'!$H101="")),'6 Mic'!$H101,4)</f>
        <v>3</v>
      </c>
      <c r="AI101"/>
    </row>
    <row r="102" spans="1:35" ht="20.399999999999999" x14ac:dyDescent="0.25">
      <c r="A102" s="327" t="s">
        <v>2171</v>
      </c>
      <c r="B102" s="128" t="s">
        <v>2320</v>
      </c>
      <c r="C102" s="243"/>
      <c r="E102" s="304"/>
      <c r="F102" s="304"/>
      <c r="G102" s="133">
        <v>2</v>
      </c>
      <c r="H102" s="133">
        <v>2</v>
      </c>
      <c r="I102" s="136"/>
      <c r="J102" s="135"/>
      <c r="K102" s="135"/>
      <c r="L102" s="252"/>
      <c r="M102" s="254"/>
      <c r="N102" s="213"/>
      <c r="O102" s="213"/>
      <c r="P102" s="213"/>
      <c r="Q102" s="213"/>
      <c r="R102" s="213"/>
      <c r="S102" s="213"/>
      <c r="T102" s="213"/>
      <c r="U102" s="213"/>
      <c r="V102" s="213"/>
      <c r="W102" s="213"/>
      <c r="X102" s="213"/>
      <c r="Y102" s="213"/>
      <c r="Z102" s="213"/>
      <c r="AA102">
        <f>IF(AND('6 Mic'!C102&gt;Tmin, NOT('6 Mic'!$I102="")),'6 Mic'!$I102,0)</f>
        <v>0</v>
      </c>
      <c r="AB102">
        <f>IF(AND('6 Mic'!D102&gt;Tmin, NOT('6 Mic'!$I102="")),'6 Mic'!$I102,0)</f>
        <v>0</v>
      </c>
      <c r="AC102">
        <f>IF(AND('6 Mic'!E102&gt;Tmin, NOT('6 Mic'!$I102="")),'6 Mic'!$I102,0)</f>
        <v>0</v>
      </c>
      <c r="AD102">
        <f>IF(AND('6 Mic'!F102&gt;Tmin, NOT('6 Mic'!$I102="")),'6 Mic'!$I102,0)</f>
        <v>0</v>
      </c>
      <c r="AE102">
        <f>IF(AND('6 Mic'!C102&lt;Tmax, NOT('6 Mic'!$H102="")),'6 Mic'!$H102,4)</f>
        <v>2</v>
      </c>
      <c r="AF102">
        <f>IF(AND('6 Mic'!D102&lt;Tmax, NOT('6 Mic'!$H102="")),'6 Mic'!$H102,4)</f>
        <v>2</v>
      </c>
      <c r="AG102">
        <f>IF(AND('6 Mic'!E102&lt;Tmax, NOT('6 Mic'!$H102="")),'6 Mic'!$H102,4)</f>
        <v>2</v>
      </c>
      <c r="AH102">
        <f>IF(AND('6 Mic'!F102&lt;Tmax, NOT('6 Mic'!$H102="")),'6 Mic'!$H102,4)</f>
        <v>2</v>
      </c>
      <c r="AI102"/>
    </row>
    <row r="103" spans="1:35" x14ac:dyDescent="0.25">
      <c r="C103" s="243"/>
      <c r="AA103"/>
      <c r="AB103"/>
      <c r="AC103"/>
      <c r="AD103"/>
      <c r="AE103"/>
      <c r="AF103"/>
      <c r="AG103"/>
      <c r="AH103"/>
      <c r="AI103"/>
    </row>
    <row r="104" spans="1:35" x14ac:dyDescent="0.25">
      <c r="C104" s="243"/>
      <c r="G104" s="130"/>
      <c r="AA104"/>
      <c r="AB104"/>
      <c r="AC104"/>
      <c r="AD104"/>
      <c r="AE104"/>
      <c r="AF104"/>
      <c r="AG104"/>
      <c r="AH104"/>
      <c r="AI104"/>
    </row>
    <row r="105" spans="1:35" x14ac:dyDescent="0.25">
      <c r="C105" s="251"/>
      <c r="D105" s="251"/>
      <c r="E105" s="251"/>
      <c r="F105" s="251"/>
      <c r="G105" s="251"/>
      <c r="H105" s="251"/>
      <c r="I105" s="251"/>
      <c r="J105" s="251"/>
      <c r="AA105"/>
      <c r="AB105"/>
      <c r="AC105"/>
      <c r="AD105"/>
      <c r="AE105"/>
      <c r="AF105"/>
      <c r="AG105"/>
      <c r="AH105"/>
      <c r="AI105"/>
    </row>
    <row r="106" spans="1:35" x14ac:dyDescent="0.25">
      <c r="C106" s="251"/>
      <c r="D106" s="251"/>
      <c r="E106" s="251"/>
      <c r="F106" s="251"/>
      <c r="G106" s="251"/>
      <c r="H106" s="251"/>
      <c r="I106" s="251"/>
      <c r="J106" s="251"/>
      <c r="AA106"/>
      <c r="AB106"/>
      <c r="AC106"/>
      <c r="AD106"/>
      <c r="AE106"/>
      <c r="AF106"/>
      <c r="AG106"/>
      <c r="AH106"/>
      <c r="AI106"/>
    </row>
    <row r="107" spans="1:35" x14ac:dyDescent="0.25">
      <c r="C107" s="251"/>
      <c r="D107" s="251"/>
      <c r="E107" s="251"/>
      <c r="F107" s="251"/>
      <c r="G107" s="251"/>
      <c r="H107" s="251"/>
      <c r="I107" s="251"/>
      <c r="J107" s="251"/>
      <c r="AA107"/>
      <c r="AB107"/>
      <c r="AC107"/>
      <c r="AD107"/>
      <c r="AE107"/>
      <c r="AF107"/>
      <c r="AG107"/>
      <c r="AH107"/>
      <c r="AI107"/>
    </row>
    <row r="108" spans="1:35" x14ac:dyDescent="0.25">
      <c r="C108" s="251"/>
      <c r="D108" s="251"/>
      <c r="E108" s="251"/>
      <c r="F108" s="251"/>
      <c r="G108" s="251"/>
      <c r="H108" s="251"/>
      <c r="I108" s="251"/>
      <c r="J108" s="251"/>
      <c r="AA108"/>
      <c r="AB108"/>
      <c r="AC108"/>
      <c r="AD108"/>
      <c r="AE108"/>
      <c r="AF108"/>
      <c r="AG108"/>
      <c r="AH108"/>
      <c r="AI108"/>
    </row>
    <row r="109" spans="1:35" x14ac:dyDescent="0.25">
      <c r="C109" s="251"/>
      <c r="D109" s="251"/>
      <c r="E109" s="251"/>
      <c r="F109" s="251"/>
      <c r="G109" s="251"/>
      <c r="H109" s="251"/>
      <c r="I109" s="251"/>
      <c r="J109" s="251"/>
      <c r="AA109"/>
      <c r="AB109"/>
      <c r="AC109"/>
      <c r="AD109"/>
      <c r="AE109"/>
      <c r="AF109"/>
      <c r="AG109"/>
      <c r="AH109"/>
      <c r="AI109"/>
    </row>
    <row r="110" spans="1:35" x14ac:dyDescent="0.25">
      <c r="C110" s="251"/>
      <c r="D110" s="251"/>
      <c r="E110" s="251"/>
      <c r="F110" s="251"/>
      <c r="G110" s="251"/>
      <c r="H110" s="251"/>
      <c r="I110" s="251"/>
      <c r="J110" s="251"/>
      <c r="AA110"/>
      <c r="AB110"/>
      <c r="AC110"/>
      <c r="AD110"/>
      <c r="AE110"/>
      <c r="AF110"/>
      <c r="AG110"/>
      <c r="AH110"/>
      <c r="AI110"/>
    </row>
    <row r="111" spans="1:35" x14ac:dyDescent="0.25">
      <c r="C111" s="251"/>
      <c r="D111" s="251"/>
      <c r="E111" s="251"/>
      <c r="F111" s="251"/>
      <c r="G111" s="251"/>
      <c r="H111" s="251"/>
      <c r="I111" s="251"/>
      <c r="J111" s="251"/>
      <c r="AA111"/>
      <c r="AB111"/>
      <c r="AC111"/>
      <c r="AD111"/>
      <c r="AE111"/>
      <c r="AF111"/>
      <c r="AG111"/>
      <c r="AH111"/>
      <c r="AI111"/>
    </row>
    <row r="112" spans="1:35" x14ac:dyDescent="0.25">
      <c r="C112" s="251"/>
      <c r="D112" s="251"/>
      <c r="E112" s="251"/>
      <c r="F112" s="251"/>
      <c r="G112" s="251"/>
      <c r="H112" s="251"/>
      <c r="I112" s="251"/>
      <c r="J112" s="251"/>
      <c r="AA112"/>
      <c r="AB112"/>
      <c r="AC112"/>
      <c r="AD112"/>
      <c r="AE112"/>
      <c r="AF112"/>
      <c r="AG112"/>
      <c r="AH112"/>
      <c r="AI112"/>
    </row>
    <row r="113" spans="3:35" x14ac:dyDescent="0.25">
      <c r="C113" s="251"/>
      <c r="D113" s="251"/>
      <c r="E113" s="251"/>
      <c r="F113" s="251"/>
      <c r="G113" s="251"/>
      <c r="H113" s="251"/>
      <c r="I113" s="251"/>
      <c r="J113" s="251"/>
      <c r="AA113"/>
      <c r="AB113"/>
      <c r="AC113"/>
      <c r="AD113"/>
      <c r="AE113"/>
      <c r="AF113"/>
      <c r="AG113"/>
      <c r="AH113"/>
      <c r="AI113"/>
    </row>
    <row r="114" spans="3:35" x14ac:dyDescent="0.25">
      <c r="C114" s="251"/>
      <c r="D114" s="251"/>
      <c r="E114" s="251"/>
      <c r="F114" s="251"/>
      <c r="G114" s="251"/>
      <c r="H114" s="251"/>
      <c r="I114" s="251"/>
      <c r="J114" s="251"/>
      <c r="AA114"/>
      <c r="AB114"/>
      <c r="AC114"/>
      <c r="AD114"/>
      <c r="AE114"/>
      <c r="AF114"/>
      <c r="AG114"/>
      <c r="AH114"/>
      <c r="AI114"/>
    </row>
    <row r="115" spans="3:35" x14ac:dyDescent="0.25">
      <c r="C115" s="251"/>
      <c r="D115" s="251"/>
      <c r="E115" s="251"/>
      <c r="F115" s="251"/>
      <c r="G115" s="251"/>
      <c r="H115" s="251"/>
      <c r="I115" s="251"/>
      <c r="J115" s="251"/>
      <c r="AA115"/>
      <c r="AB115"/>
      <c r="AC115"/>
      <c r="AD115"/>
      <c r="AE115"/>
      <c r="AF115"/>
      <c r="AG115"/>
      <c r="AH115"/>
      <c r="AI115"/>
    </row>
    <row r="116" spans="3:35" x14ac:dyDescent="0.25">
      <c r="C116" s="251"/>
      <c r="D116" s="251"/>
      <c r="E116" s="251"/>
      <c r="F116" s="251"/>
      <c r="G116" s="251"/>
      <c r="H116" s="251"/>
      <c r="I116" s="251"/>
      <c r="J116" s="251"/>
      <c r="AA116"/>
      <c r="AB116"/>
      <c r="AC116"/>
      <c r="AD116"/>
      <c r="AE116"/>
      <c r="AF116"/>
      <c r="AG116"/>
      <c r="AH116"/>
      <c r="AI116"/>
    </row>
    <row r="117" spans="3:35" x14ac:dyDescent="0.25">
      <c r="C117" s="251"/>
      <c r="D117" s="251"/>
      <c r="E117" s="251"/>
      <c r="F117" s="251"/>
      <c r="G117" s="251"/>
      <c r="H117" s="251"/>
      <c r="I117" s="251"/>
      <c r="J117" s="251"/>
      <c r="AA117"/>
      <c r="AB117"/>
      <c r="AC117"/>
      <c r="AD117"/>
      <c r="AE117"/>
      <c r="AF117"/>
      <c r="AG117"/>
      <c r="AH117"/>
      <c r="AI117"/>
    </row>
    <row r="118" spans="3:35" x14ac:dyDescent="0.25">
      <c r="C118" s="251"/>
      <c r="D118" s="251"/>
      <c r="E118" s="251"/>
      <c r="F118" s="251"/>
      <c r="G118" s="251"/>
      <c r="H118" s="251"/>
      <c r="I118" s="251"/>
      <c r="J118" s="251"/>
      <c r="AA118"/>
      <c r="AB118"/>
      <c r="AC118"/>
      <c r="AD118"/>
      <c r="AE118"/>
      <c r="AF118"/>
      <c r="AG118"/>
      <c r="AH118"/>
      <c r="AI118"/>
    </row>
    <row r="119" spans="3:35" x14ac:dyDescent="0.25">
      <c r="C119" s="251"/>
      <c r="D119" s="251"/>
      <c r="E119" s="251"/>
      <c r="F119" s="251"/>
      <c r="G119" s="251"/>
      <c r="H119" s="251"/>
      <c r="I119" s="251"/>
      <c r="J119" s="251"/>
      <c r="AA119"/>
      <c r="AB119"/>
      <c r="AC119"/>
      <c r="AD119"/>
      <c r="AE119"/>
      <c r="AF119"/>
      <c r="AG119"/>
      <c r="AH119"/>
      <c r="AI119"/>
    </row>
    <row r="120" spans="3:35" x14ac:dyDescent="0.25">
      <c r="C120" s="251"/>
      <c r="D120" s="251"/>
      <c r="E120" s="251"/>
      <c r="F120" s="251"/>
      <c r="G120" s="251"/>
      <c r="H120" s="251"/>
      <c r="I120" s="251"/>
      <c r="J120" s="251"/>
      <c r="AA120"/>
      <c r="AB120"/>
      <c r="AC120"/>
      <c r="AD120"/>
      <c r="AE120"/>
      <c r="AF120"/>
      <c r="AG120"/>
      <c r="AH120"/>
      <c r="AI120"/>
    </row>
    <row r="121" spans="3:35" x14ac:dyDescent="0.25">
      <c r="C121" s="251"/>
      <c r="D121" s="251"/>
      <c r="E121" s="251"/>
      <c r="F121" s="251"/>
      <c r="G121" s="251"/>
      <c r="H121" s="251"/>
      <c r="I121" s="251"/>
      <c r="J121" s="251"/>
      <c r="AA121"/>
      <c r="AB121"/>
      <c r="AC121"/>
      <c r="AD121"/>
      <c r="AE121"/>
      <c r="AF121"/>
      <c r="AG121"/>
      <c r="AH121"/>
      <c r="AI121"/>
    </row>
    <row r="122" spans="3:35" x14ac:dyDescent="0.25">
      <c r="C122" s="251"/>
      <c r="D122" s="251"/>
      <c r="E122" s="251"/>
      <c r="F122" s="251"/>
      <c r="G122" s="251"/>
      <c r="H122" s="251"/>
      <c r="I122" s="251"/>
      <c r="J122" s="251"/>
      <c r="AA122"/>
      <c r="AB122"/>
      <c r="AC122"/>
      <c r="AD122"/>
      <c r="AE122"/>
      <c r="AF122"/>
      <c r="AG122"/>
      <c r="AH122"/>
      <c r="AI122"/>
    </row>
    <row r="123" spans="3:35" x14ac:dyDescent="0.25">
      <c r="C123" s="251"/>
      <c r="D123" s="251"/>
      <c r="E123" s="251"/>
      <c r="F123" s="251"/>
      <c r="G123" s="251"/>
      <c r="H123" s="251"/>
      <c r="I123" s="251"/>
      <c r="J123" s="251"/>
      <c r="AA123"/>
      <c r="AB123"/>
      <c r="AC123"/>
      <c r="AD123"/>
      <c r="AE123"/>
      <c r="AF123"/>
      <c r="AG123"/>
      <c r="AH123"/>
      <c r="AI123"/>
    </row>
    <row r="124" spans="3:35" x14ac:dyDescent="0.25">
      <c r="C124" s="251"/>
      <c r="D124" s="251"/>
      <c r="E124" s="251"/>
      <c r="F124" s="251"/>
      <c r="G124" s="251"/>
      <c r="H124" s="251"/>
      <c r="I124" s="251"/>
      <c r="J124" s="251"/>
      <c r="AA124"/>
      <c r="AB124"/>
      <c r="AC124"/>
      <c r="AD124"/>
      <c r="AE124"/>
      <c r="AF124"/>
      <c r="AG124"/>
      <c r="AH124"/>
      <c r="AI124"/>
    </row>
    <row r="125" spans="3:35" x14ac:dyDescent="0.25">
      <c r="C125" s="251"/>
      <c r="D125" s="251"/>
      <c r="E125" s="251"/>
      <c r="F125" s="251"/>
      <c r="G125" s="251"/>
      <c r="H125" s="251"/>
      <c r="I125" s="251"/>
      <c r="J125" s="251"/>
      <c r="AA125"/>
      <c r="AB125"/>
      <c r="AC125"/>
      <c r="AD125"/>
      <c r="AE125"/>
      <c r="AF125"/>
      <c r="AG125"/>
      <c r="AH125"/>
      <c r="AI125"/>
    </row>
    <row r="126" spans="3:35" x14ac:dyDescent="0.25">
      <c r="C126" s="251"/>
      <c r="D126" s="251"/>
      <c r="E126" s="251"/>
      <c r="F126" s="251"/>
      <c r="G126" s="251"/>
      <c r="H126" s="251"/>
      <c r="I126" s="251"/>
      <c r="J126" s="251"/>
      <c r="AA126"/>
      <c r="AB126"/>
      <c r="AC126"/>
      <c r="AD126"/>
      <c r="AE126"/>
      <c r="AF126"/>
      <c r="AG126"/>
      <c r="AH126"/>
      <c r="AI126"/>
    </row>
    <row r="127" spans="3:35" x14ac:dyDescent="0.25">
      <c r="C127" s="243"/>
      <c r="AA127"/>
      <c r="AB127"/>
      <c r="AC127"/>
      <c r="AD127"/>
      <c r="AE127"/>
      <c r="AF127"/>
      <c r="AG127"/>
      <c r="AH127"/>
      <c r="AI127"/>
    </row>
    <row r="128" spans="3:35" x14ac:dyDescent="0.25">
      <c r="C128" s="243"/>
      <c r="AA128"/>
      <c r="AB128"/>
      <c r="AC128"/>
      <c r="AD128"/>
      <c r="AE128"/>
      <c r="AF128"/>
      <c r="AG128"/>
      <c r="AH128"/>
      <c r="AI128"/>
    </row>
    <row r="129" spans="3:35" x14ac:dyDescent="0.25">
      <c r="C129" s="243"/>
      <c r="AA129"/>
      <c r="AB129"/>
      <c r="AC129"/>
      <c r="AD129"/>
      <c r="AE129"/>
      <c r="AF129"/>
      <c r="AG129"/>
      <c r="AH129"/>
      <c r="AI129"/>
    </row>
    <row r="130" spans="3:35" x14ac:dyDescent="0.25">
      <c r="C130" s="243"/>
      <c r="AA130"/>
      <c r="AB130"/>
      <c r="AC130"/>
      <c r="AD130"/>
      <c r="AE130"/>
      <c r="AF130"/>
      <c r="AG130"/>
      <c r="AH130"/>
      <c r="AI130"/>
    </row>
    <row r="131" spans="3:35" x14ac:dyDescent="0.25">
      <c r="C131" s="243"/>
      <c r="AA131"/>
      <c r="AB131"/>
      <c r="AC131"/>
      <c r="AD131"/>
      <c r="AE131"/>
      <c r="AF131"/>
      <c r="AG131"/>
      <c r="AH131"/>
      <c r="AI131"/>
    </row>
    <row r="132" spans="3:35" x14ac:dyDescent="0.25">
      <c r="C132" s="243"/>
      <c r="AA132"/>
      <c r="AB132"/>
      <c r="AC132"/>
      <c r="AD132"/>
      <c r="AE132"/>
      <c r="AF132"/>
      <c r="AG132"/>
      <c r="AH132"/>
      <c r="AI132"/>
    </row>
    <row r="133" spans="3:35" x14ac:dyDescent="0.25">
      <c r="C133" s="243"/>
      <c r="AA133"/>
      <c r="AB133"/>
      <c r="AC133"/>
      <c r="AD133"/>
      <c r="AE133"/>
      <c r="AF133"/>
      <c r="AG133"/>
      <c r="AH133"/>
      <c r="AI133"/>
    </row>
    <row r="134" spans="3:35" x14ac:dyDescent="0.25">
      <c r="C134" s="243"/>
      <c r="AA134"/>
      <c r="AB134"/>
      <c r="AC134"/>
      <c r="AD134"/>
      <c r="AE134"/>
      <c r="AF134"/>
      <c r="AG134"/>
      <c r="AH134"/>
      <c r="AI134"/>
    </row>
    <row r="135" spans="3:35" x14ac:dyDescent="0.25">
      <c r="C135" s="243"/>
      <c r="AA135"/>
      <c r="AB135"/>
      <c r="AC135"/>
      <c r="AD135"/>
      <c r="AE135"/>
      <c r="AF135"/>
      <c r="AG135"/>
      <c r="AH135"/>
      <c r="AI135"/>
    </row>
    <row r="136" spans="3:35" x14ac:dyDescent="0.25">
      <c r="C136" s="243"/>
      <c r="AA136"/>
      <c r="AB136"/>
      <c r="AC136"/>
      <c r="AD136"/>
      <c r="AE136"/>
      <c r="AF136"/>
      <c r="AG136"/>
      <c r="AH136"/>
      <c r="AI136"/>
    </row>
    <row r="137" spans="3:35" x14ac:dyDescent="0.25">
      <c r="C137" s="243"/>
      <c r="AA137"/>
      <c r="AB137"/>
      <c r="AC137"/>
      <c r="AD137"/>
      <c r="AE137"/>
      <c r="AF137"/>
      <c r="AG137"/>
      <c r="AH137"/>
      <c r="AI137"/>
    </row>
    <row r="138" spans="3:35" x14ac:dyDescent="0.25">
      <c r="C138" s="243"/>
      <c r="AA138"/>
      <c r="AB138"/>
      <c r="AC138"/>
      <c r="AD138"/>
      <c r="AE138"/>
      <c r="AF138"/>
      <c r="AG138"/>
      <c r="AH138"/>
      <c r="AI138"/>
    </row>
    <row r="139" spans="3:35" x14ac:dyDescent="0.25">
      <c r="C139" s="243"/>
      <c r="AA139"/>
      <c r="AB139"/>
      <c r="AC139"/>
      <c r="AD139"/>
      <c r="AE139"/>
      <c r="AF139"/>
      <c r="AG139"/>
      <c r="AH139"/>
      <c r="AI139"/>
    </row>
    <row r="140" spans="3:35" x14ac:dyDescent="0.25">
      <c r="AA140"/>
      <c r="AB140"/>
      <c r="AC140"/>
      <c r="AD140"/>
      <c r="AE140"/>
      <c r="AF140"/>
      <c r="AG140"/>
      <c r="AH140"/>
      <c r="AI140"/>
    </row>
    <row r="141" spans="3:35" x14ac:dyDescent="0.25">
      <c r="AA141"/>
      <c r="AB141"/>
      <c r="AC141"/>
      <c r="AD141"/>
      <c r="AE141"/>
      <c r="AF141"/>
      <c r="AG141"/>
      <c r="AH141"/>
      <c r="AI141"/>
    </row>
    <row r="142" spans="3:35" x14ac:dyDescent="0.25">
      <c r="AA142"/>
      <c r="AB142"/>
      <c r="AC142"/>
      <c r="AD142"/>
      <c r="AE142"/>
      <c r="AF142"/>
      <c r="AG142"/>
      <c r="AH142"/>
      <c r="AI142"/>
    </row>
    <row r="143" spans="3:35" x14ac:dyDescent="0.25">
      <c r="AA143"/>
      <c r="AB143"/>
      <c r="AC143"/>
      <c r="AD143"/>
      <c r="AE143"/>
      <c r="AF143"/>
      <c r="AG143"/>
      <c r="AH143"/>
      <c r="AI143"/>
    </row>
    <row r="144" spans="3: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1:35" x14ac:dyDescent="0.25">
      <c r="AA161"/>
      <c r="AB161"/>
      <c r="AC161"/>
      <c r="AD161"/>
      <c r="AE161"/>
      <c r="AF161"/>
      <c r="AG161"/>
      <c r="AH161"/>
      <c r="AI161"/>
    </row>
    <row r="162" spans="1:35" s="256" customFormat="1" x14ac:dyDescent="0.25">
      <c r="A162" s="517"/>
      <c r="B162" s="255"/>
      <c r="C162" s="253"/>
      <c r="D162" s="244"/>
      <c r="E162" s="244"/>
      <c r="F162" s="244"/>
      <c r="H162" s="257"/>
      <c r="I162" s="219"/>
      <c r="J162" s="219"/>
      <c r="K162" s="251"/>
      <c r="L162" s="227"/>
      <c r="M162" s="227"/>
      <c r="N162" s="227"/>
      <c r="O162" s="227"/>
      <c r="P162" s="227"/>
      <c r="Q162" s="227"/>
      <c r="R162" s="227"/>
      <c r="S162" s="227"/>
      <c r="T162" s="227"/>
      <c r="U162" s="227"/>
      <c r="V162" s="227"/>
      <c r="W162" s="227"/>
      <c r="X162" s="227"/>
      <c r="Y162" s="227"/>
      <c r="Z162" s="227"/>
      <c r="AA162"/>
      <c r="AB162"/>
      <c r="AC162"/>
      <c r="AD162"/>
      <c r="AE162"/>
      <c r="AF162"/>
      <c r="AG162"/>
      <c r="AH162"/>
      <c r="AI162"/>
    </row>
    <row r="163" spans="1:35" s="256" customFormat="1" x14ac:dyDescent="0.25">
      <c r="A163" s="517"/>
      <c r="B163" s="255"/>
      <c r="C163" s="253"/>
      <c r="D163" s="244"/>
      <c r="E163" s="244"/>
      <c r="F163" s="244"/>
      <c r="H163" s="257"/>
      <c r="I163" s="219"/>
      <c r="J163" s="219"/>
      <c r="K163" s="251"/>
      <c r="L163" s="227"/>
      <c r="M163" s="227"/>
      <c r="N163" s="227"/>
      <c r="O163" s="227"/>
      <c r="P163" s="227"/>
      <c r="Q163" s="227"/>
      <c r="R163" s="227"/>
      <c r="S163" s="227"/>
      <c r="T163" s="227"/>
      <c r="U163" s="227"/>
      <c r="V163" s="227"/>
      <c r="W163" s="227"/>
      <c r="X163" s="227"/>
      <c r="Y163" s="227"/>
      <c r="Z163" s="227"/>
      <c r="AA163"/>
      <c r="AB163"/>
      <c r="AC163"/>
      <c r="AD163"/>
      <c r="AE163"/>
      <c r="AF163"/>
      <c r="AG163"/>
      <c r="AH163"/>
      <c r="AI163"/>
    </row>
    <row r="164" spans="1:35" s="256" customFormat="1" x14ac:dyDescent="0.25">
      <c r="A164" s="517"/>
      <c r="B164" s="255"/>
      <c r="C164" s="253"/>
      <c r="D164" s="244"/>
      <c r="E164" s="244"/>
      <c r="F164" s="244"/>
      <c r="H164" s="257"/>
      <c r="I164" s="219"/>
      <c r="J164" s="219"/>
      <c r="K164" s="251"/>
      <c r="L164" s="227"/>
      <c r="M164" s="227"/>
      <c r="N164" s="227"/>
      <c r="O164" s="227"/>
      <c r="P164" s="227"/>
      <c r="Q164" s="227"/>
      <c r="R164" s="227"/>
      <c r="S164" s="227"/>
      <c r="T164" s="227"/>
      <c r="U164" s="227"/>
      <c r="V164" s="227"/>
      <c r="W164" s="227"/>
      <c r="X164" s="227"/>
      <c r="Y164" s="227"/>
      <c r="Z164" s="227"/>
      <c r="AA164"/>
      <c r="AB164"/>
      <c r="AC164"/>
      <c r="AD164"/>
      <c r="AE164"/>
      <c r="AF164"/>
      <c r="AG164"/>
      <c r="AH164"/>
      <c r="AI164"/>
    </row>
    <row r="165" spans="1:35" s="256" customFormat="1" x14ac:dyDescent="0.25">
      <c r="A165" s="517"/>
      <c r="B165" s="255"/>
      <c r="C165" s="253"/>
      <c r="D165" s="244"/>
      <c r="E165" s="244"/>
      <c r="F165" s="244"/>
      <c r="H165" s="257"/>
      <c r="I165" s="219"/>
      <c r="J165" s="219"/>
      <c r="K165" s="251"/>
      <c r="L165" s="227"/>
      <c r="M165" s="227"/>
      <c r="N165" s="227"/>
      <c r="O165" s="227"/>
      <c r="P165" s="227"/>
      <c r="Q165" s="227"/>
      <c r="R165" s="227"/>
      <c r="S165" s="227"/>
      <c r="T165" s="227"/>
      <c r="U165" s="227"/>
      <c r="V165" s="227"/>
      <c r="W165" s="227"/>
      <c r="X165" s="227"/>
      <c r="Y165" s="227"/>
      <c r="Z165" s="227"/>
      <c r="AA165"/>
      <c r="AB165"/>
      <c r="AC165"/>
      <c r="AD165"/>
      <c r="AE165"/>
      <c r="AF165"/>
      <c r="AG165"/>
      <c r="AH165"/>
      <c r="AI165"/>
    </row>
    <row r="166" spans="1:35" x14ac:dyDescent="0.25">
      <c r="AA166"/>
      <c r="AB166"/>
      <c r="AC166"/>
      <c r="AD166"/>
      <c r="AE166"/>
      <c r="AF166"/>
      <c r="AG166"/>
      <c r="AH166"/>
      <c r="AI166"/>
    </row>
    <row r="167" spans="1:35" x14ac:dyDescent="0.25">
      <c r="AA167"/>
      <c r="AB167"/>
      <c r="AC167"/>
      <c r="AD167"/>
      <c r="AE167"/>
      <c r="AF167"/>
      <c r="AG167"/>
      <c r="AH167"/>
      <c r="AI167"/>
    </row>
    <row r="168" spans="1:35" x14ac:dyDescent="0.25">
      <c r="AA168"/>
      <c r="AB168"/>
      <c r="AC168"/>
      <c r="AD168"/>
      <c r="AE168"/>
      <c r="AF168"/>
      <c r="AG168"/>
      <c r="AH168"/>
      <c r="AI168"/>
    </row>
    <row r="169" spans="1:35" x14ac:dyDescent="0.25">
      <c r="AA169"/>
      <c r="AB169"/>
      <c r="AC169"/>
      <c r="AD169"/>
      <c r="AE169"/>
      <c r="AF169"/>
      <c r="AG169"/>
      <c r="AH169"/>
      <c r="AI169"/>
    </row>
    <row r="170" spans="1:35" x14ac:dyDescent="0.25">
      <c r="AA170"/>
      <c r="AB170"/>
      <c r="AC170"/>
      <c r="AD170"/>
      <c r="AE170"/>
      <c r="AF170"/>
      <c r="AG170"/>
      <c r="AH170"/>
      <c r="AI170"/>
    </row>
    <row r="171" spans="1:35" x14ac:dyDescent="0.25">
      <c r="AA171"/>
      <c r="AB171"/>
      <c r="AC171"/>
      <c r="AD171"/>
      <c r="AE171"/>
      <c r="AF171"/>
      <c r="AG171"/>
      <c r="AH171"/>
      <c r="AI171"/>
    </row>
    <row r="172" spans="1:35" x14ac:dyDescent="0.25">
      <c r="AA172"/>
      <c r="AB172"/>
      <c r="AC172"/>
      <c r="AD172"/>
      <c r="AE172"/>
      <c r="AF172"/>
      <c r="AG172"/>
      <c r="AH172"/>
      <c r="AI172"/>
    </row>
    <row r="173" spans="1:35" x14ac:dyDescent="0.25">
      <c r="AA173"/>
      <c r="AB173"/>
      <c r="AC173"/>
      <c r="AD173"/>
      <c r="AE173"/>
      <c r="AF173"/>
      <c r="AG173"/>
      <c r="AH173"/>
      <c r="AI173"/>
    </row>
    <row r="174" spans="1:35" x14ac:dyDescent="0.25">
      <c r="AA174"/>
      <c r="AB174"/>
      <c r="AC174"/>
      <c r="AD174"/>
      <c r="AE174"/>
      <c r="AF174"/>
      <c r="AG174"/>
      <c r="AH174"/>
      <c r="AI174"/>
    </row>
    <row r="175" spans="1:35" x14ac:dyDescent="0.25">
      <c r="AA175"/>
      <c r="AB175"/>
      <c r="AC175"/>
      <c r="AD175"/>
      <c r="AE175"/>
      <c r="AF175"/>
      <c r="AG175"/>
      <c r="AH175"/>
      <c r="AI175"/>
    </row>
    <row r="176" spans="1: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sheetData>
  <sheetProtection formatCells="0" formatColumns="0" formatRows="0"/>
  <mergeCells count="1">
    <mergeCell ref="A1:B1"/>
  </mergeCells>
  <phoneticPr fontId="6" type="noConversion"/>
  <conditionalFormatting sqref="K5:K22 K29:K34 K54:K70 K78:K102 K39:K48 K51">
    <cfRule type="expression" dxfId="144" priority="113">
      <formula>AND(NOT($J5=""),$J$1=1)</formula>
    </cfRule>
    <cfRule type="expression" dxfId="143" priority="115">
      <formula>LEN($A5)=2</formula>
    </cfRule>
  </conditionalFormatting>
  <conditionalFormatting sqref="C103:C104 C127:C139">
    <cfRule type="expression" dxfId="142" priority="1007">
      <formula>LEN($A83)=4</formula>
    </cfRule>
  </conditionalFormatting>
  <conditionalFormatting sqref="C103:C104 C127:C139">
    <cfRule type="expression" dxfId="141" priority="1010">
      <formula>AND(NOT($J83=""),$J$1=1)</formula>
    </cfRule>
    <cfRule type="expression" dxfId="140" priority="1011">
      <formula>LEN($A83)=2</formula>
    </cfRule>
  </conditionalFormatting>
  <conditionalFormatting sqref="A98:B98 B96 A5:B22 A91:B94 A99:C101 A102:B102 A78:B88 E77:I102 C35:C36 C45 C55 E64:I70 F63:I63 C66 E5:I62 C5:C30">
    <cfRule type="expression" dxfId="139" priority="17">
      <formula>LEN($A5)=4</formula>
    </cfRule>
  </conditionalFormatting>
  <conditionalFormatting sqref="A58:B70 B54:B57 A54 A56 A30:B52">
    <cfRule type="expression" dxfId="138" priority="16">
      <formula>LEN($A30)=4</formula>
    </cfRule>
  </conditionalFormatting>
  <conditionalFormatting sqref="A71:B71">
    <cfRule type="expression" dxfId="137" priority="15">
      <formula>LEN($A71)=4</formula>
    </cfRule>
  </conditionalFormatting>
  <conditionalFormatting sqref="A72:A76">
    <cfRule type="expression" dxfId="136" priority="14">
      <formula>LEN($A72)=4</formula>
    </cfRule>
  </conditionalFormatting>
  <conditionalFormatting sqref="A90:B90">
    <cfRule type="expression" dxfId="135" priority="13">
      <formula>LEN($A90)=4</formula>
    </cfRule>
  </conditionalFormatting>
  <conditionalFormatting sqref="A97:B97">
    <cfRule type="expression" dxfId="134" priority="12">
      <formula>LEN($A97)=4</formula>
    </cfRule>
  </conditionalFormatting>
  <conditionalFormatting sqref="A95:B95 A96">
    <cfRule type="expression" dxfId="133" priority="11">
      <formula>LEN($A95)=4</formula>
    </cfRule>
  </conditionalFormatting>
  <conditionalFormatting sqref="B72">
    <cfRule type="expression" dxfId="132" priority="10">
      <formula>LEN($A72)=4</formula>
    </cfRule>
  </conditionalFormatting>
  <conditionalFormatting sqref="B73">
    <cfRule type="expression" dxfId="131" priority="9">
      <formula>LEN($A73)=4</formula>
    </cfRule>
  </conditionalFormatting>
  <conditionalFormatting sqref="B74">
    <cfRule type="expression" dxfId="130" priority="8">
      <formula>LEN($A74)=4</formula>
    </cfRule>
  </conditionalFormatting>
  <conditionalFormatting sqref="B75">
    <cfRule type="expression" dxfId="129" priority="7">
      <formula>LEN($A75)=4</formula>
    </cfRule>
  </conditionalFormatting>
  <conditionalFormatting sqref="B76">
    <cfRule type="expression" dxfId="128" priority="6">
      <formula>LEN($A76)=4</formula>
    </cfRule>
  </conditionalFormatting>
  <conditionalFormatting sqref="A53:B53 A55 A57">
    <cfRule type="expression" dxfId="127" priority="5">
      <formula>LEN($A53)=4</formula>
    </cfRule>
  </conditionalFormatting>
  <conditionalFormatting sqref="A77:B77">
    <cfRule type="expression" dxfId="126" priority="4">
      <formula>LEN($A77)=4</formula>
    </cfRule>
  </conditionalFormatting>
  <conditionalFormatting sqref="A23:B28">
    <cfRule type="expression" dxfId="125" priority="3">
      <formula>LEN($A23)=4</formula>
    </cfRule>
  </conditionalFormatting>
  <conditionalFormatting sqref="C5:C22">
    <cfRule type="expression" dxfId="124" priority="2">
      <formula>LEN($A5)=4</formula>
    </cfRule>
  </conditionalFormatting>
  <conditionalFormatting sqref="C31:C34 C37:C44 C46:C47">
    <cfRule type="expression" dxfId="123" priority="1">
      <formula>LEN($A25)=4</formula>
    </cfRule>
  </conditionalFormatting>
  <conditionalFormatting sqref="C48:C54 C56:C58">
    <cfRule type="expression" dxfId="122" priority="18">
      <formula>LEN($A41)=4</formula>
    </cfRule>
  </conditionalFormatting>
  <conditionalFormatting sqref="C59:C65 C67:C71 C73:C78 C80:C84 C86:C90">
    <cfRule type="expression" dxfId="121" priority="19">
      <formula>LEN($A51)=4</formula>
    </cfRule>
  </conditionalFormatting>
  <conditionalFormatting sqref="C92:C102">
    <cfRule type="expression" dxfId="120" priority="20">
      <formula>LEN($A72)=4</formula>
    </cfRule>
  </conditionalFormatting>
  <conditionalFormatting sqref="A5:B22 E5:J22 C5:C30 C35:C36 C45 B54:B57 A54 A56 A30:B52 E29:J52 C55 E54:J62 A72:A76 A58:B71 E64:J70 F63:J63 C66 A78:B88 A90:B102 E78:J102">
    <cfRule type="expression" dxfId="119" priority="21">
      <formula>AND(NOT(#REF!=""),#REF!=1)</formula>
    </cfRule>
    <cfRule type="expression" dxfId="118" priority="22">
      <formula>LEN($A5)=2</formula>
    </cfRule>
  </conditionalFormatting>
  <conditionalFormatting sqref="C31:C34 C37:C44 C46:C47">
    <cfRule type="expression" dxfId="117" priority="23">
      <formula>AND(NOT(#REF!=""),#REF!=1)</formula>
    </cfRule>
    <cfRule type="expression" dxfId="116" priority="24">
      <formula>LEN($A25)=2</formula>
    </cfRule>
  </conditionalFormatting>
  <conditionalFormatting sqref="C48:C54 C56:C58">
    <cfRule type="expression" dxfId="115" priority="25">
      <formula>AND(NOT(#REF!=""),#REF!=1)</formula>
    </cfRule>
    <cfRule type="expression" dxfId="114" priority="26">
      <formula>LEN($A41)=2</formula>
    </cfRule>
  </conditionalFormatting>
  <conditionalFormatting sqref="C59:C65 C67:C70 C77:C78 C80:C84 C86:C90">
    <cfRule type="expression" dxfId="113" priority="27">
      <formula>AND(NOT(#REF!=""),#REF!=1)</formula>
    </cfRule>
    <cfRule type="expression" dxfId="112" priority="28">
      <formula>LEN($A51)=2</formula>
    </cfRule>
  </conditionalFormatting>
  <conditionalFormatting sqref="C92:C102">
    <cfRule type="expression" dxfId="111" priority="29">
      <formula>AND(NOT(#REF!=""),#REF!=1)</formula>
    </cfRule>
    <cfRule type="expression" dxfId="110" priority="30">
      <formula>LEN($A72)=2</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
    <tabColor rgb="FFFF0000"/>
  </sheetPr>
  <dimension ref="A1:IU400"/>
  <sheetViews>
    <sheetView topLeftCell="A29" workbookViewId="0">
      <selection activeCell="A75" sqref="A75:XFD75"/>
    </sheetView>
  </sheetViews>
  <sheetFormatPr baseColWidth="10" defaultColWidth="11.5546875" defaultRowHeight="13.2" x14ac:dyDescent="0.25"/>
  <cols>
    <col min="1" max="1" width="9.88671875" style="518" customWidth="1"/>
    <col min="2" max="2" width="83.6640625" style="322" customWidth="1"/>
    <col min="3" max="6" width="4.88671875" style="320" customWidth="1"/>
    <col min="7" max="7" width="4.44140625" style="336" customWidth="1"/>
    <col min="8" max="8" width="4.109375" style="336" customWidth="1"/>
    <col min="9" max="9" width="4.5546875" style="336" customWidth="1"/>
    <col min="10" max="10" width="13.44140625" style="320" customWidth="1"/>
    <col min="11" max="11" width="25.33203125" style="320" customWidth="1"/>
    <col min="12" max="26" width="11.5546875" style="320"/>
    <col min="27" max="31" width="0" style="320" hidden="1" customWidth="1"/>
    <col min="32" max="33" width="11.5546875" style="320" hidden="1" customWidth="1"/>
    <col min="34" max="34" width="0" style="320" hidden="1" customWidth="1"/>
    <col min="35" max="256" width="11.5546875" style="320"/>
    <col min="257" max="257" width="7.109375" style="320" customWidth="1"/>
    <col min="258" max="258" width="65.44140625" style="320" customWidth="1"/>
    <col min="259" max="262" width="4.88671875" style="320" customWidth="1"/>
    <col min="263" max="263" width="4.44140625" style="320" customWidth="1"/>
    <col min="264" max="264" width="4.109375" style="320" customWidth="1"/>
    <col min="265" max="265" width="4.5546875" style="320" customWidth="1"/>
    <col min="266" max="512" width="11.5546875" style="320"/>
    <col min="513" max="513" width="7.109375" style="320" customWidth="1"/>
    <col min="514" max="514" width="65.44140625" style="320" customWidth="1"/>
    <col min="515" max="518" width="4.88671875" style="320" customWidth="1"/>
    <col min="519" max="519" width="4.44140625" style="320" customWidth="1"/>
    <col min="520" max="520" width="4.109375" style="320" customWidth="1"/>
    <col min="521" max="521" width="4.5546875" style="320" customWidth="1"/>
    <col min="522" max="768" width="11.5546875" style="320"/>
    <col min="769" max="769" width="7.109375" style="320" customWidth="1"/>
    <col min="770" max="770" width="65.44140625" style="320" customWidth="1"/>
    <col min="771" max="774" width="4.88671875" style="320" customWidth="1"/>
    <col min="775" max="775" width="4.44140625" style="320" customWidth="1"/>
    <col min="776" max="776" width="4.109375" style="320" customWidth="1"/>
    <col min="777" max="777" width="4.5546875" style="320" customWidth="1"/>
    <col min="778" max="1024" width="11.5546875" style="320"/>
    <col min="1025" max="1025" width="7.109375" style="320" customWidth="1"/>
    <col min="1026" max="1026" width="65.44140625" style="320" customWidth="1"/>
    <col min="1027" max="1030" width="4.88671875" style="320" customWidth="1"/>
    <col min="1031" max="1031" width="4.44140625" style="320" customWidth="1"/>
    <col min="1032" max="1032" width="4.109375" style="320" customWidth="1"/>
    <col min="1033" max="1033" width="4.5546875" style="320" customWidth="1"/>
    <col min="1034" max="1280" width="11.5546875" style="320"/>
    <col min="1281" max="1281" width="7.109375" style="320" customWidth="1"/>
    <col min="1282" max="1282" width="65.44140625" style="320" customWidth="1"/>
    <col min="1283" max="1286" width="4.88671875" style="320" customWidth="1"/>
    <col min="1287" max="1287" width="4.44140625" style="320" customWidth="1"/>
    <col min="1288" max="1288" width="4.109375" style="320" customWidth="1"/>
    <col min="1289" max="1289" width="4.5546875" style="320" customWidth="1"/>
    <col min="1290" max="1536" width="11.5546875" style="320"/>
    <col min="1537" max="1537" width="7.109375" style="320" customWidth="1"/>
    <col min="1538" max="1538" width="65.44140625" style="320" customWidth="1"/>
    <col min="1539" max="1542" width="4.88671875" style="320" customWidth="1"/>
    <col min="1543" max="1543" width="4.44140625" style="320" customWidth="1"/>
    <col min="1544" max="1544" width="4.109375" style="320" customWidth="1"/>
    <col min="1545" max="1545" width="4.5546875" style="320" customWidth="1"/>
    <col min="1546" max="1792" width="11.5546875" style="320"/>
    <col min="1793" max="1793" width="7.109375" style="320" customWidth="1"/>
    <col min="1794" max="1794" width="65.44140625" style="320" customWidth="1"/>
    <col min="1795" max="1798" width="4.88671875" style="320" customWidth="1"/>
    <col min="1799" max="1799" width="4.44140625" style="320" customWidth="1"/>
    <col min="1800" max="1800" width="4.109375" style="320" customWidth="1"/>
    <col min="1801" max="1801" width="4.5546875" style="320" customWidth="1"/>
    <col min="1802" max="2048" width="11.5546875" style="320"/>
    <col min="2049" max="2049" width="7.109375" style="320" customWidth="1"/>
    <col min="2050" max="2050" width="65.44140625" style="320" customWidth="1"/>
    <col min="2051" max="2054" width="4.88671875" style="320" customWidth="1"/>
    <col min="2055" max="2055" width="4.44140625" style="320" customWidth="1"/>
    <col min="2056" max="2056" width="4.109375" style="320" customWidth="1"/>
    <col min="2057" max="2057" width="4.5546875" style="320" customWidth="1"/>
    <col min="2058" max="2304" width="11.5546875" style="320"/>
    <col min="2305" max="2305" width="7.109375" style="320" customWidth="1"/>
    <col min="2306" max="2306" width="65.44140625" style="320" customWidth="1"/>
    <col min="2307" max="2310" width="4.88671875" style="320" customWidth="1"/>
    <col min="2311" max="2311" width="4.44140625" style="320" customWidth="1"/>
    <col min="2312" max="2312" width="4.109375" style="320" customWidth="1"/>
    <col min="2313" max="2313" width="4.5546875" style="320" customWidth="1"/>
    <col min="2314" max="2560" width="11.5546875" style="320"/>
    <col min="2561" max="2561" width="7.109375" style="320" customWidth="1"/>
    <col min="2562" max="2562" width="65.44140625" style="320" customWidth="1"/>
    <col min="2563" max="2566" width="4.88671875" style="320" customWidth="1"/>
    <col min="2567" max="2567" width="4.44140625" style="320" customWidth="1"/>
    <col min="2568" max="2568" width="4.109375" style="320" customWidth="1"/>
    <col min="2569" max="2569" width="4.5546875" style="320" customWidth="1"/>
    <col min="2570" max="2816" width="11.5546875" style="320"/>
    <col min="2817" max="2817" width="7.109375" style="320" customWidth="1"/>
    <col min="2818" max="2818" width="65.44140625" style="320" customWidth="1"/>
    <col min="2819" max="2822" width="4.88671875" style="320" customWidth="1"/>
    <col min="2823" max="2823" width="4.44140625" style="320" customWidth="1"/>
    <col min="2824" max="2824" width="4.109375" style="320" customWidth="1"/>
    <col min="2825" max="2825" width="4.5546875" style="320" customWidth="1"/>
    <col min="2826" max="3072" width="11.5546875" style="320"/>
    <col min="3073" max="3073" width="7.109375" style="320" customWidth="1"/>
    <col min="3074" max="3074" width="65.44140625" style="320" customWidth="1"/>
    <col min="3075" max="3078" width="4.88671875" style="320" customWidth="1"/>
    <col min="3079" max="3079" width="4.44140625" style="320" customWidth="1"/>
    <col min="3080" max="3080" width="4.109375" style="320" customWidth="1"/>
    <col min="3081" max="3081" width="4.5546875" style="320" customWidth="1"/>
    <col min="3082" max="3328" width="11.5546875" style="320"/>
    <col min="3329" max="3329" width="7.109375" style="320" customWidth="1"/>
    <col min="3330" max="3330" width="65.44140625" style="320" customWidth="1"/>
    <col min="3331" max="3334" width="4.88671875" style="320" customWidth="1"/>
    <col min="3335" max="3335" width="4.44140625" style="320" customWidth="1"/>
    <col min="3336" max="3336" width="4.109375" style="320" customWidth="1"/>
    <col min="3337" max="3337" width="4.5546875" style="320" customWidth="1"/>
    <col min="3338" max="3584" width="11.5546875" style="320"/>
    <col min="3585" max="3585" width="7.109375" style="320" customWidth="1"/>
    <col min="3586" max="3586" width="65.44140625" style="320" customWidth="1"/>
    <col min="3587" max="3590" width="4.88671875" style="320" customWidth="1"/>
    <col min="3591" max="3591" width="4.44140625" style="320" customWidth="1"/>
    <col min="3592" max="3592" width="4.109375" style="320" customWidth="1"/>
    <col min="3593" max="3593" width="4.5546875" style="320" customWidth="1"/>
    <col min="3594" max="3840" width="11.5546875" style="320"/>
    <col min="3841" max="3841" width="7.109375" style="320" customWidth="1"/>
    <col min="3842" max="3842" width="65.44140625" style="320" customWidth="1"/>
    <col min="3843" max="3846" width="4.88671875" style="320" customWidth="1"/>
    <col min="3847" max="3847" width="4.44140625" style="320" customWidth="1"/>
    <col min="3848" max="3848" width="4.109375" style="320" customWidth="1"/>
    <col min="3849" max="3849" width="4.5546875" style="320" customWidth="1"/>
    <col min="3850" max="4096" width="11.5546875" style="320"/>
    <col min="4097" max="4097" width="7.109375" style="320" customWidth="1"/>
    <col min="4098" max="4098" width="65.44140625" style="320" customWidth="1"/>
    <col min="4099" max="4102" width="4.88671875" style="320" customWidth="1"/>
    <col min="4103" max="4103" width="4.44140625" style="320" customWidth="1"/>
    <col min="4104" max="4104" width="4.109375" style="320" customWidth="1"/>
    <col min="4105" max="4105" width="4.5546875" style="320" customWidth="1"/>
    <col min="4106" max="4352" width="11.5546875" style="320"/>
    <col min="4353" max="4353" width="7.109375" style="320" customWidth="1"/>
    <col min="4354" max="4354" width="65.44140625" style="320" customWidth="1"/>
    <col min="4355" max="4358" width="4.88671875" style="320" customWidth="1"/>
    <col min="4359" max="4359" width="4.44140625" style="320" customWidth="1"/>
    <col min="4360" max="4360" width="4.109375" style="320" customWidth="1"/>
    <col min="4361" max="4361" width="4.5546875" style="320" customWidth="1"/>
    <col min="4362" max="4608" width="11.5546875" style="320"/>
    <col min="4609" max="4609" width="7.109375" style="320" customWidth="1"/>
    <col min="4610" max="4610" width="65.44140625" style="320" customWidth="1"/>
    <col min="4611" max="4614" width="4.88671875" style="320" customWidth="1"/>
    <col min="4615" max="4615" width="4.44140625" style="320" customWidth="1"/>
    <col min="4616" max="4616" width="4.109375" style="320" customWidth="1"/>
    <col min="4617" max="4617" width="4.5546875" style="320" customWidth="1"/>
    <col min="4618" max="4864" width="11.5546875" style="320"/>
    <col min="4865" max="4865" width="7.109375" style="320" customWidth="1"/>
    <col min="4866" max="4866" width="65.44140625" style="320" customWidth="1"/>
    <col min="4867" max="4870" width="4.88671875" style="320" customWidth="1"/>
    <col min="4871" max="4871" width="4.44140625" style="320" customWidth="1"/>
    <col min="4872" max="4872" width="4.109375" style="320" customWidth="1"/>
    <col min="4873" max="4873" width="4.5546875" style="320" customWidth="1"/>
    <col min="4874" max="5120" width="11.5546875" style="320"/>
    <col min="5121" max="5121" width="7.109375" style="320" customWidth="1"/>
    <col min="5122" max="5122" width="65.44140625" style="320" customWidth="1"/>
    <col min="5123" max="5126" width="4.88671875" style="320" customWidth="1"/>
    <col min="5127" max="5127" width="4.44140625" style="320" customWidth="1"/>
    <col min="5128" max="5128" width="4.109375" style="320" customWidth="1"/>
    <col min="5129" max="5129" width="4.5546875" style="320" customWidth="1"/>
    <col min="5130" max="5376" width="11.5546875" style="320"/>
    <col min="5377" max="5377" width="7.109375" style="320" customWidth="1"/>
    <col min="5378" max="5378" width="65.44140625" style="320" customWidth="1"/>
    <col min="5379" max="5382" width="4.88671875" style="320" customWidth="1"/>
    <col min="5383" max="5383" width="4.44140625" style="320" customWidth="1"/>
    <col min="5384" max="5384" width="4.109375" style="320" customWidth="1"/>
    <col min="5385" max="5385" width="4.5546875" style="320" customWidth="1"/>
    <col min="5386" max="5632" width="11.5546875" style="320"/>
    <col min="5633" max="5633" width="7.109375" style="320" customWidth="1"/>
    <col min="5634" max="5634" width="65.44140625" style="320" customWidth="1"/>
    <col min="5635" max="5638" width="4.88671875" style="320" customWidth="1"/>
    <col min="5639" max="5639" width="4.44140625" style="320" customWidth="1"/>
    <col min="5640" max="5640" width="4.109375" style="320" customWidth="1"/>
    <col min="5641" max="5641" width="4.5546875" style="320" customWidth="1"/>
    <col min="5642" max="5888" width="11.5546875" style="320"/>
    <col min="5889" max="5889" width="7.109375" style="320" customWidth="1"/>
    <col min="5890" max="5890" width="65.44140625" style="320" customWidth="1"/>
    <col min="5891" max="5894" width="4.88671875" style="320" customWidth="1"/>
    <col min="5895" max="5895" width="4.44140625" style="320" customWidth="1"/>
    <col min="5896" max="5896" width="4.109375" style="320" customWidth="1"/>
    <col min="5897" max="5897" width="4.5546875" style="320" customWidth="1"/>
    <col min="5898" max="6144" width="11.5546875" style="320"/>
    <col min="6145" max="6145" width="7.109375" style="320" customWidth="1"/>
    <col min="6146" max="6146" width="65.44140625" style="320" customWidth="1"/>
    <col min="6147" max="6150" width="4.88671875" style="320" customWidth="1"/>
    <col min="6151" max="6151" width="4.44140625" style="320" customWidth="1"/>
    <col min="6152" max="6152" width="4.109375" style="320" customWidth="1"/>
    <col min="6153" max="6153" width="4.5546875" style="320" customWidth="1"/>
    <col min="6154" max="6400" width="11.5546875" style="320"/>
    <col min="6401" max="6401" width="7.109375" style="320" customWidth="1"/>
    <col min="6402" max="6402" width="65.44140625" style="320" customWidth="1"/>
    <col min="6403" max="6406" width="4.88671875" style="320" customWidth="1"/>
    <col min="6407" max="6407" width="4.44140625" style="320" customWidth="1"/>
    <col min="6408" max="6408" width="4.109375" style="320" customWidth="1"/>
    <col min="6409" max="6409" width="4.5546875" style="320" customWidth="1"/>
    <col min="6410" max="6656" width="11.5546875" style="320"/>
    <col min="6657" max="6657" width="7.109375" style="320" customWidth="1"/>
    <col min="6658" max="6658" width="65.44140625" style="320" customWidth="1"/>
    <col min="6659" max="6662" width="4.88671875" style="320" customWidth="1"/>
    <col min="6663" max="6663" width="4.44140625" style="320" customWidth="1"/>
    <col min="6664" max="6664" width="4.109375" style="320" customWidth="1"/>
    <col min="6665" max="6665" width="4.5546875" style="320" customWidth="1"/>
    <col min="6666" max="6912" width="11.5546875" style="320"/>
    <col min="6913" max="6913" width="7.109375" style="320" customWidth="1"/>
    <col min="6914" max="6914" width="65.44140625" style="320" customWidth="1"/>
    <col min="6915" max="6918" width="4.88671875" style="320" customWidth="1"/>
    <col min="6919" max="6919" width="4.44140625" style="320" customWidth="1"/>
    <col min="6920" max="6920" width="4.109375" style="320" customWidth="1"/>
    <col min="6921" max="6921" width="4.5546875" style="320" customWidth="1"/>
    <col min="6922" max="7168" width="11.5546875" style="320"/>
    <col min="7169" max="7169" width="7.109375" style="320" customWidth="1"/>
    <col min="7170" max="7170" width="65.44140625" style="320" customWidth="1"/>
    <col min="7171" max="7174" width="4.88671875" style="320" customWidth="1"/>
    <col min="7175" max="7175" width="4.44140625" style="320" customWidth="1"/>
    <col min="7176" max="7176" width="4.109375" style="320" customWidth="1"/>
    <col min="7177" max="7177" width="4.5546875" style="320" customWidth="1"/>
    <col min="7178" max="7424" width="11.5546875" style="320"/>
    <col min="7425" max="7425" width="7.109375" style="320" customWidth="1"/>
    <col min="7426" max="7426" width="65.44140625" style="320" customWidth="1"/>
    <col min="7427" max="7430" width="4.88671875" style="320" customWidth="1"/>
    <col min="7431" max="7431" width="4.44140625" style="320" customWidth="1"/>
    <col min="7432" max="7432" width="4.109375" style="320" customWidth="1"/>
    <col min="7433" max="7433" width="4.5546875" style="320" customWidth="1"/>
    <col min="7434" max="7680" width="11.5546875" style="320"/>
    <col min="7681" max="7681" width="7.109375" style="320" customWidth="1"/>
    <col min="7682" max="7682" width="65.44140625" style="320" customWidth="1"/>
    <col min="7683" max="7686" width="4.88671875" style="320" customWidth="1"/>
    <col min="7687" max="7687" width="4.44140625" style="320" customWidth="1"/>
    <col min="7688" max="7688" width="4.109375" style="320" customWidth="1"/>
    <col min="7689" max="7689" width="4.5546875" style="320" customWidth="1"/>
    <col min="7690" max="7936" width="11.5546875" style="320"/>
    <col min="7937" max="7937" width="7.109375" style="320" customWidth="1"/>
    <col min="7938" max="7938" width="65.44140625" style="320" customWidth="1"/>
    <col min="7939" max="7942" width="4.88671875" style="320" customWidth="1"/>
    <col min="7943" max="7943" width="4.44140625" style="320" customWidth="1"/>
    <col min="7944" max="7944" width="4.109375" style="320" customWidth="1"/>
    <col min="7945" max="7945" width="4.5546875" style="320" customWidth="1"/>
    <col min="7946" max="8192" width="11.5546875" style="320"/>
    <col min="8193" max="8193" width="7.109375" style="320" customWidth="1"/>
    <col min="8194" max="8194" width="65.44140625" style="320" customWidth="1"/>
    <col min="8195" max="8198" width="4.88671875" style="320" customWidth="1"/>
    <col min="8199" max="8199" width="4.44140625" style="320" customWidth="1"/>
    <col min="8200" max="8200" width="4.109375" style="320" customWidth="1"/>
    <col min="8201" max="8201" width="4.5546875" style="320" customWidth="1"/>
    <col min="8202" max="8448" width="11.5546875" style="320"/>
    <col min="8449" max="8449" width="7.109375" style="320" customWidth="1"/>
    <col min="8450" max="8450" width="65.44140625" style="320" customWidth="1"/>
    <col min="8451" max="8454" width="4.88671875" style="320" customWidth="1"/>
    <col min="8455" max="8455" width="4.44140625" style="320" customWidth="1"/>
    <col min="8456" max="8456" width="4.109375" style="320" customWidth="1"/>
    <col min="8457" max="8457" width="4.5546875" style="320" customWidth="1"/>
    <col min="8458" max="8704" width="11.5546875" style="320"/>
    <col min="8705" max="8705" width="7.109375" style="320" customWidth="1"/>
    <col min="8706" max="8706" width="65.44140625" style="320" customWidth="1"/>
    <col min="8707" max="8710" width="4.88671875" style="320" customWidth="1"/>
    <col min="8711" max="8711" width="4.44140625" style="320" customWidth="1"/>
    <col min="8712" max="8712" width="4.109375" style="320" customWidth="1"/>
    <col min="8713" max="8713" width="4.5546875" style="320" customWidth="1"/>
    <col min="8714" max="8960" width="11.5546875" style="320"/>
    <col min="8961" max="8961" width="7.109375" style="320" customWidth="1"/>
    <col min="8962" max="8962" width="65.44140625" style="320" customWidth="1"/>
    <col min="8963" max="8966" width="4.88671875" style="320" customWidth="1"/>
    <col min="8967" max="8967" width="4.44140625" style="320" customWidth="1"/>
    <col min="8968" max="8968" width="4.109375" style="320" customWidth="1"/>
    <col min="8969" max="8969" width="4.5546875" style="320" customWidth="1"/>
    <col min="8970" max="9216" width="11.5546875" style="320"/>
    <col min="9217" max="9217" width="7.109375" style="320" customWidth="1"/>
    <col min="9218" max="9218" width="65.44140625" style="320" customWidth="1"/>
    <col min="9219" max="9222" width="4.88671875" style="320" customWidth="1"/>
    <col min="9223" max="9223" width="4.44140625" style="320" customWidth="1"/>
    <col min="9224" max="9224" width="4.109375" style="320" customWidth="1"/>
    <col min="9225" max="9225" width="4.5546875" style="320" customWidth="1"/>
    <col min="9226" max="9472" width="11.5546875" style="320"/>
    <col min="9473" max="9473" width="7.109375" style="320" customWidth="1"/>
    <col min="9474" max="9474" width="65.44140625" style="320" customWidth="1"/>
    <col min="9475" max="9478" width="4.88671875" style="320" customWidth="1"/>
    <col min="9479" max="9479" width="4.44140625" style="320" customWidth="1"/>
    <col min="9480" max="9480" width="4.109375" style="320" customWidth="1"/>
    <col min="9481" max="9481" width="4.5546875" style="320" customWidth="1"/>
    <col min="9482" max="9728" width="11.5546875" style="320"/>
    <col min="9729" max="9729" width="7.109375" style="320" customWidth="1"/>
    <col min="9730" max="9730" width="65.44140625" style="320" customWidth="1"/>
    <col min="9731" max="9734" width="4.88671875" style="320" customWidth="1"/>
    <col min="9735" max="9735" width="4.44140625" style="320" customWidth="1"/>
    <col min="9736" max="9736" width="4.109375" style="320" customWidth="1"/>
    <col min="9737" max="9737" width="4.5546875" style="320" customWidth="1"/>
    <col min="9738" max="9984" width="11.5546875" style="320"/>
    <col min="9985" max="9985" width="7.109375" style="320" customWidth="1"/>
    <col min="9986" max="9986" width="65.44140625" style="320" customWidth="1"/>
    <col min="9987" max="9990" width="4.88671875" style="320" customWidth="1"/>
    <col min="9991" max="9991" width="4.44140625" style="320" customWidth="1"/>
    <col min="9992" max="9992" width="4.109375" style="320" customWidth="1"/>
    <col min="9993" max="9993" width="4.5546875" style="320" customWidth="1"/>
    <col min="9994" max="10240" width="11.5546875" style="320"/>
    <col min="10241" max="10241" width="7.109375" style="320" customWidth="1"/>
    <col min="10242" max="10242" width="65.44140625" style="320" customWidth="1"/>
    <col min="10243" max="10246" width="4.88671875" style="320" customWidth="1"/>
    <col min="10247" max="10247" width="4.44140625" style="320" customWidth="1"/>
    <col min="10248" max="10248" width="4.109375" style="320" customWidth="1"/>
    <col min="10249" max="10249" width="4.5546875" style="320" customWidth="1"/>
    <col min="10250" max="10496" width="11.5546875" style="320"/>
    <col min="10497" max="10497" width="7.109375" style="320" customWidth="1"/>
    <col min="10498" max="10498" width="65.44140625" style="320" customWidth="1"/>
    <col min="10499" max="10502" width="4.88671875" style="320" customWidth="1"/>
    <col min="10503" max="10503" width="4.44140625" style="320" customWidth="1"/>
    <col min="10504" max="10504" width="4.109375" style="320" customWidth="1"/>
    <col min="10505" max="10505" width="4.5546875" style="320" customWidth="1"/>
    <col min="10506" max="10752" width="11.5546875" style="320"/>
    <col min="10753" max="10753" width="7.109375" style="320" customWidth="1"/>
    <col min="10754" max="10754" width="65.44140625" style="320" customWidth="1"/>
    <col min="10755" max="10758" width="4.88671875" style="320" customWidth="1"/>
    <col min="10759" max="10759" width="4.44140625" style="320" customWidth="1"/>
    <col min="10760" max="10760" width="4.109375" style="320" customWidth="1"/>
    <col min="10761" max="10761" width="4.5546875" style="320" customWidth="1"/>
    <col min="10762" max="11008" width="11.5546875" style="320"/>
    <col min="11009" max="11009" width="7.109375" style="320" customWidth="1"/>
    <col min="11010" max="11010" width="65.44140625" style="320" customWidth="1"/>
    <col min="11011" max="11014" width="4.88671875" style="320" customWidth="1"/>
    <col min="11015" max="11015" width="4.44140625" style="320" customWidth="1"/>
    <col min="11016" max="11016" width="4.109375" style="320" customWidth="1"/>
    <col min="11017" max="11017" width="4.5546875" style="320" customWidth="1"/>
    <col min="11018" max="11264" width="11.5546875" style="320"/>
    <col min="11265" max="11265" width="7.109375" style="320" customWidth="1"/>
    <col min="11266" max="11266" width="65.44140625" style="320" customWidth="1"/>
    <col min="11267" max="11270" width="4.88671875" style="320" customWidth="1"/>
    <col min="11271" max="11271" width="4.44140625" style="320" customWidth="1"/>
    <col min="11272" max="11272" width="4.109375" style="320" customWidth="1"/>
    <col min="11273" max="11273" width="4.5546875" style="320" customWidth="1"/>
    <col min="11274" max="11520" width="11.5546875" style="320"/>
    <col min="11521" max="11521" width="7.109375" style="320" customWidth="1"/>
    <col min="11522" max="11522" width="65.44140625" style="320" customWidth="1"/>
    <col min="11523" max="11526" width="4.88671875" style="320" customWidth="1"/>
    <col min="11527" max="11527" width="4.44140625" style="320" customWidth="1"/>
    <col min="11528" max="11528" width="4.109375" style="320" customWidth="1"/>
    <col min="11529" max="11529" width="4.5546875" style="320" customWidth="1"/>
    <col min="11530" max="11776" width="11.5546875" style="320"/>
    <col min="11777" max="11777" width="7.109375" style="320" customWidth="1"/>
    <col min="11778" max="11778" width="65.44140625" style="320" customWidth="1"/>
    <col min="11779" max="11782" width="4.88671875" style="320" customWidth="1"/>
    <col min="11783" max="11783" width="4.44140625" style="320" customWidth="1"/>
    <col min="11784" max="11784" width="4.109375" style="320" customWidth="1"/>
    <col min="11785" max="11785" width="4.5546875" style="320" customWidth="1"/>
    <col min="11786" max="12032" width="11.5546875" style="320"/>
    <col min="12033" max="12033" width="7.109375" style="320" customWidth="1"/>
    <col min="12034" max="12034" width="65.44140625" style="320" customWidth="1"/>
    <col min="12035" max="12038" width="4.88671875" style="320" customWidth="1"/>
    <col min="12039" max="12039" width="4.44140625" style="320" customWidth="1"/>
    <col min="12040" max="12040" width="4.109375" style="320" customWidth="1"/>
    <col min="12041" max="12041" width="4.5546875" style="320" customWidth="1"/>
    <col min="12042" max="12288" width="11.5546875" style="320"/>
    <col min="12289" max="12289" width="7.109375" style="320" customWidth="1"/>
    <col min="12290" max="12290" width="65.44140625" style="320" customWidth="1"/>
    <col min="12291" max="12294" width="4.88671875" style="320" customWidth="1"/>
    <col min="12295" max="12295" width="4.44140625" style="320" customWidth="1"/>
    <col min="12296" max="12296" width="4.109375" style="320" customWidth="1"/>
    <col min="12297" max="12297" width="4.5546875" style="320" customWidth="1"/>
    <col min="12298" max="12544" width="11.5546875" style="320"/>
    <col min="12545" max="12545" width="7.109375" style="320" customWidth="1"/>
    <col min="12546" max="12546" width="65.44140625" style="320" customWidth="1"/>
    <col min="12547" max="12550" width="4.88671875" style="320" customWidth="1"/>
    <col min="12551" max="12551" width="4.44140625" style="320" customWidth="1"/>
    <col min="12552" max="12552" width="4.109375" style="320" customWidth="1"/>
    <col min="12553" max="12553" width="4.5546875" style="320" customWidth="1"/>
    <col min="12554" max="12800" width="11.5546875" style="320"/>
    <col min="12801" max="12801" width="7.109375" style="320" customWidth="1"/>
    <col min="12802" max="12802" width="65.44140625" style="320" customWidth="1"/>
    <col min="12803" max="12806" width="4.88671875" style="320" customWidth="1"/>
    <col min="12807" max="12807" width="4.44140625" style="320" customWidth="1"/>
    <col min="12808" max="12808" width="4.109375" style="320" customWidth="1"/>
    <col min="12809" max="12809" width="4.5546875" style="320" customWidth="1"/>
    <col min="12810" max="13056" width="11.5546875" style="320"/>
    <col min="13057" max="13057" width="7.109375" style="320" customWidth="1"/>
    <col min="13058" max="13058" width="65.44140625" style="320" customWidth="1"/>
    <col min="13059" max="13062" width="4.88671875" style="320" customWidth="1"/>
    <col min="13063" max="13063" width="4.44140625" style="320" customWidth="1"/>
    <col min="13064" max="13064" width="4.109375" style="320" customWidth="1"/>
    <col min="13065" max="13065" width="4.5546875" style="320" customWidth="1"/>
    <col min="13066" max="13312" width="11.5546875" style="320"/>
    <col min="13313" max="13313" width="7.109375" style="320" customWidth="1"/>
    <col min="13314" max="13314" width="65.44140625" style="320" customWidth="1"/>
    <col min="13315" max="13318" width="4.88671875" style="320" customWidth="1"/>
    <col min="13319" max="13319" width="4.44140625" style="320" customWidth="1"/>
    <col min="13320" max="13320" width="4.109375" style="320" customWidth="1"/>
    <col min="13321" max="13321" width="4.5546875" style="320" customWidth="1"/>
    <col min="13322" max="13568" width="11.5546875" style="320"/>
    <col min="13569" max="13569" width="7.109375" style="320" customWidth="1"/>
    <col min="13570" max="13570" width="65.44140625" style="320" customWidth="1"/>
    <col min="13571" max="13574" width="4.88671875" style="320" customWidth="1"/>
    <col min="13575" max="13575" width="4.44140625" style="320" customWidth="1"/>
    <col min="13576" max="13576" width="4.109375" style="320" customWidth="1"/>
    <col min="13577" max="13577" width="4.5546875" style="320" customWidth="1"/>
    <col min="13578" max="13824" width="11.5546875" style="320"/>
    <col min="13825" max="13825" width="7.109375" style="320" customWidth="1"/>
    <col min="13826" max="13826" width="65.44140625" style="320" customWidth="1"/>
    <col min="13827" max="13830" width="4.88671875" style="320" customWidth="1"/>
    <col min="13831" max="13831" width="4.44140625" style="320" customWidth="1"/>
    <col min="13832" max="13832" width="4.109375" style="320" customWidth="1"/>
    <col min="13833" max="13833" width="4.5546875" style="320" customWidth="1"/>
    <col min="13834" max="14080" width="11.5546875" style="320"/>
    <col min="14081" max="14081" width="7.109375" style="320" customWidth="1"/>
    <col min="14082" max="14082" width="65.44140625" style="320" customWidth="1"/>
    <col min="14083" max="14086" width="4.88671875" style="320" customWidth="1"/>
    <col min="14087" max="14087" width="4.44140625" style="320" customWidth="1"/>
    <col min="14088" max="14088" width="4.109375" style="320" customWidth="1"/>
    <col min="14089" max="14089" width="4.5546875" style="320" customWidth="1"/>
    <col min="14090" max="14336" width="11.5546875" style="320"/>
    <col min="14337" max="14337" width="7.109375" style="320" customWidth="1"/>
    <col min="14338" max="14338" width="65.44140625" style="320" customWidth="1"/>
    <col min="14339" max="14342" width="4.88671875" style="320" customWidth="1"/>
    <col min="14343" max="14343" width="4.44140625" style="320" customWidth="1"/>
    <col min="14344" max="14344" width="4.109375" style="320" customWidth="1"/>
    <col min="14345" max="14345" width="4.5546875" style="320" customWidth="1"/>
    <col min="14346" max="14592" width="11.5546875" style="320"/>
    <col min="14593" max="14593" width="7.109375" style="320" customWidth="1"/>
    <col min="14594" max="14594" width="65.44140625" style="320" customWidth="1"/>
    <col min="14595" max="14598" width="4.88671875" style="320" customWidth="1"/>
    <col min="14599" max="14599" width="4.44140625" style="320" customWidth="1"/>
    <col min="14600" max="14600" width="4.109375" style="320" customWidth="1"/>
    <col min="14601" max="14601" width="4.5546875" style="320" customWidth="1"/>
    <col min="14602" max="14848" width="11.5546875" style="320"/>
    <col min="14849" max="14849" width="7.109375" style="320" customWidth="1"/>
    <col min="14850" max="14850" width="65.44140625" style="320" customWidth="1"/>
    <col min="14851" max="14854" width="4.88671875" style="320" customWidth="1"/>
    <col min="14855" max="14855" width="4.44140625" style="320" customWidth="1"/>
    <col min="14856" max="14856" width="4.109375" style="320" customWidth="1"/>
    <col min="14857" max="14857" width="4.5546875" style="320" customWidth="1"/>
    <col min="14858" max="15104" width="11.5546875" style="320"/>
    <col min="15105" max="15105" width="7.109375" style="320" customWidth="1"/>
    <col min="15106" max="15106" width="65.44140625" style="320" customWidth="1"/>
    <col min="15107" max="15110" width="4.88671875" style="320" customWidth="1"/>
    <col min="15111" max="15111" width="4.44140625" style="320" customWidth="1"/>
    <col min="15112" max="15112" width="4.109375" style="320" customWidth="1"/>
    <col min="15113" max="15113" width="4.5546875" style="320" customWidth="1"/>
    <col min="15114" max="15360" width="11.5546875" style="320"/>
    <col min="15361" max="15361" width="7.109375" style="320" customWidth="1"/>
    <col min="15362" max="15362" width="65.44140625" style="320" customWidth="1"/>
    <col min="15363" max="15366" width="4.88671875" style="320" customWidth="1"/>
    <col min="15367" max="15367" width="4.44140625" style="320" customWidth="1"/>
    <col min="15368" max="15368" width="4.109375" style="320" customWidth="1"/>
    <col min="15369" max="15369" width="4.5546875" style="320" customWidth="1"/>
    <col min="15370" max="15616" width="11.5546875" style="320"/>
    <col min="15617" max="15617" width="7.109375" style="320" customWidth="1"/>
    <col min="15618" max="15618" width="65.44140625" style="320" customWidth="1"/>
    <col min="15619" max="15622" width="4.88671875" style="320" customWidth="1"/>
    <col min="15623" max="15623" width="4.44140625" style="320" customWidth="1"/>
    <col min="15624" max="15624" width="4.109375" style="320" customWidth="1"/>
    <col min="15625" max="15625" width="4.5546875" style="320" customWidth="1"/>
    <col min="15626" max="15872" width="11.5546875" style="320"/>
    <col min="15873" max="15873" width="7.109375" style="320" customWidth="1"/>
    <col min="15874" max="15874" width="65.44140625" style="320" customWidth="1"/>
    <col min="15875" max="15878" width="4.88671875" style="320" customWidth="1"/>
    <col min="15879" max="15879" width="4.44140625" style="320" customWidth="1"/>
    <col min="15880" max="15880" width="4.109375" style="320" customWidth="1"/>
    <col min="15881" max="15881" width="4.5546875" style="320" customWidth="1"/>
    <col min="15882" max="16128" width="11.5546875" style="320"/>
    <col min="16129" max="16129" width="7.109375" style="320" customWidth="1"/>
    <col min="16130" max="16130" width="65.44140625" style="320" customWidth="1"/>
    <col min="16131" max="16134" width="4.88671875" style="320" customWidth="1"/>
    <col min="16135" max="16135" width="4.44140625" style="320" customWidth="1"/>
    <col min="16136" max="16136" width="4.109375" style="320" customWidth="1"/>
    <col min="16137" max="16137" width="4.5546875" style="320" customWidth="1"/>
    <col min="16138" max="16384" width="11.5546875" style="320"/>
  </cols>
  <sheetData>
    <row r="1" spans="1:40" s="326" customFormat="1" ht="15.6" x14ac:dyDescent="0.25">
      <c r="A1" s="1278" t="s">
        <v>1843</v>
      </c>
      <c r="B1" s="1278"/>
      <c r="C1" s="1098">
        <v>1</v>
      </c>
      <c r="D1" s="1099" t="str">
        <f>"variante"&amp;IF(C1&gt;1,"s","")</f>
        <v>variante</v>
      </c>
      <c r="E1" s="1098"/>
      <c r="F1" s="1098"/>
      <c r="G1" s="1137"/>
      <c r="H1" s="1137"/>
      <c r="I1" s="1137"/>
      <c r="J1" s="1149">
        <f>'Score ISO'!E2</f>
        <v>1</v>
      </c>
    </row>
    <row r="2" spans="1:40" s="326" customFormat="1" x14ac:dyDescent="0.25">
      <c r="A2" s="519" t="s">
        <v>523</v>
      </c>
      <c r="B2" s="324" t="s">
        <v>399</v>
      </c>
      <c r="C2" s="1100" t="s">
        <v>400</v>
      </c>
      <c r="D2" s="1100" t="s">
        <v>401</v>
      </c>
      <c r="E2" s="1100" t="s">
        <v>402</v>
      </c>
      <c r="F2" s="1100" t="s">
        <v>403</v>
      </c>
      <c r="G2" s="325" t="s">
        <v>569</v>
      </c>
      <c r="H2" s="325" t="s">
        <v>404</v>
      </c>
      <c r="I2" s="325" t="s">
        <v>479</v>
      </c>
      <c r="J2" s="1135" t="s">
        <v>6846</v>
      </c>
      <c r="K2" s="522" t="s">
        <v>405</v>
      </c>
      <c r="AA2" s="523" t="s">
        <v>1409</v>
      </c>
      <c r="AB2" s="523" t="s">
        <v>1410</v>
      </c>
      <c r="AC2" s="523" t="s">
        <v>1411</v>
      </c>
      <c r="AD2" s="523" t="s">
        <v>1412</v>
      </c>
      <c r="AE2" s="523" t="s">
        <v>1413</v>
      </c>
      <c r="AF2" s="523" t="s">
        <v>1414</v>
      </c>
      <c r="AG2" s="523" t="s">
        <v>1415</v>
      </c>
      <c r="AH2" s="523" t="s">
        <v>1416</v>
      </c>
    </row>
    <row r="3" spans="1:40" x14ac:dyDescent="0.25">
      <c r="A3" s="1150" t="s">
        <v>1870</v>
      </c>
      <c r="B3" s="1150" t="s">
        <v>1869</v>
      </c>
      <c r="C3" s="1151"/>
      <c r="D3" s="1152"/>
      <c r="E3" s="1152"/>
      <c r="F3" s="302"/>
      <c r="G3" s="335"/>
      <c r="H3" s="335"/>
      <c r="I3" s="335"/>
      <c r="J3" s="336"/>
      <c r="AA3" s="135"/>
      <c r="AB3" s="303"/>
      <c r="AC3" s="213"/>
      <c r="AD3" s="213"/>
      <c r="AE3" s="213"/>
      <c r="AF3" s="213"/>
      <c r="AG3" s="213"/>
      <c r="AH3" s="213"/>
    </row>
    <row r="4" spans="1:40" x14ac:dyDescent="0.25">
      <c r="A4" s="1153" t="s">
        <v>772</v>
      </c>
      <c r="B4" s="1154" t="s">
        <v>773</v>
      </c>
      <c r="C4" s="1152"/>
      <c r="D4" s="1152"/>
      <c r="E4" s="1152"/>
      <c r="F4" s="1174"/>
      <c r="G4" s="335"/>
      <c r="H4" s="335"/>
      <c r="I4" s="335"/>
      <c r="J4" s="336"/>
      <c r="AA4"/>
      <c r="AB4"/>
      <c r="AC4"/>
      <c r="AD4"/>
      <c r="AE4"/>
      <c r="AF4"/>
      <c r="AG4"/>
      <c r="AH4"/>
      <c r="AI4"/>
    </row>
    <row r="5" spans="1:40" ht="51" customHeight="1" x14ac:dyDescent="0.25">
      <c r="A5" s="164" t="s">
        <v>1844</v>
      </c>
      <c r="B5" s="164" t="s">
        <v>2089</v>
      </c>
      <c r="C5" s="136"/>
      <c r="D5" s="136"/>
      <c r="E5" s="136"/>
      <c r="F5" s="136"/>
      <c r="G5" s="133">
        <v>2</v>
      </c>
      <c r="H5" s="133"/>
      <c r="I5" s="133"/>
      <c r="J5" s="133" t="s">
        <v>6877</v>
      </c>
      <c r="AA5">
        <f>IF(AND('7 Dev'!C5&gt;Tmin, NOT('7 Dev'!$I5="")),'7 Dev'!$I5,0)</f>
        <v>0</v>
      </c>
      <c r="AB5">
        <f>IF(AND('7 Dev'!D5&gt;Tmin, NOT('7 Dev'!$I5="")),'7 Dev'!$I5,0)</f>
        <v>0</v>
      </c>
      <c r="AC5">
        <f>IF(AND('7 Dev'!E5&gt;Tmin, NOT('7 Dev'!$I5="")),'7 Dev'!$I5,0)</f>
        <v>0</v>
      </c>
      <c r="AD5">
        <f>IF(AND('7 Dev'!F5&gt;Tmin, NOT('7 Dev'!$I5="")),'7 Dev'!$I5,0)</f>
        <v>0</v>
      </c>
      <c r="AE5">
        <f>IF(AND('7 Dev'!C5&lt;Tmax, NOT('7 Dev'!$H5="")),'7 Dev'!$H5,4)</f>
        <v>4</v>
      </c>
      <c r="AF5">
        <f>IF(AND('7 Dev'!D5&lt;Tmax, NOT('7 Dev'!$H5="")),'7 Dev'!$H5,4)</f>
        <v>4</v>
      </c>
      <c r="AG5">
        <f>IF(AND('7 Dev'!E5&lt;Tmax, NOT('7 Dev'!$H5="")),'7 Dev'!$H5,4)</f>
        <v>4</v>
      </c>
      <c r="AH5">
        <f>IF(AND('7 Dev'!F5&lt;Tmax, NOT('7 Dev'!$H5="")),'7 Dev'!$H5,4)</f>
        <v>4</v>
      </c>
      <c r="AI5"/>
    </row>
    <row r="6" spans="1:40" x14ac:dyDescent="0.25">
      <c r="A6" s="164" t="s">
        <v>1845</v>
      </c>
      <c r="B6" s="164" t="s">
        <v>7251</v>
      </c>
      <c r="C6" s="136"/>
      <c r="D6" s="136"/>
      <c r="E6" s="136"/>
      <c r="F6" s="136"/>
      <c r="G6" s="133">
        <v>4</v>
      </c>
      <c r="H6" s="133"/>
      <c r="I6" s="133"/>
      <c r="J6" s="133" t="s">
        <v>6877</v>
      </c>
      <c r="AA6">
        <f>IF(AND('7 Dev'!C6&gt;Tmin, NOT('7 Dev'!$I6="")),'7 Dev'!$I6,0)</f>
        <v>0</v>
      </c>
      <c r="AB6">
        <f>IF(AND('7 Dev'!D6&gt;Tmin, NOT('7 Dev'!$I6="")),'7 Dev'!$I6,0)</f>
        <v>0</v>
      </c>
      <c r="AC6">
        <f>IF(AND('7 Dev'!E6&gt;Tmin, NOT('7 Dev'!$I6="")),'7 Dev'!$I6,0)</f>
        <v>0</v>
      </c>
      <c r="AD6">
        <f>IF(AND('7 Dev'!F6&gt;Tmin, NOT('7 Dev'!$I6="")),'7 Dev'!$I6,0)</f>
        <v>0</v>
      </c>
      <c r="AE6">
        <f>IF(AND('7 Dev'!C6&lt;Tmax, NOT('7 Dev'!$H6="")),'7 Dev'!$H6,4)</f>
        <v>4</v>
      </c>
      <c r="AF6">
        <f>IF(AND('7 Dev'!D6&lt;Tmax, NOT('7 Dev'!$H6="")),'7 Dev'!$H6,4)</f>
        <v>4</v>
      </c>
      <c r="AG6">
        <f>IF(AND('7 Dev'!E6&lt;Tmax, NOT('7 Dev'!$H6="")),'7 Dev'!$H6,4)</f>
        <v>4</v>
      </c>
      <c r="AH6">
        <f>IF(AND('7 Dev'!F6&lt;Tmax, NOT('7 Dev'!$H6="")),'7 Dev'!$H6,4)</f>
        <v>4</v>
      </c>
      <c r="AI6"/>
    </row>
    <row r="7" spans="1:40" ht="20.399999999999999" x14ac:dyDescent="0.25">
      <c r="A7" s="164" t="s">
        <v>1846</v>
      </c>
      <c r="B7" s="164" t="s">
        <v>7252</v>
      </c>
      <c r="C7" s="136"/>
      <c r="D7" s="136"/>
      <c r="E7" s="136"/>
      <c r="F7" s="136"/>
      <c r="G7" s="133">
        <v>4</v>
      </c>
      <c r="H7" s="133"/>
      <c r="I7" s="133"/>
      <c r="J7" s="133" t="s">
        <v>6877</v>
      </c>
      <c r="AA7">
        <f>IF(AND('7 Dev'!C7&gt;Tmin, NOT('7 Dev'!$I7="")),'7 Dev'!$I7,0)</f>
        <v>0</v>
      </c>
      <c r="AB7">
        <f>IF(AND('7 Dev'!D7&gt;Tmin, NOT('7 Dev'!$I7="")),'7 Dev'!$I7,0)</f>
        <v>0</v>
      </c>
      <c r="AC7">
        <f>IF(AND('7 Dev'!E7&gt;Tmin, NOT('7 Dev'!$I7="")),'7 Dev'!$I7,0)</f>
        <v>0</v>
      </c>
      <c r="AD7">
        <f>IF(AND('7 Dev'!F7&gt;Tmin, NOT('7 Dev'!$I7="")),'7 Dev'!$I7,0)</f>
        <v>0</v>
      </c>
      <c r="AE7">
        <f>IF(AND('7 Dev'!C7&lt;Tmax, NOT('7 Dev'!$H7="")),'7 Dev'!$H7,4)</f>
        <v>4</v>
      </c>
      <c r="AF7">
        <f>IF(AND('7 Dev'!D7&lt;Tmax, NOT('7 Dev'!$H7="")),'7 Dev'!$H7,4)</f>
        <v>4</v>
      </c>
      <c r="AG7">
        <f>IF(AND('7 Dev'!E7&lt;Tmax, NOT('7 Dev'!$H7="")),'7 Dev'!$H7,4)</f>
        <v>4</v>
      </c>
      <c r="AH7">
        <f>IF(AND('7 Dev'!F7&lt;Tmax, NOT('7 Dev'!$H7="")),'7 Dev'!$H7,4)</f>
        <v>4</v>
      </c>
      <c r="AI7"/>
    </row>
    <row r="8" spans="1:40" ht="20.399999999999999" x14ac:dyDescent="0.25">
      <c r="A8" s="164" t="s">
        <v>1847</v>
      </c>
      <c r="B8" s="164" t="s">
        <v>7253</v>
      </c>
      <c r="C8" s="136"/>
      <c r="D8" s="136"/>
      <c r="E8" s="136"/>
      <c r="F8" s="136"/>
      <c r="G8" s="133">
        <v>4</v>
      </c>
      <c r="H8" s="133"/>
      <c r="I8" s="133"/>
      <c r="J8" s="133" t="s">
        <v>7137</v>
      </c>
      <c r="AA8">
        <f>IF(AND('7 Dev'!C8&gt;Tmin, NOT('7 Dev'!$I8="")),'7 Dev'!$I8,0)</f>
        <v>0</v>
      </c>
      <c r="AB8">
        <f>IF(AND('7 Dev'!D8&gt;Tmin, NOT('7 Dev'!$I8="")),'7 Dev'!$I8,0)</f>
        <v>0</v>
      </c>
      <c r="AC8">
        <f>IF(AND('7 Dev'!E8&gt;Tmin, NOT('7 Dev'!$I8="")),'7 Dev'!$I8,0)</f>
        <v>0</v>
      </c>
      <c r="AD8">
        <f>IF(AND('7 Dev'!F8&gt;Tmin, NOT('7 Dev'!$I8="")),'7 Dev'!$I8,0)</f>
        <v>0</v>
      </c>
      <c r="AE8">
        <f>IF(AND('7 Dev'!C8&lt;Tmax, NOT('7 Dev'!$H8="")),'7 Dev'!$H8,4)</f>
        <v>4</v>
      </c>
      <c r="AF8">
        <f>IF(AND('7 Dev'!D8&lt;Tmax, NOT('7 Dev'!$H8="")),'7 Dev'!$H8,4)</f>
        <v>4</v>
      </c>
      <c r="AG8">
        <f>IF(AND('7 Dev'!E8&lt;Tmax, NOT('7 Dev'!$H8="")),'7 Dev'!$H8,4)</f>
        <v>4</v>
      </c>
      <c r="AH8">
        <f>IF(AND('7 Dev'!F8&lt;Tmax, NOT('7 Dev'!$H8="")),'7 Dev'!$H8,4)</f>
        <v>4</v>
      </c>
      <c r="AI8"/>
    </row>
    <row r="9" spans="1:40" ht="20.399999999999999" x14ac:dyDescent="0.25">
      <c r="A9" s="164" t="s">
        <v>2088</v>
      </c>
      <c r="B9" s="164" t="s">
        <v>7254</v>
      </c>
      <c r="C9" s="136"/>
      <c r="D9" s="136"/>
      <c r="E9" s="136"/>
      <c r="F9" s="136"/>
      <c r="G9" s="133">
        <v>4</v>
      </c>
      <c r="H9" s="133"/>
      <c r="I9" s="133"/>
      <c r="J9" s="133" t="s">
        <v>7137</v>
      </c>
      <c r="AA9">
        <f>IF(AND('7 Dev'!C9&gt;Tmin, NOT('7 Dev'!$I9="")),'7 Dev'!$I9,0)</f>
        <v>0</v>
      </c>
      <c r="AB9">
        <f>IF(AND('7 Dev'!D9&gt;Tmin, NOT('7 Dev'!$I9="")),'7 Dev'!$I9,0)</f>
        <v>0</v>
      </c>
      <c r="AC9">
        <f>IF(AND('7 Dev'!E9&gt;Tmin, NOT('7 Dev'!$I9="")),'7 Dev'!$I9,0)</f>
        <v>0</v>
      </c>
      <c r="AD9">
        <f>IF(AND('7 Dev'!F9&gt;Tmin, NOT('7 Dev'!$I9="")),'7 Dev'!$I9,0)</f>
        <v>0</v>
      </c>
      <c r="AE9">
        <f>IF(AND('7 Dev'!C9&lt;Tmax, NOT('7 Dev'!$H9="")),'7 Dev'!$H9,4)</f>
        <v>4</v>
      </c>
      <c r="AF9">
        <f>IF(AND('7 Dev'!D9&lt;Tmax, NOT('7 Dev'!$H9="")),'7 Dev'!$H9,4)</f>
        <v>4</v>
      </c>
      <c r="AG9">
        <f>IF(AND('7 Dev'!E9&lt;Tmax, NOT('7 Dev'!$H9="")),'7 Dev'!$H9,4)</f>
        <v>4</v>
      </c>
      <c r="AH9">
        <f>IF(AND('7 Dev'!F9&lt;Tmax, NOT('7 Dev'!$H9="")),'7 Dev'!$H9,4)</f>
        <v>4</v>
      </c>
      <c r="AI9"/>
    </row>
    <row r="10" spans="1:40" ht="20.399999999999999" x14ac:dyDescent="0.25">
      <c r="A10" s="164" t="s">
        <v>7417</v>
      </c>
      <c r="B10" s="164" t="s">
        <v>7415</v>
      </c>
      <c r="C10" s="136"/>
      <c r="D10" s="136"/>
      <c r="E10" s="136"/>
      <c r="F10" s="136"/>
      <c r="G10" s="133">
        <v>2</v>
      </c>
      <c r="H10" s="133"/>
      <c r="I10" s="133"/>
      <c r="J10" s="133" t="s">
        <v>7140</v>
      </c>
      <c r="AA10">
        <f>IF(AND('7 Dev'!C10&gt;Tmin, NOT('7 Dev'!$I10="")),'7 Dev'!$I10,0)</f>
        <v>0</v>
      </c>
      <c r="AB10">
        <f>IF(AND('7 Dev'!D10&gt;Tmin, NOT('7 Dev'!$I10="")),'7 Dev'!$I10,0)</f>
        <v>0</v>
      </c>
      <c r="AC10">
        <f>IF(AND('7 Dev'!E10&gt;Tmin, NOT('7 Dev'!$I10="")),'7 Dev'!$I10,0)</f>
        <v>0</v>
      </c>
      <c r="AD10">
        <f>IF(AND('7 Dev'!F10&gt;Tmin, NOT('7 Dev'!$I10="")),'7 Dev'!$I10,0)</f>
        <v>0</v>
      </c>
      <c r="AE10">
        <f>IF(AND('7 Dev'!C10&lt;Tmax, NOT('7 Dev'!$H10="")),'7 Dev'!$H10,4)</f>
        <v>4</v>
      </c>
      <c r="AF10">
        <f>IF(AND('7 Dev'!D10&lt;Tmax, NOT('7 Dev'!$H10="")),'7 Dev'!$H10,4)</f>
        <v>4</v>
      </c>
      <c r="AG10">
        <f>IF(AND('7 Dev'!E10&lt;Tmax, NOT('7 Dev'!$H10="")),'7 Dev'!$H10,4)</f>
        <v>4</v>
      </c>
      <c r="AH10">
        <f>IF(AND('7 Dev'!F10&lt;Tmax, NOT('7 Dev'!$H10="")),'7 Dev'!$H10,4)</f>
        <v>4</v>
      </c>
      <c r="AI10"/>
    </row>
    <row r="11" spans="1:40" ht="20.399999999999999" x14ac:dyDescent="0.25">
      <c r="A11" s="164" t="s">
        <v>7418</v>
      </c>
      <c r="B11" s="164" t="s">
        <v>7416</v>
      </c>
      <c r="C11" s="136"/>
      <c r="D11" s="136"/>
      <c r="E11" s="136"/>
      <c r="F11" s="136"/>
      <c r="G11" s="133">
        <v>4</v>
      </c>
      <c r="H11" s="133"/>
      <c r="I11" s="133"/>
      <c r="J11" s="133" t="s">
        <v>7140</v>
      </c>
      <c r="AA11">
        <f>IF(AND('7 Dev'!C11&gt;Tmin, NOT('7 Dev'!$I11="")),'7 Dev'!$I11,0)</f>
        <v>0</v>
      </c>
      <c r="AB11">
        <f>IF(AND('7 Dev'!D11&gt;Tmin, NOT('7 Dev'!$I11="")),'7 Dev'!$I11,0)</f>
        <v>0</v>
      </c>
      <c r="AC11">
        <f>IF(AND('7 Dev'!E11&gt;Tmin, NOT('7 Dev'!$I11="")),'7 Dev'!$I11,0)</f>
        <v>0</v>
      </c>
      <c r="AD11">
        <f>IF(AND('7 Dev'!F11&gt;Tmin, NOT('7 Dev'!$I11="")),'7 Dev'!$I11,0)</f>
        <v>0</v>
      </c>
      <c r="AE11">
        <f>IF(AND('7 Dev'!C11&lt;Tmax, NOT('7 Dev'!$H11="")),'7 Dev'!$H11,4)</f>
        <v>4</v>
      </c>
      <c r="AF11">
        <f>IF(AND('7 Dev'!D11&lt;Tmax, NOT('7 Dev'!$H11="")),'7 Dev'!$H11,4)</f>
        <v>4</v>
      </c>
      <c r="AG11">
        <f>IF(AND('7 Dev'!E11&lt;Tmax, NOT('7 Dev'!$H11="")),'7 Dev'!$H11,4)</f>
        <v>4</v>
      </c>
      <c r="AH11">
        <f>IF(AND('7 Dev'!F11&lt;Tmax, NOT('7 Dev'!$H11="")),'7 Dev'!$H11,4)</f>
        <v>4</v>
      </c>
      <c r="AI11"/>
    </row>
    <row r="12" spans="1:40" ht="30.6" x14ac:dyDescent="0.25">
      <c r="A12" s="164" t="s">
        <v>7420</v>
      </c>
      <c r="B12" s="164" t="s">
        <v>7447</v>
      </c>
      <c r="C12" s="136"/>
      <c r="D12" s="136"/>
      <c r="E12" s="136"/>
      <c r="F12" s="136"/>
      <c r="G12" s="133">
        <v>2</v>
      </c>
      <c r="H12" s="133"/>
      <c r="I12" s="133"/>
      <c r="J12" s="133" t="s">
        <v>7142</v>
      </c>
      <c r="AA12">
        <f>IF(AND('7 Dev'!C12&gt;Tmin, NOT('7 Dev'!$I12="")),'7 Dev'!$I12,0)</f>
        <v>0</v>
      </c>
      <c r="AB12">
        <f>IF(AND('7 Dev'!D12&gt;Tmin, NOT('7 Dev'!$I12="")),'7 Dev'!$I12,0)</f>
        <v>0</v>
      </c>
      <c r="AC12">
        <f>IF(AND('7 Dev'!E12&gt;Tmin, NOT('7 Dev'!$I12="")),'7 Dev'!$I12,0)</f>
        <v>0</v>
      </c>
      <c r="AD12">
        <f>IF(AND('7 Dev'!F12&gt;Tmin, NOT('7 Dev'!$I12="")),'7 Dev'!$I12,0)</f>
        <v>0</v>
      </c>
      <c r="AE12">
        <f>IF(AND('7 Dev'!C12&lt;Tmax, NOT('7 Dev'!$H12="")),'7 Dev'!$H12,4)</f>
        <v>4</v>
      </c>
      <c r="AF12">
        <f>IF(AND('7 Dev'!D12&lt;Tmax, NOT('7 Dev'!$H12="")),'7 Dev'!$H12,4)</f>
        <v>4</v>
      </c>
      <c r="AG12">
        <f>IF(AND('7 Dev'!E12&lt;Tmax, NOT('7 Dev'!$H12="")),'7 Dev'!$H12,4)</f>
        <v>4</v>
      </c>
      <c r="AH12">
        <f>IF(AND('7 Dev'!F12&lt;Tmax, NOT('7 Dev'!$H12="")),'7 Dev'!$H12,4)</f>
        <v>4</v>
      </c>
      <c r="AI12"/>
    </row>
    <row r="13" spans="1:40" ht="20.399999999999999" x14ac:dyDescent="0.25">
      <c r="A13" s="164" t="s">
        <v>7421</v>
      </c>
      <c r="B13" s="164" t="s">
        <v>7422</v>
      </c>
      <c r="C13" s="136"/>
      <c r="D13" s="136"/>
      <c r="E13" s="136"/>
      <c r="F13" s="136"/>
      <c r="G13" s="133">
        <v>4</v>
      </c>
      <c r="H13" s="133"/>
      <c r="I13" s="133"/>
      <c r="J13" s="133" t="s">
        <v>7142</v>
      </c>
      <c r="AA13">
        <f>IF(AND('7 Dev'!C13&gt;Tmin, NOT('7 Dev'!$I13="")),'7 Dev'!$I13,0)</f>
        <v>0</v>
      </c>
      <c r="AB13">
        <f>IF(AND('7 Dev'!D13&gt;Tmin, NOT('7 Dev'!$I13="")),'7 Dev'!$I13,0)</f>
        <v>0</v>
      </c>
      <c r="AC13">
        <f>IF(AND('7 Dev'!E13&gt;Tmin, NOT('7 Dev'!$I13="")),'7 Dev'!$I13,0)</f>
        <v>0</v>
      </c>
      <c r="AD13">
        <f>IF(AND('7 Dev'!F13&gt;Tmin, NOT('7 Dev'!$I13="")),'7 Dev'!$I13,0)</f>
        <v>0</v>
      </c>
      <c r="AE13">
        <f>IF(AND('7 Dev'!C13&lt;Tmax, NOT('7 Dev'!$H13="")),'7 Dev'!$H13,4)</f>
        <v>4</v>
      </c>
      <c r="AF13">
        <f>IF(AND('7 Dev'!D13&lt;Tmax, NOT('7 Dev'!$H13="")),'7 Dev'!$H13,4)</f>
        <v>4</v>
      </c>
      <c r="AG13">
        <f>IF(AND('7 Dev'!E13&lt;Tmax, NOT('7 Dev'!$H13="")),'7 Dev'!$H13,4)</f>
        <v>4</v>
      </c>
      <c r="AH13">
        <f>IF(AND('7 Dev'!F13&lt;Tmax, NOT('7 Dev'!$H13="")),'7 Dev'!$H13,4)</f>
        <v>4</v>
      </c>
      <c r="AI13"/>
    </row>
    <row r="14" spans="1:40" x14ac:dyDescent="0.25">
      <c r="A14" s="164" t="s">
        <v>774</v>
      </c>
      <c r="B14" s="164" t="s">
        <v>775</v>
      </c>
      <c r="C14" s="136"/>
      <c r="D14" s="136"/>
      <c r="E14" s="136"/>
      <c r="F14" s="136"/>
      <c r="G14" s="133"/>
      <c r="H14" s="133"/>
      <c r="I14" s="133"/>
      <c r="J14" s="133"/>
      <c r="AA14"/>
      <c r="AB14"/>
      <c r="AC14"/>
      <c r="AD14"/>
      <c r="AE14"/>
      <c r="AF14"/>
      <c r="AG14"/>
      <c r="AH14"/>
      <c r="AI14"/>
    </row>
    <row r="15" spans="1:40" s="213" customFormat="1" ht="39" customHeight="1" x14ac:dyDescent="0.25">
      <c r="A15" s="164" t="s">
        <v>1848</v>
      </c>
      <c r="B15" s="164" t="s">
        <v>2090</v>
      </c>
      <c r="C15" s="136"/>
      <c r="D15" s="136"/>
      <c r="E15" s="136"/>
      <c r="F15" s="136"/>
      <c r="G15" s="133">
        <v>4</v>
      </c>
      <c r="H15" s="133"/>
      <c r="I15" s="133"/>
      <c r="J15" s="133" t="s">
        <v>7137</v>
      </c>
      <c r="K15" s="320"/>
      <c r="L15" s="135"/>
      <c r="M15" s="135"/>
      <c r="N15" s="135"/>
      <c r="O15" s="135"/>
      <c r="P15" s="135"/>
      <c r="Q15" s="135"/>
      <c r="R15" s="135"/>
      <c r="S15" s="135"/>
      <c r="T15" s="135"/>
      <c r="U15" s="135"/>
      <c r="V15" s="135"/>
      <c r="W15" s="135"/>
      <c r="X15" s="135"/>
      <c r="Y15" s="135"/>
      <c r="Z15" s="135"/>
      <c r="AA15">
        <f>IF(AND('7 Dev'!C15&gt;Tmin, NOT('7 Dev'!$I15="")),'7 Dev'!$I15,0)</f>
        <v>0</v>
      </c>
      <c r="AB15">
        <f>IF(AND('7 Dev'!D15&gt;Tmin, NOT('7 Dev'!$I15="")),'7 Dev'!$I15,0)</f>
        <v>0</v>
      </c>
      <c r="AC15">
        <f>IF(AND('7 Dev'!E15&gt;Tmin, NOT('7 Dev'!$I15="")),'7 Dev'!$I15,0)</f>
        <v>0</v>
      </c>
      <c r="AD15">
        <f>IF(AND('7 Dev'!F15&gt;Tmin, NOT('7 Dev'!$I15="")),'7 Dev'!$I15,0)</f>
        <v>0</v>
      </c>
      <c r="AE15">
        <f>IF(AND('7 Dev'!C15&lt;Tmax, NOT('7 Dev'!$H15="")),'7 Dev'!$H15,4)</f>
        <v>4</v>
      </c>
      <c r="AF15">
        <f>IF(AND('7 Dev'!D15&lt;Tmax, NOT('7 Dev'!$H15="")),'7 Dev'!$H15,4)</f>
        <v>4</v>
      </c>
      <c r="AG15">
        <f>IF(AND('7 Dev'!E15&lt;Tmax, NOT('7 Dev'!$H15="")),'7 Dev'!$H15,4)</f>
        <v>4</v>
      </c>
      <c r="AH15">
        <f>IF(AND('7 Dev'!F15&lt;Tmax, NOT('7 Dev'!$H15="")),'7 Dev'!$H15,4)</f>
        <v>4</v>
      </c>
      <c r="AI15"/>
      <c r="AJ15" s="227"/>
      <c r="AK15" s="227"/>
      <c r="AL15" s="227"/>
      <c r="AM15" s="227"/>
      <c r="AN15" s="227"/>
    </row>
    <row r="16" spans="1:40" s="213" customFormat="1" ht="20.399999999999999" x14ac:dyDescent="0.25">
      <c r="A16" s="164" t="s">
        <v>1849</v>
      </c>
      <c r="B16" s="164" t="s">
        <v>7255</v>
      </c>
      <c r="C16" s="136"/>
      <c r="D16" s="136"/>
      <c r="E16" s="136"/>
      <c r="F16" s="136"/>
      <c r="G16" s="133">
        <v>4</v>
      </c>
      <c r="H16" s="133"/>
      <c r="I16" s="133"/>
      <c r="J16" s="133" t="s">
        <v>7137</v>
      </c>
      <c r="K16" s="320"/>
      <c r="L16" s="135"/>
      <c r="M16" s="135"/>
      <c r="N16" s="135"/>
      <c r="O16" s="135"/>
      <c r="P16" s="135"/>
      <c r="Q16" s="135"/>
      <c r="R16" s="135"/>
      <c r="S16" s="135"/>
      <c r="T16" s="135"/>
      <c r="U16" s="135"/>
      <c r="V16" s="135"/>
      <c r="W16" s="135"/>
      <c r="X16" s="135"/>
      <c r="Y16" s="135"/>
      <c r="Z16" s="135"/>
      <c r="AA16">
        <f>IF(AND('7 Dev'!C16&gt;Tmin, NOT('7 Dev'!$I16="")),'7 Dev'!$I16,0)</f>
        <v>0</v>
      </c>
      <c r="AB16">
        <f>IF(AND('7 Dev'!D16&gt;Tmin, NOT('7 Dev'!$I16="")),'7 Dev'!$I16,0)</f>
        <v>0</v>
      </c>
      <c r="AC16">
        <f>IF(AND('7 Dev'!E16&gt;Tmin, NOT('7 Dev'!$I16="")),'7 Dev'!$I16,0)</f>
        <v>0</v>
      </c>
      <c r="AD16">
        <f>IF(AND('7 Dev'!F16&gt;Tmin, NOT('7 Dev'!$I16="")),'7 Dev'!$I16,0)</f>
        <v>0</v>
      </c>
      <c r="AE16">
        <f>IF(AND('7 Dev'!C16&lt;Tmax, NOT('7 Dev'!$H16="")),'7 Dev'!$H16,4)</f>
        <v>4</v>
      </c>
      <c r="AF16">
        <f>IF(AND('7 Dev'!D16&lt;Tmax, NOT('7 Dev'!$H16="")),'7 Dev'!$H16,4)</f>
        <v>4</v>
      </c>
      <c r="AG16">
        <f>IF(AND('7 Dev'!E16&lt;Tmax, NOT('7 Dev'!$H16="")),'7 Dev'!$H16,4)</f>
        <v>4</v>
      </c>
      <c r="AH16">
        <f>IF(AND('7 Dev'!F16&lt;Tmax, NOT('7 Dev'!$H16="")),'7 Dev'!$H16,4)</f>
        <v>4</v>
      </c>
      <c r="AI16"/>
      <c r="AJ16" s="227"/>
      <c r="AK16" s="227"/>
      <c r="AL16" s="227"/>
      <c r="AM16" s="227"/>
      <c r="AN16" s="227"/>
    </row>
    <row r="17" spans="1:40" s="213" customFormat="1" x14ac:dyDescent="0.25">
      <c r="A17" s="164" t="s">
        <v>776</v>
      </c>
      <c r="B17" s="164" t="s">
        <v>777</v>
      </c>
      <c r="C17" s="136"/>
      <c r="D17" s="136"/>
      <c r="E17" s="136"/>
      <c r="F17" s="136"/>
      <c r="G17" s="133"/>
      <c r="H17" s="133"/>
      <c r="I17" s="133"/>
      <c r="J17" s="133"/>
      <c r="K17" s="320"/>
      <c r="L17" s="135"/>
      <c r="M17" s="135"/>
      <c r="N17" s="135"/>
      <c r="O17" s="135"/>
      <c r="P17" s="135"/>
      <c r="Q17" s="135"/>
      <c r="R17" s="135"/>
      <c r="S17" s="135"/>
      <c r="T17" s="135"/>
      <c r="U17" s="135"/>
      <c r="V17" s="135"/>
      <c r="W17" s="135"/>
      <c r="X17" s="135"/>
      <c r="Y17" s="135"/>
      <c r="Z17" s="135"/>
      <c r="AA17"/>
      <c r="AB17"/>
      <c r="AC17"/>
      <c r="AD17"/>
      <c r="AE17"/>
      <c r="AF17"/>
      <c r="AG17"/>
      <c r="AH17"/>
      <c r="AI17"/>
      <c r="AJ17" s="227"/>
      <c r="AK17" s="227"/>
      <c r="AL17" s="227"/>
      <c r="AM17" s="227"/>
      <c r="AN17" s="227"/>
    </row>
    <row r="18" spans="1:40" s="213" customFormat="1" ht="40.799999999999997" x14ac:dyDescent="0.25">
      <c r="A18" s="164" t="s">
        <v>1871</v>
      </c>
      <c r="B18" s="164" t="s">
        <v>2091</v>
      </c>
      <c r="C18" s="136"/>
      <c r="D18" s="136"/>
      <c r="E18" s="136"/>
      <c r="F18" s="136"/>
      <c r="G18" s="133">
        <v>4</v>
      </c>
      <c r="H18" s="133"/>
      <c r="I18" s="133"/>
      <c r="J18" s="133" t="s">
        <v>7137</v>
      </c>
      <c r="K18" s="320"/>
      <c r="L18" s="135"/>
      <c r="M18" s="135"/>
      <c r="N18" s="135"/>
      <c r="O18" s="135"/>
      <c r="P18" s="135"/>
      <c r="Q18" s="135"/>
      <c r="R18" s="135"/>
      <c r="S18" s="135"/>
      <c r="T18" s="135"/>
      <c r="U18" s="135"/>
      <c r="V18" s="135"/>
      <c r="W18" s="135"/>
      <c r="X18" s="135"/>
      <c r="Y18" s="135"/>
      <c r="Z18" s="135"/>
      <c r="AA18">
        <f>IF(AND('7 Dev'!C18&gt;Tmin, NOT('7 Dev'!$I18="")),'7 Dev'!$I18,0)</f>
        <v>0</v>
      </c>
      <c r="AB18">
        <f>IF(AND('7 Dev'!D18&gt;Tmin, NOT('7 Dev'!$I18="")),'7 Dev'!$I18,0)</f>
        <v>0</v>
      </c>
      <c r="AC18">
        <f>IF(AND('7 Dev'!E18&gt;Tmin, NOT('7 Dev'!$I18="")),'7 Dev'!$I18,0)</f>
        <v>0</v>
      </c>
      <c r="AD18">
        <f>IF(AND('7 Dev'!F18&gt;Tmin, NOT('7 Dev'!$I18="")),'7 Dev'!$I18,0)</f>
        <v>0</v>
      </c>
      <c r="AE18">
        <f>IF(AND('7 Dev'!C18&lt;Tmax, NOT('7 Dev'!$H18="")),'7 Dev'!$H18,4)</f>
        <v>4</v>
      </c>
      <c r="AF18">
        <f>IF(AND('7 Dev'!D18&lt;Tmax, NOT('7 Dev'!$H18="")),'7 Dev'!$H18,4)</f>
        <v>4</v>
      </c>
      <c r="AG18">
        <f>IF(AND('7 Dev'!E18&lt;Tmax, NOT('7 Dev'!$H18="")),'7 Dev'!$H18,4)</f>
        <v>4</v>
      </c>
      <c r="AH18">
        <f>IF(AND('7 Dev'!F18&lt;Tmax, NOT('7 Dev'!$H18="")),'7 Dev'!$H18,4)</f>
        <v>4</v>
      </c>
      <c r="AI18"/>
      <c r="AJ18" s="227"/>
      <c r="AK18" s="227"/>
      <c r="AL18" s="227"/>
      <c r="AM18" s="227"/>
      <c r="AN18" s="227"/>
    </row>
    <row r="19" spans="1:40" ht="20.399999999999999" x14ac:dyDescent="0.25">
      <c r="A19" s="164" t="s">
        <v>1872</v>
      </c>
      <c r="B19" s="164" t="s">
        <v>7256</v>
      </c>
      <c r="C19" s="136"/>
      <c r="D19" s="136"/>
      <c r="E19" s="136"/>
      <c r="F19" s="136"/>
      <c r="G19" s="133">
        <v>4</v>
      </c>
      <c r="H19" s="133"/>
      <c r="I19" s="133"/>
      <c r="J19" s="133" t="s">
        <v>7137</v>
      </c>
      <c r="AA19">
        <f>IF(AND('7 Dev'!C19&gt;Tmin, NOT('7 Dev'!$I19="")),'7 Dev'!$I19,0)</f>
        <v>0</v>
      </c>
      <c r="AB19">
        <f>IF(AND('7 Dev'!D19&gt;Tmin, NOT('7 Dev'!$I19="")),'7 Dev'!$I19,0)</f>
        <v>0</v>
      </c>
      <c r="AC19">
        <f>IF(AND('7 Dev'!E19&gt;Tmin, NOT('7 Dev'!$I19="")),'7 Dev'!$I19,0)</f>
        <v>0</v>
      </c>
      <c r="AD19">
        <f>IF(AND('7 Dev'!F19&gt;Tmin, NOT('7 Dev'!$I19="")),'7 Dev'!$I19,0)</f>
        <v>0</v>
      </c>
      <c r="AE19">
        <f>IF(AND('7 Dev'!C19&lt;Tmax, NOT('7 Dev'!$H19="")),'7 Dev'!$H19,4)</f>
        <v>4</v>
      </c>
      <c r="AF19">
        <f>IF(AND('7 Dev'!D19&lt;Tmax, NOT('7 Dev'!$H19="")),'7 Dev'!$H19,4)</f>
        <v>4</v>
      </c>
      <c r="AG19">
        <f>IF(AND('7 Dev'!E19&lt;Tmax, NOT('7 Dev'!$H19="")),'7 Dev'!$H19,4)</f>
        <v>4</v>
      </c>
      <c r="AH19">
        <f>IF(AND('7 Dev'!F19&lt;Tmax, NOT('7 Dev'!$H19="")),'7 Dev'!$H19,4)</f>
        <v>4</v>
      </c>
      <c r="AI19"/>
    </row>
    <row r="20" spans="1:40" x14ac:dyDescent="0.25">
      <c r="A20" s="1150" t="s">
        <v>2146</v>
      </c>
      <c r="B20" s="1150" t="s">
        <v>2147</v>
      </c>
      <c r="C20" s="136"/>
      <c r="D20" s="136"/>
      <c r="E20" s="136"/>
      <c r="F20" s="136"/>
      <c r="G20" s="133"/>
      <c r="H20" s="133"/>
      <c r="I20" s="133"/>
      <c r="J20" s="133"/>
      <c r="AA20"/>
      <c r="AB20"/>
      <c r="AC20"/>
      <c r="AD20"/>
      <c r="AE20"/>
      <c r="AF20"/>
      <c r="AG20"/>
      <c r="AH20"/>
      <c r="AI20"/>
    </row>
    <row r="21" spans="1:40" x14ac:dyDescent="0.25">
      <c r="A21" s="164" t="s">
        <v>778</v>
      </c>
      <c r="B21" s="164" t="s">
        <v>779</v>
      </c>
      <c r="C21" s="136"/>
      <c r="D21" s="136"/>
      <c r="E21" s="136"/>
      <c r="F21" s="136"/>
      <c r="G21" s="133"/>
      <c r="H21" s="133"/>
      <c r="I21" s="133"/>
      <c r="J21" s="133"/>
      <c r="AA21"/>
      <c r="AB21"/>
      <c r="AC21"/>
      <c r="AD21"/>
      <c r="AE21"/>
      <c r="AF21"/>
      <c r="AG21"/>
      <c r="AH21"/>
      <c r="AI21"/>
    </row>
    <row r="22" spans="1:40" ht="30.6" x14ac:dyDescent="0.25">
      <c r="A22" s="164" t="s">
        <v>1850</v>
      </c>
      <c r="B22" s="164" t="s">
        <v>7448</v>
      </c>
      <c r="C22" s="136"/>
      <c r="D22" s="136"/>
      <c r="E22" s="136"/>
      <c r="F22" s="136"/>
      <c r="G22" s="133">
        <v>1</v>
      </c>
      <c r="H22" s="133"/>
      <c r="I22" s="133"/>
      <c r="J22" s="133" t="s">
        <v>7134</v>
      </c>
      <c r="AA22">
        <f>IF(AND('7 Dev'!C22&gt;Tmin, NOT('7 Dev'!$I22="")),'7 Dev'!$I22,0)</f>
        <v>0</v>
      </c>
      <c r="AB22">
        <f>IF(AND('7 Dev'!D22&gt;Tmin, NOT('7 Dev'!$I22="")),'7 Dev'!$I22,0)</f>
        <v>0</v>
      </c>
      <c r="AC22">
        <f>IF(AND('7 Dev'!E22&gt;Tmin, NOT('7 Dev'!$I22="")),'7 Dev'!$I22,0)</f>
        <v>0</v>
      </c>
      <c r="AD22">
        <f>IF(AND('7 Dev'!F22&gt;Tmin, NOT('7 Dev'!$I22="")),'7 Dev'!$I22,0)</f>
        <v>0</v>
      </c>
      <c r="AE22">
        <f>IF(AND('7 Dev'!C22&lt;Tmax, NOT('7 Dev'!$H22="")),'7 Dev'!$H22,4)</f>
        <v>4</v>
      </c>
      <c r="AF22">
        <f>IF(AND('7 Dev'!D22&lt;Tmax, NOT('7 Dev'!$H22="")),'7 Dev'!$H22,4)</f>
        <v>4</v>
      </c>
      <c r="AG22">
        <f>IF(AND('7 Dev'!E22&lt;Tmax, NOT('7 Dev'!$H22="")),'7 Dev'!$H22,4)</f>
        <v>4</v>
      </c>
      <c r="AH22">
        <f>IF(AND('7 Dev'!F22&lt;Tmax, NOT('7 Dev'!$H22="")),'7 Dev'!$H22,4)</f>
        <v>4</v>
      </c>
      <c r="AI22"/>
    </row>
    <row r="23" spans="1:40" x14ac:dyDescent="0.25">
      <c r="A23" s="164" t="s">
        <v>1851</v>
      </c>
      <c r="B23" s="164" t="s">
        <v>7257</v>
      </c>
      <c r="C23" s="136"/>
      <c r="D23" s="136"/>
      <c r="E23" s="136"/>
      <c r="F23" s="136"/>
      <c r="G23" s="133">
        <v>2</v>
      </c>
      <c r="H23" s="133">
        <v>2</v>
      </c>
      <c r="I23" s="133"/>
      <c r="J23" s="133" t="s">
        <v>7134</v>
      </c>
      <c r="AA23">
        <f>IF(AND('7 Dev'!C23&gt;Tmin, NOT('7 Dev'!$I23="")),'7 Dev'!$I23,0)</f>
        <v>0</v>
      </c>
      <c r="AB23">
        <f>IF(AND('7 Dev'!D23&gt;Tmin, NOT('7 Dev'!$I23="")),'7 Dev'!$I23,0)</f>
        <v>0</v>
      </c>
      <c r="AC23">
        <f>IF(AND('7 Dev'!E23&gt;Tmin, NOT('7 Dev'!$I23="")),'7 Dev'!$I23,0)</f>
        <v>0</v>
      </c>
      <c r="AD23">
        <f>IF(AND('7 Dev'!F23&gt;Tmin, NOT('7 Dev'!$I23="")),'7 Dev'!$I23,0)</f>
        <v>0</v>
      </c>
      <c r="AE23">
        <f>IF(AND('7 Dev'!C23&lt;Tmax, NOT('7 Dev'!$H23="")),'7 Dev'!$H23,4)</f>
        <v>2</v>
      </c>
      <c r="AF23">
        <f>IF(AND('7 Dev'!D23&lt;Tmax, NOT('7 Dev'!$H23="")),'7 Dev'!$H23,4)</f>
        <v>2</v>
      </c>
      <c r="AG23">
        <f>IF(AND('7 Dev'!E23&lt;Tmax, NOT('7 Dev'!$H23="")),'7 Dev'!$H23,4)</f>
        <v>2</v>
      </c>
      <c r="AH23">
        <f>IF(AND('7 Dev'!F23&lt;Tmax, NOT('7 Dev'!$H23="")),'7 Dev'!$H23,4)</f>
        <v>2</v>
      </c>
      <c r="AI23"/>
    </row>
    <row r="24" spans="1:40" ht="20.399999999999999" x14ac:dyDescent="0.25">
      <c r="A24" s="164" t="s">
        <v>1852</v>
      </c>
      <c r="B24" s="164" t="s">
        <v>7258</v>
      </c>
      <c r="C24" s="136"/>
      <c r="D24" s="136"/>
      <c r="E24" s="136"/>
      <c r="F24" s="136"/>
      <c r="G24" s="133">
        <v>2</v>
      </c>
      <c r="H24" s="133"/>
      <c r="I24" s="133"/>
      <c r="J24" s="133" t="s">
        <v>7134</v>
      </c>
      <c r="AA24">
        <f>IF(AND('7 Dev'!C24&gt;Tmin, NOT('7 Dev'!$I24="")),'7 Dev'!$I24,0)</f>
        <v>0</v>
      </c>
      <c r="AB24">
        <f>IF(AND('7 Dev'!D24&gt;Tmin, NOT('7 Dev'!$I24="")),'7 Dev'!$I24,0)</f>
        <v>0</v>
      </c>
      <c r="AC24">
        <f>IF(AND('7 Dev'!E24&gt;Tmin, NOT('7 Dev'!$I24="")),'7 Dev'!$I24,0)</f>
        <v>0</v>
      </c>
      <c r="AD24">
        <f>IF(AND('7 Dev'!F24&gt;Tmin, NOT('7 Dev'!$I24="")),'7 Dev'!$I24,0)</f>
        <v>0</v>
      </c>
      <c r="AE24">
        <f>IF(AND('7 Dev'!C24&lt;Tmax, NOT('7 Dev'!$H24="")),'7 Dev'!$H24,4)</f>
        <v>4</v>
      </c>
      <c r="AF24">
        <f>IF(AND('7 Dev'!D24&lt;Tmax, NOT('7 Dev'!$H24="")),'7 Dev'!$H24,4)</f>
        <v>4</v>
      </c>
      <c r="AG24">
        <f>IF(AND('7 Dev'!E24&lt;Tmax, NOT('7 Dev'!$H24="")),'7 Dev'!$H24,4)</f>
        <v>4</v>
      </c>
      <c r="AH24">
        <f>IF(AND('7 Dev'!F24&lt;Tmax, NOT('7 Dev'!$H24="")),'7 Dev'!$H24,4)</f>
        <v>4</v>
      </c>
      <c r="AI24"/>
    </row>
    <row r="25" spans="1:40" x14ac:dyDescent="0.25">
      <c r="A25" s="164" t="s">
        <v>780</v>
      </c>
      <c r="B25" s="164" t="s">
        <v>4611</v>
      </c>
      <c r="C25" s="136"/>
      <c r="D25" s="136"/>
      <c r="E25" s="136"/>
      <c r="F25" s="136"/>
      <c r="G25" s="133"/>
      <c r="H25" s="133"/>
      <c r="I25" s="133"/>
      <c r="J25" s="133"/>
      <c r="AA25"/>
      <c r="AB25"/>
      <c r="AC25"/>
      <c r="AD25"/>
      <c r="AE25"/>
      <c r="AF25"/>
      <c r="AG25"/>
      <c r="AH25"/>
      <c r="AI25"/>
    </row>
    <row r="26" spans="1:40" x14ac:dyDescent="0.25">
      <c r="A26" s="164" t="s">
        <v>1853</v>
      </c>
      <c r="B26" s="164" t="s">
        <v>7259</v>
      </c>
      <c r="C26" s="136"/>
      <c r="D26" s="136"/>
      <c r="E26" s="136"/>
      <c r="F26" s="136"/>
      <c r="G26" s="133">
        <v>1</v>
      </c>
      <c r="H26" s="133"/>
      <c r="I26" s="133"/>
      <c r="J26" s="133" t="s">
        <v>7151</v>
      </c>
      <c r="AA26">
        <f>IF(AND('7 Dev'!C26&gt;Tmin, NOT('7 Dev'!$I26="")),'7 Dev'!$I26,0)</f>
        <v>0</v>
      </c>
      <c r="AB26">
        <f>IF(AND('7 Dev'!D26&gt;Tmin, NOT('7 Dev'!$I26="")),'7 Dev'!$I26,0)</f>
        <v>0</v>
      </c>
      <c r="AC26">
        <f>IF(AND('7 Dev'!E26&gt;Tmin, NOT('7 Dev'!$I26="")),'7 Dev'!$I26,0)</f>
        <v>0</v>
      </c>
      <c r="AD26">
        <f>IF(AND('7 Dev'!F26&gt;Tmin, NOT('7 Dev'!$I26="")),'7 Dev'!$I26,0)</f>
        <v>0</v>
      </c>
      <c r="AE26">
        <f>IF(AND('7 Dev'!C26&lt;Tmax, NOT('7 Dev'!$H26="")),'7 Dev'!$H26,4)</f>
        <v>4</v>
      </c>
      <c r="AF26">
        <f>IF(AND('7 Dev'!D26&lt;Tmax, NOT('7 Dev'!$H26="")),'7 Dev'!$H26,4)</f>
        <v>4</v>
      </c>
      <c r="AG26">
        <f>IF(AND('7 Dev'!E26&lt;Tmax, NOT('7 Dev'!$H26="")),'7 Dev'!$H26,4)</f>
        <v>4</v>
      </c>
      <c r="AH26">
        <f>IF(AND('7 Dev'!F26&lt;Tmax, NOT('7 Dev'!$H26="")),'7 Dev'!$H26,4)</f>
        <v>4</v>
      </c>
      <c r="AI26"/>
    </row>
    <row r="27" spans="1:40" ht="30.6" x14ac:dyDescent="0.25">
      <c r="A27" s="164" t="s">
        <v>1854</v>
      </c>
      <c r="B27" s="164" t="s">
        <v>2321</v>
      </c>
      <c r="C27" s="136"/>
      <c r="D27" s="136"/>
      <c r="E27" s="136"/>
      <c r="F27" s="136"/>
      <c r="G27" s="133">
        <v>2</v>
      </c>
      <c r="H27" s="133"/>
      <c r="I27" s="133"/>
      <c r="J27" s="133" t="s">
        <v>7151</v>
      </c>
      <c r="AA27">
        <f>IF(AND('7 Dev'!C27&gt;Tmin, NOT('7 Dev'!$I27="")),'7 Dev'!$I27,0)</f>
        <v>0</v>
      </c>
      <c r="AB27">
        <f>IF(AND('7 Dev'!D27&gt;Tmin, NOT('7 Dev'!$I27="")),'7 Dev'!$I27,0)</f>
        <v>0</v>
      </c>
      <c r="AC27">
        <f>IF(AND('7 Dev'!E27&gt;Tmin, NOT('7 Dev'!$I27="")),'7 Dev'!$I27,0)</f>
        <v>0</v>
      </c>
      <c r="AD27">
        <f>IF(AND('7 Dev'!F27&gt;Tmin, NOT('7 Dev'!$I27="")),'7 Dev'!$I27,0)</f>
        <v>0</v>
      </c>
      <c r="AE27">
        <f>IF(AND('7 Dev'!C27&lt;Tmax, NOT('7 Dev'!$H27="")),'7 Dev'!$H27,4)</f>
        <v>4</v>
      </c>
      <c r="AF27">
        <f>IF(AND('7 Dev'!D27&lt;Tmax, NOT('7 Dev'!$H27="")),'7 Dev'!$H27,4)</f>
        <v>4</v>
      </c>
      <c r="AG27">
        <f>IF(AND('7 Dev'!E27&lt;Tmax, NOT('7 Dev'!$H27="")),'7 Dev'!$H27,4)</f>
        <v>4</v>
      </c>
      <c r="AH27">
        <f>IF(AND('7 Dev'!F27&lt;Tmax, NOT('7 Dev'!$H27="")),'7 Dev'!$H27,4)</f>
        <v>4</v>
      </c>
      <c r="AI27"/>
    </row>
    <row r="28" spans="1:40" ht="30.6" x14ac:dyDescent="0.25">
      <c r="A28" s="164" t="s">
        <v>1855</v>
      </c>
      <c r="B28" s="164" t="s">
        <v>7260</v>
      </c>
      <c r="C28" s="136"/>
      <c r="D28" s="136"/>
      <c r="E28" s="136"/>
      <c r="F28" s="136"/>
      <c r="G28" s="133">
        <v>2</v>
      </c>
      <c r="H28" s="133">
        <v>2</v>
      </c>
      <c r="I28" s="133"/>
      <c r="J28" s="133" t="s">
        <v>7151</v>
      </c>
      <c r="AA28">
        <f>IF(AND('7 Dev'!C28&gt;Tmin, NOT('7 Dev'!$I28="")),'7 Dev'!$I28,0)</f>
        <v>0</v>
      </c>
      <c r="AB28">
        <f>IF(AND('7 Dev'!D28&gt;Tmin, NOT('7 Dev'!$I28="")),'7 Dev'!$I28,0)</f>
        <v>0</v>
      </c>
      <c r="AC28">
        <f>IF(AND('7 Dev'!E28&gt;Tmin, NOT('7 Dev'!$I28="")),'7 Dev'!$I28,0)</f>
        <v>0</v>
      </c>
      <c r="AD28">
        <f>IF(AND('7 Dev'!F28&gt;Tmin, NOT('7 Dev'!$I28="")),'7 Dev'!$I28,0)</f>
        <v>0</v>
      </c>
      <c r="AE28">
        <f>IF(AND('7 Dev'!C28&lt;Tmax, NOT('7 Dev'!$H28="")),'7 Dev'!$H28,4)</f>
        <v>2</v>
      </c>
      <c r="AF28">
        <f>IF(AND('7 Dev'!D28&lt;Tmax, NOT('7 Dev'!$H28="")),'7 Dev'!$H28,4)</f>
        <v>2</v>
      </c>
      <c r="AG28">
        <f>IF(AND('7 Dev'!E28&lt;Tmax, NOT('7 Dev'!$H28="")),'7 Dev'!$H28,4)</f>
        <v>2</v>
      </c>
      <c r="AH28">
        <f>IF(AND('7 Dev'!F28&lt;Tmax, NOT('7 Dev'!$H28="")),'7 Dev'!$H28,4)</f>
        <v>2</v>
      </c>
      <c r="AI28"/>
    </row>
    <row r="29" spans="1:40" ht="20.399999999999999" x14ac:dyDescent="0.25">
      <c r="A29" s="164" t="s">
        <v>1856</v>
      </c>
      <c r="B29" s="164" t="s">
        <v>4490</v>
      </c>
      <c r="C29" s="136"/>
      <c r="D29" s="136"/>
      <c r="E29" s="136"/>
      <c r="F29" s="136"/>
      <c r="G29" s="133">
        <v>2</v>
      </c>
      <c r="H29" s="133">
        <v>3</v>
      </c>
      <c r="I29" s="133"/>
      <c r="J29" s="133" t="s">
        <v>7151</v>
      </c>
      <c r="AA29">
        <f>IF(AND('7 Dev'!C29&gt;Tmin, NOT('7 Dev'!$I29="")),'7 Dev'!$I29,0)</f>
        <v>0</v>
      </c>
      <c r="AB29">
        <f>IF(AND('7 Dev'!D29&gt;Tmin, NOT('7 Dev'!$I29="")),'7 Dev'!$I29,0)</f>
        <v>0</v>
      </c>
      <c r="AC29">
        <f>IF(AND('7 Dev'!E29&gt;Tmin, NOT('7 Dev'!$I29="")),'7 Dev'!$I29,0)</f>
        <v>0</v>
      </c>
      <c r="AD29">
        <f>IF(AND('7 Dev'!F29&gt;Tmin, NOT('7 Dev'!$I29="")),'7 Dev'!$I29,0)</f>
        <v>0</v>
      </c>
      <c r="AE29">
        <f>IF(AND('7 Dev'!C29&lt;Tmax, NOT('7 Dev'!$H29="")),'7 Dev'!$H29,4)</f>
        <v>3</v>
      </c>
      <c r="AF29">
        <f>IF(AND('7 Dev'!D29&lt;Tmax, NOT('7 Dev'!$H29="")),'7 Dev'!$H29,4)</f>
        <v>3</v>
      </c>
      <c r="AG29">
        <f>IF(AND('7 Dev'!E29&lt;Tmax, NOT('7 Dev'!$H29="")),'7 Dev'!$H29,4)</f>
        <v>3</v>
      </c>
      <c r="AH29">
        <f>IF(AND('7 Dev'!F29&lt;Tmax, NOT('7 Dev'!$H29="")),'7 Dev'!$H29,4)</f>
        <v>3</v>
      </c>
      <c r="AI29"/>
    </row>
    <row r="30" spans="1:40" ht="20.399999999999999" x14ac:dyDescent="0.25">
      <c r="A30" s="164" t="s">
        <v>1857</v>
      </c>
      <c r="B30" s="164" t="s">
        <v>1873</v>
      </c>
      <c r="C30" s="136"/>
      <c r="D30" s="136"/>
      <c r="E30" s="136"/>
      <c r="F30" s="136"/>
      <c r="G30" s="133">
        <v>2</v>
      </c>
      <c r="H30" s="133"/>
      <c r="I30" s="133"/>
      <c r="J30" s="133" t="s">
        <v>7151</v>
      </c>
      <c r="AA30">
        <f>IF(AND('7 Dev'!C30&gt;Tmin, NOT('7 Dev'!$I30="")),'7 Dev'!$I30,0)</f>
        <v>0</v>
      </c>
      <c r="AB30">
        <f>IF(AND('7 Dev'!D30&gt;Tmin, NOT('7 Dev'!$I30="")),'7 Dev'!$I30,0)</f>
        <v>0</v>
      </c>
      <c r="AC30">
        <f>IF(AND('7 Dev'!E30&gt;Tmin, NOT('7 Dev'!$I30="")),'7 Dev'!$I30,0)</f>
        <v>0</v>
      </c>
      <c r="AD30">
        <f>IF(AND('7 Dev'!F30&gt;Tmin, NOT('7 Dev'!$I30="")),'7 Dev'!$I30,0)</f>
        <v>0</v>
      </c>
      <c r="AE30">
        <f>IF(AND('7 Dev'!C30&lt;Tmax, NOT('7 Dev'!$H30="")),'7 Dev'!$H30,4)</f>
        <v>4</v>
      </c>
      <c r="AF30">
        <f>IF(AND('7 Dev'!D30&lt;Tmax, NOT('7 Dev'!$H30="")),'7 Dev'!$H30,4)</f>
        <v>4</v>
      </c>
      <c r="AG30">
        <f>IF(AND('7 Dev'!E30&lt;Tmax, NOT('7 Dev'!$H30="")),'7 Dev'!$H30,4)</f>
        <v>4</v>
      </c>
      <c r="AH30">
        <f>IF(AND('7 Dev'!F30&lt;Tmax, NOT('7 Dev'!$H30="")),'7 Dev'!$H30,4)</f>
        <v>4</v>
      </c>
      <c r="AI30"/>
    </row>
    <row r="31" spans="1:40" x14ac:dyDescent="0.25">
      <c r="A31" s="164" t="s">
        <v>1858</v>
      </c>
      <c r="B31" s="164" t="s">
        <v>4488</v>
      </c>
      <c r="C31" s="136"/>
      <c r="D31" s="136"/>
      <c r="E31" s="136"/>
      <c r="F31" s="136"/>
      <c r="G31" s="133">
        <v>2</v>
      </c>
      <c r="H31" s="133"/>
      <c r="I31" s="133"/>
      <c r="J31" s="133" t="s">
        <v>7151</v>
      </c>
      <c r="AA31">
        <f>IF(AND('7 Dev'!C31&gt;Tmin, NOT('7 Dev'!$I31="")),'7 Dev'!$I31,0)</f>
        <v>0</v>
      </c>
      <c r="AB31">
        <f>IF(AND('7 Dev'!D31&gt;Tmin, NOT('7 Dev'!$I31="")),'7 Dev'!$I31,0)</f>
        <v>0</v>
      </c>
      <c r="AC31">
        <f>IF(AND('7 Dev'!E31&gt;Tmin, NOT('7 Dev'!$I31="")),'7 Dev'!$I31,0)</f>
        <v>0</v>
      </c>
      <c r="AD31">
        <f>IF(AND('7 Dev'!F31&gt;Tmin, NOT('7 Dev'!$I31="")),'7 Dev'!$I31,0)</f>
        <v>0</v>
      </c>
      <c r="AE31">
        <f>IF(AND('7 Dev'!C31&lt;Tmax, NOT('7 Dev'!$H31="")),'7 Dev'!$H31,4)</f>
        <v>4</v>
      </c>
      <c r="AF31">
        <f>IF(AND('7 Dev'!D31&lt;Tmax, NOT('7 Dev'!$H31="")),'7 Dev'!$H31,4)</f>
        <v>4</v>
      </c>
      <c r="AG31">
        <f>IF(AND('7 Dev'!E31&lt;Tmax, NOT('7 Dev'!$H31="")),'7 Dev'!$H31,4)</f>
        <v>4</v>
      </c>
      <c r="AH31">
        <f>IF(AND('7 Dev'!F31&lt;Tmax, NOT('7 Dev'!$H31="")),'7 Dev'!$H31,4)</f>
        <v>4</v>
      </c>
      <c r="AI31"/>
    </row>
    <row r="32" spans="1:40" ht="40.799999999999997" x14ac:dyDescent="0.25">
      <c r="A32" s="164" t="s">
        <v>4489</v>
      </c>
      <c r="B32" s="164" t="s">
        <v>2322</v>
      </c>
      <c r="C32" s="136"/>
      <c r="D32" s="136"/>
      <c r="E32" s="136"/>
      <c r="F32" s="136"/>
      <c r="G32" s="133">
        <v>2</v>
      </c>
      <c r="H32" s="133"/>
      <c r="I32" s="133"/>
      <c r="J32" s="133" t="s">
        <v>7151</v>
      </c>
      <c r="AA32">
        <f>IF(AND('7 Dev'!C32&gt;Tmin, NOT('7 Dev'!$I32="")),'7 Dev'!$I32,0)</f>
        <v>0</v>
      </c>
      <c r="AB32">
        <f>IF(AND('7 Dev'!D32&gt;Tmin, NOT('7 Dev'!$I32="")),'7 Dev'!$I32,0)</f>
        <v>0</v>
      </c>
      <c r="AC32">
        <f>IF(AND('7 Dev'!E32&gt;Tmin, NOT('7 Dev'!$I32="")),'7 Dev'!$I32,0)</f>
        <v>0</v>
      </c>
      <c r="AD32">
        <f>IF(AND('7 Dev'!F32&gt;Tmin, NOT('7 Dev'!$I32="")),'7 Dev'!$I32,0)</f>
        <v>0</v>
      </c>
      <c r="AE32">
        <f>IF(AND('7 Dev'!C32&lt;Tmax, NOT('7 Dev'!$H32="")),'7 Dev'!$H32,4)</f>
        <v>4</v>
      </c>
      <c r="AF32">
        <f>IF(AND('7 Dev'!D32&lt;Tmax, NOT('7 Dev'!$H32="")),'7 Dev'!$H32,4)</f>
        <v>4</v>
      </c>
      <c r="AG32">
        <f>IF(AND('7 Dev'!E32&lt;Tmax, NOT('7 Dev'!$H32="")),'7 Dev'!$H32,4)</f>
        <v>4</v>
      </c>
      <c r="AH32">
        <f>IF(AND('7 Dev'!F32&lt;Tmax, NOT('7 Dev'!$H32="")),'7 Dev'!$H32,4)</f>
        <v>4</v>
      </c>
      <c r="AI32"/>
    </row>
    <row r="33" spans="1:35" ht="20.399999999999999" x14ac:dyDescent="0.25">
      <c r="A33" s="164" t="s">
        <v>7261</v>
      </c>
      <c r="B33" s="164" t="s">
        <v>7262</v>
      </c>
      <c r="C33" s="136"/>
      <c r="D33" s="136"/>
      <c r="E33" s="136"/>
      <c r="F33" s="136"/>
      <c r="G33" s="133">
        <v>1</v>
      </c>
      <c r="H33" s="133"/>
      <c r="I33" s="133"/>
      <c r="J33" s="133" t="s">
        <v>7151</v>
      </c>
      <c r="AA33">
        <f>IF(AND('7 Dev'!C33&gt;Tmin, NOT('7 Dev'!$I33="")),'7 Dev'!$I33,0)</f>
        <v>0</v>
      </c>
      <c r="AB33">
        <f>IF(AND('7 Dev'!D33&gt;Tmin, NOT('7 Dev'!$I33="")),'7 Dev'!$I33,0)</f>
        <v>0</v>
      </c>
      <c r="AC33">
        <f>IF(AND('7 Dev'!E33&gt;Tmin, NOT('7 Dev'!$I33="")),'7 Dev'!$I33,0)</f>
        <v>0</v>
      </c>
      <c r="AD33">
        <f>IF(AND('7 Dev'!F33&gt;Tmin, NOT('7 Dev'!$I33="")),'7 Dev'!$I33,0)</f>
        <v>0</v>
      </c>
      <c r="AE33">
        <f>IF(AND('7 Dev'!C33&lt;Tmax, NOT('7 Dev'!$H33="")),'7 Dev'!$H33,4)</f>
        <v>4</v>
      </c>
      <c r="AF33">
        <f>IF(AND('7 Dev'!D33&lt;Tmax, NOT('7 Dev'!$H33="")),'7 Dev'!$H33,4)</f>
        <v>4</v>
      </c>
      <c r="AG33">
        <f>IF(AND('7 Dev'!E33&lt;Tmax, NOT('7 Dev'!$H33="")),'7 Dev'!$H33,4)</f>
        <v>4</v>
      </c>
      <c r="AH33">
        <f>IF(AND('7 Dev'!F33&lt;Tmax, NOT('7 Dev'!$H33="")),'7 Dev'!$H33,4)</f>
        <v>4</v>
      </c>
      <c r="AI33"/>
    </row>
    <row r="34" spans="1:35" x14ac:dyDescent="0.25">
      <c r="A34" s="164" t="s">
        <v>7263</v>
      </c>
      <c r="B34" s="164" t="s">
        <v>7264</v>
      </c>
      <c r="C34" s="136"/>
      <c r="D34" s="136"/>
      <c r="E34" s="136"/>
      <c r="F34" s="136"/>
      <c r="G34" s="133">
        <v>2</v>
      </c>
      <c r="H34" s="133">
        <v>3</v>
      </c>
      <c r="I34" s="133"/>
      <c r="J34" s="133"/>
      <c r="AA34">
        <f>IF(AND('7 Dev'!C34&gt;Tmin, NOT('7 Dev'!$I34="")),'7 Dev'!$I34,0)</f>
        <v>0</v>
      </c>
      <c r="AB34">
        <f>IF(AND('7 Dev'!D34&gt;Tmin, NOT('7 Dev'!$I34="")),'7 Dev'!$I34,0)</f>
        <v>0</v>
      </c>
      <c r="AC34">
        <f>IF(AND('7 Dev'!E34&gt;Tmin, NOT('7 Dev'!$I34="")),'7 Dev'!$I34,0)</f>
        <v>0</v>
      </c>
      <c r="AD34">
        <f>IF(AND('7 Dev'!F34&gt;Tmin, NOT('7 Dev'!$I34="")),'7 Dev'!$I34,0)</f>
        <v>0</v>
      </c>
      <c r="AE34">
        <f>IF(AND('7 Dev'!C34&lt;Tmax, NOT('7 Dev'!$H34="")),'7 Dev'!$H34,4)</f>
        <v>3</v>
      </c>
      <c r="AF34">
        <f>IF(AND('7 Dev'!D34&lt;Tmax, NOT('7 Dev'!$H34="")),'7 Dev'!$H34,4)</f>
        <v>3</v>
      </c>
      <c r="AG34">
        <f>IF(AND('7 Dev'!E34&lt;Tmax, NOT('7 Dev'!$H34="")),'7 Dev'!$H34,4)</f>
        <v>3</v>
      </c>
      <c r="AH34">
        <f>IF(AND('7 Dev'!F34&lt;Tmax, NOT('7 Dev'!$H34="")),'7 Dev'!$H34,4)</f>
        <v>3</v>
      </c>
      <c r="AI34"/>
    </row>
    <row r="35" spans="1:35" x14ac:dyDescent="0.25">
      <c r="A35" s="164" t="s">
        <v>782</v>
      </c>
      <c r="B35" s="164" t="s">
        <v>784</v>
      </c>
      <c r="C35" s="136"/>
      <c r="D35" s="136"/>
      <c r="E35" s="136"/>
      <c r="F35" s="136"/>
      <c r="G35" s="133"/>
      <c r="H35" s="133"/>
      <c r="I35" s="133"/>
      <c r="J35" s="133"/>
      <c r="AA35"/>
      <c r="AB35"/>
      <c r="AC35"/>
      <c r="AD35"/>
      <c r="AE35"/>
      <c r="AF35"/>
      <c r="AG35"/>
      <c r="AH35"/>
      <c r="AI35"/>
    </row>
    <row r="36" spans="1:35" ht="20.399999999999999" x14ac:dyDescent="0.25">
      <c r="A36" s="164" t="s">
        <v>1874</v>
      </c>
      <c r="B36" s="164" t="s">
        <v>1860</v>
      </c>
      <c r="C36" s="136"/>
      <c r="D36" s="136"/>
      <c r="E36" s="136"/>
      <c r="F36" s="136"/>
      <c r="G36" s="133">
        <v>2</v>
      </c>
      <c r="H36" s="133"/>
      <c r="I36" s="133"/>
      <c r="J36" s="133"/>
      <c r="AA36">
        <f>IF(AND('7 Dev'!C36&gt;Tmin, NOT('7 Dev'!$I36="")),'7 Dev'!$I36,0)</f>
        <v>0</v>
      </c>
      <c r="AB36">
        <f>IF(AND('7 Dev'!D36&gt;Tmin, NOT('7 Dev'!$I36="")),'7 Dev'!$I36,0)</f>
        <v>0</v>
      </c>
      <c r="AC36">
        <f>IF(AND('7 Dev'!E36&gt;Tmin, NOT('7 Dev'!$I36="")),'7 Dev'!$I36,0)</f>
        <v>0</v>
      </c>
      <c r="AD36">
        <f>IF(AND('7 Dev'!F36&gt;Tmin, NOT('7 Dev'!$I36="")),'7 Dev'!$I36,0)</f>
        <v>0</v>
      </c>
      <c r="AE36">
        <f>IF(AND('7 Dev'!C36&lt;Tmax, NOT('7 Dev'!$H36="")),'7 Dev'!$H36,4)</f>
        <v>4</v>
      </c>
      <c r="AF36">
        <f>IF(AND('7 Dev'!D36&lt;Tmax, NOT('7 Dev'!$H36="")),'7 Dev'!$H36,4)</f>
        <v>4</v>
      </c>
      <c r="AG36">
        <f>IF(AND('7 Dev'!E36&lt;Tmax, NOT('7 Dev'!$H36="")),'7 Dev'!$H36,4)</f>
        <v>4</v>
      </c>
      <c r="AH36">
        <f>IF(AND('7 Dev'!F36&lt;Tmax, NOT('7 Dev'!$H36="")),'7 Dev'!$H36,4)</f>
        <v>4</v>
      </c>
      <c r="AI36"/>
    </row>
    <row r="37" spans="1:35" x14ac:dyDescent="0.25">
      <c r="A37" s="164" t="s">
        <v>1875</v>
      </c>
      <c r="B37" s="164" t="s">
        <v>2092</v>
      </c>
      <c r="C37" s="136"/>
      <c r="D37" s="136"/>
      <c r="E37" s="136"/>
      <c r="F37" s="136"/>
      <c r="G37" s="133">
        <v>2</v>
      </c>
      <c r="H37" s="133"/>
      <c r="I37" s="133"/>
      <c r="J37" s="133"/>
      <c r="AA37">
        <f>IF(AND('7 Dev'!C37&gt;Tmin, NOT('7 Dev'!$I37="")),'7 Dev'!$I37,0)</f>
        <v>0</v>
      </c>
      <c r="AB37">
        <f>IF(AND('7 Dev'!D37&gt;Tmin, NOT('7 Dev'!$I37="")),'7 Dev'!$I37,0)</f>
        <v>0</v>
      </c>
      <c r="AC37">
        <f>IF(AND('7 Dev'!E37&gt;Tmin, NOT('7 Dev'!$I37="")),'7 Dev'!$I37,0)</f>
        <v>0</v>
      </c>
      <c r="AD37">
        <f>IF(AND('7 Dev'!F37&gt;Tmin, NOT('7 Dev'!$I37="")),'7 Dev'!$I37,0)</f>
        <v>0</v>
      </c>
      <c r="AE37">
        <f>IF(AND('7 Dev'!C37&lt;Tmax, NOT('7 Dev'!$H37="")),'7 Dev'!$H37,4)</f>
        <v>4</v>
      </c>
      <c r="AF37">
        <f>IF(AND('7 Dev'!D37&lt;Tmax, NOT('7 Dev'!$H37="")),'7 Dev'!$H37,4)</f>
        <v>4</v>
      </c>
      <c r="AG37">
        <f>IF(AND('7 Dev'!E37&lt;Tmax, NOT('7 Dev'!$H37="")),'7 Dev'!$H37,4)</f>
        <v>4</v>
      </c>
      <c r="AH37">
        <f>IF(AND('7 Dev'!F37&lt;Tmax, NOT('7 Dev'!$H37="")),'7 Dev'!$H37,4)</f>
        <v>4</v>
      </c>
      <c r="AI37"/>
    </row>
    <row r="38" spans="1:35" x14ac:dyDescent="0.25">
      <c r="A38" s="164" t="s">
        <v>1876</v>
      </c>
      <c r="B38" s="164" t="s">
        <v>1863</v>
      </c>
      <c r="C38" s="136"/>
      <c r="D38" s="136"/>
      <c r="E38" s="136"/>
      <c r="F38" s="136"/>
      <c r="G38" s="133">
        <v>2</v>
      </c>
      <c r="H38" s="133"/>
      <c r="I38" s="133"/>
      <c r="J38" s="133"/>
      <c r="AA38">
        <f>IF(AND('7 Dev'!C38&gt;Tmin, NOT('7 Dev'!$I38="")),'7 Dev'!$I38,0)</f>
        <v>0</v>
      </c>
      <c r="AB38">
        <f>IF(AND('7 Dev'!D38&gt;Tmin, NOT('7 Dev'!$I38="")),'7 Dev'!$I38,0)</f>
        <v>0</v>
      </c>
      <c r="AC38">
        <f>IF(AND('7 Dev'!E38&gt;Tmin, NOT('7 Dev'!$I38="")),'7 Dev'!$I38,0)</f>
        <v>0</v>
      </c>
      <c r="AD38">
        <f>IF(AND('7 Dev'!F38&gt;Tmin, NOT('7 Dev'!$I38="")),'7 Dev'!$I38,0)</f>
        <v>0</v>
      </c>
      <c r="AE38">
        <f>IF(AND('7 Dev'!C38&lt;Tmax, NOT('7 Dev'!$H38="")),'7 Dev'!$H38,4)</f>
        <v>4</v>
      </c>
      <c r="AF38">
        <f>IF(AND('7 Dev'!D38&lt;Tmax, NOT('7 Dev'!$H38="")),'7 Dev'!$H38,4)</f>
        <v>4</v>
      </c>
      <c r="AG38">
        <f>IF(AND('7 Dev'!E38&lt;Tmax, NOT('7 Dev'!$H38="")),'7 Dev'!$H38,4)</f>
        <v>4</v>
      </c>
      <c r="AH38">
        <f>IF(AND('7 Dev'!F38&lt;Tmax, NOT('7 Dev'!$H38="")),'7 Dev'!$H38,4)</f>
        <v>4</v>
      </c>
      <c r="AI38"/>
    </row>
    <row r="39" spans="1:35" x14ac:dyDescent="0.25">
      <c r="A39" s="164" t="s">
        <v>1877</v>
      </c>
      <c r="B39" s="164" t="s">
        <v>1864</v>
      </c>
      <c r="C39" s="136"/>
      <c r="D39" s="136"/>
      <c r="E39" s="136"/>
      <c r="F39" s="136"/>
      <c r="G39" s="133">
        <v>2</v>
      </c>
      <c r="H39" s="133"/>
      <c r="I39" s="133"/>
      <c r="J39" s="133"/>
      <c r="AA39">
        <f>IF(AND('7 Dev'!C39&gt;Tmin, NOT('7 Dev'!$I39="")),'7 Dev'!$I39,0)</f>
        <v>0</v>
      </c>
      <c r="AB39">
        <f>IF(AND('7 Dev'!D39&gt;Tmin, NOT('7 Dev'!$I39="")),'7 Dev'!$I39,0)</f>
        <v>0</v>
      </c>
      <c r="AC39">
        <f>IF(AND('7 Dev'!E39&gt;Tmin, NOT('7 Dev'!$I39="")),'7 Dev'!$I39,0)</f>
        <v>0</v>
      </c>
      <c r="AD39">
        <f>IF(AND('7 Dev'!F39&gt;Tmin, NOT('7 Dev'!$I39="")),'7 Dev'!$I39,0)</f>
        <v>0</v>
      </c>
      <c r="AE39">
        <f>IF(AND('7 Dev'!C39&lt;Tmax, NOT('7 Dev'!$H39="")),'7 Dev'!$H39,4)</f>
        <v>4</v>
      </c>
      <c r="AF39">
        <f>IF(AND('7 Dev'!D39&lt;Tmax, NOT('7 Dev'!$H39="")),'7 Dev'!$H39,4)</f>
        <v>4</v>
      </c>
      <c r="AG39">
        <f>IF(AND('7 Dev'!E39&lt;Tmax, NOT('7 Dev'!$H39="")),'7 Dev'!$H39,4)</f>
        <v>4</v>
      </c>
      <c r="AH39">
        <f>IF(AND('7 Dev'!F39&lt;Tmax, NOT('7 Dev'!$H39="")),'7 Dev'!$H39,4)</f>
        <v>4</v>
      </c>
      <c r="AI39"/>
    </row>
    <row r="40" spans="1:35" x14ac:dyDescent="0.25">
      <c r="A40" s="164" t="s">
        <v>1878</v>
      </c>
      <c r="B40" s="164" t="s">
        <v>1865</v>
      </c>
      <c r="C40" s="136"/>
      <c r="D40" s="136"/>
      <c r="E40" s="136"/>
      <c r="F40" s="136"/>
      <c r="G40" s="133">
        <v>2</v>
      </c>
      <c r="H40" s="133"/>
      <c r="I40" s="133"/>
      <c r="J40" s="133"/>
      <c r="AA40">
        <f>IF(AND('7 Dev'!C40&gt;Tmin, NOT('7 Dev'!$I40="")),'7 Dev'!$I40,0)</f>
        <v>0</v>
      </c>
      <c r="AB40">
        <f>IF(AND('7 Dev'!D40&gt;Tmin, NOT('7 Dev'!$I40="")),'7 Dev'!$I40,0)</f>
        <v>0</v>
      </c>
      <c r="AC40">
        <f>IF(AND('7 Dev'!E40&gt;Tmin, NOT('7 Dev'!$I40="")),'7 Dev'!$I40,0)</f>
        <v>0</v>
      </c>
      <c r="AD40">
        <f>IF(AND('7 Dev'!F40&gt;Tmin, NOT('7 Dev'!$I40="")),'7 Dev'!$I40,0)</f>
        <v>0</v>
      </c>
      <c r="AE40">
        <f>IF(AND('7 Dev'!C40&lt;Tmax, NOT('7 Dev'!$H40="")),'7 Dev'!$H40,4)</f>
        <v>4</v>
      </c>
      <c r="AF40">
        <f>IF(AND('7 Dev'!D40&lt;Tmax, NOT('7 Dev'!$H40="")),'7 Dev'!$H40,4)</f>
        <v>4</v>
      </c>
      <c r="AG40">
        <f>IF(AND('7 Dev'!E40&lt;Tmax, NOT('7 Dev'!$H40="")),'7 Dev'!$H40,4)</f>
        <v>4</v>
      </c>
      <c r="AH40">
        <f>IF(AND('7 Dev'!F40&lt;Tmax, NOT('7 Dev'!$H40="")),'7 Dev'!$H40,4)</f>
        <v>4</v>
      </c>
      <c r="AI40"/>
    </row>
    <row r="41" spans="1:35" x14ac:dyDescent="0.25">
      <c r="A41" s="164" t="s">
        <v>783</v>
      </c>
      <c r="B41" s="164" t="s">
        <v>787</v>
      </c>
      <c r="C41" s="136"/>
      <c r="D41" s="136"/>
      <c r="E41" s="136"/>
      <c r="F41" s="136"/>
      <c r="G41" s="133"/>
      <c r="H41" s="133"/>
      <c r="I41" s="133"/>
      <c r="J41" s="133"/>
      <c r="AA41"/>
      <c r="AB41"/>
      <c r="AC41"/>
      <c r="AD41"/>
      <c r="AE41"/>
      <c r="AF41"/>
      <c r="AG41"/>
      <c r="AH41"/>
      <c r="AI41"/>
    </row>
    <row r="42" spans="1:35" ht="20.399999999999999" x14ac:dyDescent="0.25">
      <c r="A42" s="164" t="s">
        <v>1859</v>
      </c>
      <c r="B42" s="164" t="s">
        <v>1879</v>
      </c>
      <c r="C42" s="136"/>
      <c r="D42" s="136"/>
      <c r="E42" s="136"/>
      <c r="F42" s="136"/>
      <c r="G42" s="133">
        <v>4</v>
      </c>
      <c r="H42" s="133"/>
      <c r="I42" s="133"/>
      <c r="J42" s="133" t="s">
        <v>7149</v>
      </c>
      <c r="AA42">
        <f>IF(AND('7 Dev'!C42&gt;Tmin, NOT('7 Dev'!$I42="")),'7 Dev'!$I42,0)</f>
        <v>0</v>
      </c>
      <c r="AB42">
        <f>IF(AND('7 Dev'!D42&gt;Tmin, NOT('7 Dev'!$I42="")),'7 Dev'!$I42,0)</f>
        <v>0</v>
      </c>
      <c r="AC42">
        <f>IF(AND('7 Dev'!E42&gt;Tmin, NOT('7 Dev'!$I42="")),'7 Dev'!$I42,0)</f>
        <v>0</v>
      </c>
      <c r="AD42">
        <f>IF(AND('7 Dev'!F42&gt;Tmin, NOT('7 Dev'!$I42="")),'7 Dev'!$I42,0)</f>
        <v>0</v>
      </c>
      <c r="AE42">
        <f>IF(AND('7 Dev'!C42&lt;Tmax, NOT('7 Dev'!$H42="")),'7 Dev'!$H42,4)</f>
        <v>4</v>
      </c>
      <c r="AF42">
        <f>IF(AND('7 Dev'!D42&lt;Tmax, NOT('7 Dev'!$H42="")),'7 Dev'!$H42,4)</f>
        <v>4</v>
      </c>
      <c r="AG42">
        <f>IF(AND('7 Dev'!E42&lt;Tmax, NOT('7 Dev'!$H42="")),'7 Dev'!$H42,4)</f>
        <v>4</v>
      </c>
      <c r="AH42">
        <f>IF(AND('7 Dev'!F42&lt;Tmax, NOT('7 Dev'!$H42="")),'7 Dev'!$H42,4)</f>
        <v>4</v>
      </c>
      <c r="AI42"/>
    </row>
    <row r="43" spans="1:35" x14ac:dyDescent="0.25">
      <c r="A43" s="164" t="s">
        <v>1861</v>
      </c>
      <c r="B43" s="164" t="s">
        <v>7265</v>
      </c>
      <c r="C43" s="136"/>
      <c r="D43" s="136"/>
      <c r="E43" s="136"/>
      <c r="F43" s="136"/>
      <c r="G43" s="133">
        <v>4</v>
      </c>
      <c r="H43" s="133"/>
      <c r="I43" s="133"/>
      <c r="J43" s="133" t="s">
        <v>7149</v>
      </c>
      <c r="AA43">
        <f>IF(AND('7 Dev'!C43&gt;Tmin, NOT('7 Dev'!$I43="")),'7 Dev'!$I43,0)</f>
        <v>0</v>
      </c>
      <c r="AB43">
        <f>IF(AND('7 Dev'!D43&gt;Tmin, NOT('7 Dev'!$I43="")),'7 Dev'!$I43,0)</f>
        <v>0</v>
      </c>
      <c r="AC43">
        <f>IF(AND('7 Dev'!E43&gt;Tmin, NOT('7 Dev'!$I43="")),'7 Dev'!$I43,0)</f>
        <v>0</v>
      </c>
      <c r="AD43">
        <f>IF(AND('7 Dev'!F43&gt;Tmin, NOT('7 Dev'!$I43="")),'7 Dev'!$I43,0)</f>
        <v>0</v>
      </c>
      <c r="AE43">
        <f>IF(AND('7 Dev'!C43&lt;Tmax, NOT('7 Dev'!$H43="")),'7 Dev'!$H43,4)</f>
        <v>4</v>
      </c>
      <c r="AF43">
        <f>IF(AND('7 Dev'!D43&lt;Tmax, NOT('7 Dev'!$H43="")),'7 Dev'!$H43,4)</f>
        <v>4</v>
      </c>
      <c r="AG43">
        <f>IF(AND('7 Dev'!E43&lt;Tmax, NOT('7 Dev'!$H43="")),'7 Dev'!$H43,4)</f>
        <v>4</v>
      </c>
      <c r="AH43">
        <f>IF(AND('7 Dev'!F43&lt;Tmax, NOT('7 Dev'!$H43="")),'7 Dev'!$H43,4)</f>
        <v>4</v>
      </c>
      <c r="AI43"/>
    </row>
    <row r="44" spans="1:35" ht="20.399999999999999" x14ac:dyDescent="0.25">
      <c r="A44" s="164" t="s">
        <v>1862</v>
      </c>
      <c r="B44" s="164" t="s">
        <v>7266</v>
      </c>
      <c r="C44" s="136"/>
      <c r="D44" s="136"/>
      <c r="E44" s="136"/>
      <c r="F44" s="136"/>
      <c r="G44" s="133">
        <v>4</v>
      </c>
      <c r="H44" s="133"/>
      <c r="I44" s="133"/>
      <c r="J44" s="133" t="s">
        <v>7149</v>
      </c>
      <c r="AA44">
        <f>IF(AND('7 Dev'!C44&gt;Tmin, NOT('7 Dev'!$I44="")),'7 Dev'!$I44,0)</f>
        <v>0</v>
      </c>
      <c r="AB44">
        <f>IF(AND('7 Dev'!D44&gt;Tmin, NOT('7 Dev'!$I44="")),'7 Dev'!$I44,0)</f>
        <v>0</v>
      </c>
      <c r="AC44">
        <f>IF(AND('7 Dev'!E44&gt;Tmin, NOT('7 Dev'!$I44="")),'7 Dev'!$I44,0)</f>
        <v>0</v>
      </c>
      <c r="AD44">
        <f>IF(AND('7 Dev'!F44&gt;Tmin, NOT('7 Dev'!$I44="")),'7 Dev'!$I44,0)</f>
        <v>0</v>
      </c>
      <c r="AE44">
        <f>IF(AND('7 Dev'!C44&lt;Tmax, NOT('7 Dev'!$H44="")),'7 Dev'!$H44,4)</f>
        <v>4</v>
      </c>
      <c r="AF44">
        <f>IF(AND('7 Dev'!D44&lt;Tmax, NOT('7 Dev'!$H44="")),'7 Dev'!$H44,4)</f>
        <v>4</v>
      </c>
      <c r="AG44">
        <f>IF(AND('7 Dev'!E44&lt;Tmax, NOT('7 Dev'!$H44="")),'7 Dev'!$H44,4)</f>
        <v>4</v>
      </c>
      <c r="AH44">
        <f>IF(AND('7 Dev'!F44&lt;Tmax, NOT('7 Dev'!$H44="")),'7 Dev'!$H44,4)</f>
        <v>4</v>
      </c>
      <c r="AI44"/>
    </row>
    <row r="45" spans="1:35" x14ac:dyDescent="0.25">
      <c r="A45" s="164" t="s">
        <v>785</v>
      </c>
      <c r="B45" s="164" t="s">
        <v>789</v>
      </c>
      <c r="C45" s="136"/>
      <c r="D45" s="136"/>
      <c r="E45" s="136"/>
      <c r="F45" s="136"/>
      <c r="G45" s="133"/>
      <c r="H45" s="133"/>
      <c r="I45" s="133"/>
      <c r="J45" s="133"/>
      <c r="AA45"/>
      <c r="AB45"/>
      <c r="AC45"/>
      <c r="AD45"/>
      <c r="AE45"/>
      <c r="AF45"/>
      <c r="AG45"/>
      <c r="AH45"/>
      <c r="AI45"/>
    </row>
    <row r="46" spans="1:35" x14ac:dyDescent="0.25">
      <c r="A46" s="164" t="s">
        <v>1880</v>
      </c>
      <c r="B46" s="164" t="s">
        <v>7267</v>
      </c>
      <c r="C46" s="136"/>
      <c r="D46" s="136"/>
      <c r="E46" s="136"/>
      <c r="F46" s="136"/>
      <c r="G46" s="133">
        <v>2</v>
      </c>
      <c r="H46" s="133"/>
      <c r="I46" s="133"/>
      <c r="J46" s="133" t="s">
        <v>7147</v>
      </c>
      <c r="AA46">
        <f>IF(AND('7 Dev'!C46&gt;Tmin, NOT('7 Dev'!$I46="")),'7 Dev'!$I46,0)</f>
        <v>0</v>
      </c>
      <c r="AB46">
        <f>IF(AND('7 Dev'!D46&gt;Tmin, NOT('7 Dev'!$I46="")),'7 Dev'!$I46,0)</f>
        <v>0</v>
      </c>
      <c r="AC46">
        <f>IF(AND('7 Dev'!E46&gt;Tmin, NOT('7 Dev'!$I46="")),'7 Dev'!$I46,0)</f>
        <v>0</v>
      </c>
      <c r="AD46">
        <f>IF(AND('7 Dev'!F46&gt;Tmin, NOT('7 Dev'!$I46="")),'7 Dev'!$I46,0)</f>
        <v>0</v>
      </c>
      <c r="AE46">
        <f>IF(AND('7 Dev'!C46&lt;Tmax, NOT('7 Dev'!$H46="")),'7 Dev'!$H46,4)</f>
        <v>4</v>
      </c>
      <c r="AF46">
        <f>IF(AND('7 Dev'!D46&lt;Tmax, NOT('7 Dev'!$H46="")),'7 Dev'!$H46,4)</f>
        <v>4</v>
      </c>
      <c r="AG46">
        <f>IF(AND('7 Dev'!E46&lt;Tmax, NOT('7 Dev'!$H46="")),'7 Dev'!$H46,4)</f>
        <v>4</v>
      </c>
      <c r="AH46">
        <f>IF(AND('7 Dev'!F46&lt;Tmax, NOT('7 Dev'!$H46="")),'7 Dev'!$H46,4)</f>
        <v>4</v>
      </c>
      <c r="AI46"/>
    </row>
    <row r="47" spans="1:35" s="213" customFormat="1" ht="20.399999999999999" x14ac:dyDescent="0.25">
      <c r="A47" s="164" t="s">
        <v>1881</v>
      </c>
      <c r="B47" s="164" t="s">
        <v>7268</v>
      </c>
      <c r="C47" s="136"/>
      <c r="D47" s="136"/>
      <c r="E47" s="136"/>
      <c r="F47" s="136"/>
      <c r="G47" s="133">
        <v>4</v>
      </c>
      <c r="H47" s="133"/>
      <c r="I47" s="133"/>
      <c r="J47" s="133" t="s">
        <v>7147</v>
      </c>
      <c r="K47" s="320"/>
      <c r="L47" s="128"/>
      <c r="M47" s="227"/>
      <c r="N47" s="227"/>
      <c r="O47" s="227"/>
      <c r="P47" s="227"/>
      <c r="Q47" s="227"/>
      <c r="R47" s="227"/>
      <c r="S47" s="227"/>
      <c r="T47" s="227"/>
      <c r="U47" s="227"/>
      <c r="V47" s="227"/>
      <c r="W47" s="227"/>
      <c r="X47" s="227"/>
      <c r="Y47" s="227"/>
      <c r="Z47" s="227"/>
      <c r="AA47">
        <f>IF(AND('7 Dev'!C47&gt;Tmin, NOT('7 Dev'!$I47="")),'7 Dev'!$I47,0)</f>
        <v>0</v>
      </c>
      <c r="AB47">
        <f>IF(AND('7 Dev'!D47&gt;Tmin, NOT('7 Dev'!$I47="")),'7 Dev'!$I47,0)</f>
        <v>0</v>
      </c>
      <c r="AC47">
        <f>IF(AND('7 Dev'!E47&gt;Tmin, NOT('7 Dev'!$I47="")),'7 Dev'!$I47,0)</f>
        <v>0</v>
      </c>
      <c r="AD47">
        <f>IF(AND('7 Dev'!F47&gt;Tmin, NOT('7 Dev'!$I47="")),'7 Dev'!$I47,0)</f>
        <v>0</v>
      </c>
      <c r="AE47">
        <f>IF(AND('7 Dev'!C47&lt;Tmax, NOT('7 Dev'!$H47="")),'7 Dev'!$H47,4)</f>
        <v>4</v>
      </c>
      <c r="AF47">
        <f>IF(AND('7 Dev'!D47&lt;Tmax, NOT('7 Dev'!$H47="")),'7 Dev'!$H47,4)</f>
        <v>4</v>
      </c>
      <c r="AG47">
        <f>IF(AND('7 Dev'!E47&lt;Tmax, NOT('7 Dev'!$H47="")),'7 Dev'!$H47,4)</f>
        <v>4</v>
      </c>
      <c r="AH47">
        <f>IF(AND('7 Dev'!F47&lt;Tmax, NOT('7 Dev'!$H47="")),'7 Dev'!$H47,4)</f>
        <v>4</v>
      </c>
      <c r="AI47"/>
    </row>
    <row r="48" spans="1:35" s="213" customFormat="1" ht="20.399999999999999" x14ac:dyDescent="0.25">
      <c r="A48" s="164" t="s">
        <v>1882</v>
      </c>
      <c r="B48" s="164" t="s">
        <v>7269</v>
      </c>
      <c r="C48" s="136"/>
      <c r="D48" s="136"/>
      <c r="E48" s="136"/>
      <c r="F48" s="136"/>
      <c r="G48" s="133">
        <v>4</v>
      </c>
      <c r="H48" s="133"/>
      <c r="I48" s="133"/>
      <c r="J48" s="133" t="s">
        <v>7147</v>
      </c>
      <c r="K48" s="320"/>
      <c r="L48" s="128"/>
      <c r="M48" s="227"/>
      <c r="N48" s="227"/>
      <c r="O48" s="227"/>
      <c r="P48" s="227"/>
      <c r="Q48" s="227"/>
      <c r="R48" s="227"/>
      <c r="S48" s="227"/>
      <c r="T48" s="227"/>
      <c r="U48" s="227"/>
      <c r="V48" s="227"/>
      <c r="W48" s="227"/>
      <c r="X48" s="227"/>
      <c r="Y48" s="227"/>
      <c r="Z48" s="227"/>
      <c r="AA48">
        <f>IF(AND('7 Dev'!C48&gt;Tmin, NOT('7 Dev'!$I48="")),'7 Dev'!$I48,0)</f>
        <v>0</v>
      </c>
      <c r="AB48">
        <f>IF(AND('7 Dev'!D48&gt;Tmin, NOT('7 Dev'!$I48="")),'7 Dev'!$I48,0)</f>
        <v>0</v>
      </c>
      <c r="AC48">
        <f>IF(AND('7 Dev'!E48&gt;Tmin, NOT('7 Dev'!$I48="")),'7 Dev'!$I48,0)</f>
        <v>0</v>
      </c>
      <c r="AD48">
        <f>IF(AND('7 Dev'!F48&gt;Tmin, NOT('7 Dev'!$I48="")),'7 Dev'!$I48,0)</f>
        <v>0</v>
      </c>
      <c r="AE48">
        <f>IF(AND('7 Dev'!C48&lt;Tmax, NOT('7 Dev'!$H48="")),'7 Dev'!$H48,4)</f>
        <v>4</v>
      </c>
      <c r="AF48">
        <f>IF(AND('7 Dev'!D48&lt;Tmax, NOT('7 Dev'!$H48="")),'7 Dev'!$H48,4)</f>
        <v>4</v>
      </c>
      <c r="AG48">
        <f>IF(AND('7 Dev'!E48&lt;Tmax, NOT('7 Dev'!$H48="")),'7 Dev'!$H48,4)</f>
        <v>4</v>
      </c>
      <c r="AH48">
        <f>IF(AND('7 Dev'!F48&lt;Tmax, NOT('7 Dev'!$H48="")),'7 Dev'!$H48,4)</f>
        <v>4</v>
      </c>
      <c r="AI48"/>
    </row>
    <row r="49" spans="1:35" s="213" customFormat="1" x14ac:dyDescent="0.25">
      <c r="A49" s="164" t="s">
        <v>786</v>
      </c>
      <c r="B49" s="164" t="s">
        <v>1883</v>
      </c>
      <c r="C49" s="136"/>
      <c r="D49" s="136"/>
      <c r="E49" s="136"/>
      <c r="F49" s="136"/>
      <c r="G49" s="133"/>
      <c r="H49" s="133"/>
      <c r="I49" s="133"/>
      <c r="J49" s="133"/>
      <c r="K49" s="320"/>
      <c r="L49" s="128"/>
      <c r="M49" s="227"/>
      <c r="N49" s="227"/>
      <c r="O49" s="227"/>
      <c r="P49" s="227"/>
      <c r="Q49" s="227"/>
      <c r="R49" s="227"/>
      <c r="S49" s="227"/>
      <c r="T49" s="227"/>
      <c r="U49" s="227"/>
      <c r="V49" s="227"/>
      <c r="W49" s="227"/>
      <c r="X49" s="227"/>
      <c r="Y49" s="227"/>
      <c r="Z49" s="227"/>
      <c r="AA49"/>
      <c r="AB49"/>
      <c r="AC49"/>
      <c r="AD49"/>
      <c r="AE49"/>
      <c r="AF49"/>
      <c r="AG49"/>
      <c r="AH49"/>
      <c r="AI49"/>
    </row>
    <row r="50" spans="1:35" s="213" customFormat="1" x14ac:dyDescent="0.25">
      <c r="A50" s="164" t="s">
        <v>1884</v>
      </c>
      <c r="B50" s="164" t="s">
        <v>7449</v>
      </c>
      <c r="C50" s="136"/>
      <c r="D50" s="136"/>
      <c r="E50" s="136"/>
      <c r="F50" s="136"/>
      <c r="G50" s="133">
        <v>4</v>
      </c>
      <c r="H50" s="133"/>
      <c r="I50" s="133"/>
      <c r="J50" s="133" t="s">
        <v>7144</v>
      </c>
      <c r="K50" s="320"/>
      <c r="L50" s="128"/>
      <c r="M50" s="227"/>
      <c r="N50" s="227"/>
      <c r="O50" s="227"/>
      <c r="P50" s="227"/>
      <c r="Q50" s="227"/>
      <c r="R50" s="227"/>
      <c r="S50" s="227"/>
      <c r="T50" s="227"/>
      <c r="U50" s="227"/>
      <c r="V50" s="227"/>
      <c r="W50" s="227"/>
      <c r="X50" s="227"/>
      <c r="Y50" s="227"/>
      <c r="Z50" s="227"/>
      <c r="AA50">
        <f>IF(AND('7 Dev'!C50&gt;Tmin, NOT('7 Dev'!$I50="")),'7 Dev'!$I50,0)</f>
        <v>0</v>
      </c>
      <c r="AB50">
        <f>IF(AND('7 Dev'!D50&gt;Tmin, NOT('7 Dev'!$I50="")),'7 Dev'!$I50,0)</f>
        <v>0</v>
      </c>
      <c r="AC50">
        <f>IF(AND('7 Dev'!E50&gt;Tmin, NOT('7 Dev'!$I50="")),'7 Dev'!$I50,0)</f>
        <v>0</v>
      </c>
      <c r="AD50">
        <f>IF(AND('7 Dev'!F50&gt;Tmin, NOT('7 Dev'!$I50="")),'7 Dev'!$I50,0)</f>
        <v>0</v>
      </c>
      <c r="AE50">
        <f>IF(AND('7 Dev'!C50&lt;Tmax, NOT('7 Dev'!$H50="")),'7 Dev'!$H50,4)</f>
        <v>4</v>
      </c>
      <c r="AF50">
        <f>IF(AND('7 Dev'!D50&lt;Tmax, NOT('7 Dev'!$H50="")),'7 Dev'!$H50,4)</f>
        <v>4</v>
      </c>
      <c r="AG50">
        <f>IF(AND('7 Dev'!E50&lt;Tmax, NOT('7 Dev'!$H50="")),'7 Dev'!$H50,4)</f>
        <v>4</v>
      </c>
      <c r="AH50">
        <f>IF(AND('7 Dev'!F50&lt;Tmax, NOT('7 Dev'!$H50="")),'7 Dev'!$H50,4)</f>
        <v>4</v>
      </c>
      <c r="AI50"/>
    </row>
    <row r="51" spans="1:35" s="213" customFormat="1" ht="20.399999999999999" x14ac:dyDescent="0.25">
      <c r="A51" s="164" t="s">
        <v>1885</v>
      </c>
      <c r="B51" s="164" t="s">
        <v>7450</v>
      </c>
      <c r="C51" s="136"/>
      <c r="D51" s="136"/>
      <c r="E51" s="136"/>
      <c r="F51" s="136"/>
      <c r="G51" s="133">
        <v>4</v>
      </c>
      <c r="H51" s="133"/>
      <c r="I51" s="133"/>
      <c r="J51" s="133" t="s">
        <v>7144</v>
      </c>
      <c r="K51" s="320"/>
      <c r="L51" s="128"/>
      <c r="M51" s="227"/>
      <c r="N51" s="227"/>
      <c r="O51" s="227"/>
      <c r="P51" s="227"/>
      <c r="Q51" s="227"/>
      <c r="R51" s="227"/>
      <c r="S51" s="227"/>
      <c r="T51" s="227"/>
      <c r="U51" s="227"/>
      <c r="V51" s="227"/>
      <c r="W51" s="227"/>
      <c r="X51" s="227"/>
      <c r="Y51" s="227"/>
      <c r="Z51" s="227"/>
      <c r="AA51">
        <f>IF(AND('7 Dev'!C51&gt;Tmin, NOT('7 Dev'!$I51="")),'7 Dev'!$I51,0)</f>
        <v>0</v>
      </c>
      <c r="AB51">
        <f>IF(AND('7 Dev'!D51&gt;Tmin, NOT('7 Dev'!$I51="")),'7 Dev'!$I51,0)</f>
        <v>0</v>
      </c>
      <c r="AC51">
        <f>IF(AND('7 Dev'!E51&gt;Tmin, NOT('7 Dev'!$I51="")),'7 Dev'!$I51,0)</f>
        <v>0</v>
      </c>
      <c r="AD51">
        <f>IF(AND('7 Dev'!F51&gt;Tmin, NOT('7 Dev'!$I51="")),'7 Dev'!$I51,0)</f>
        <v>0</v>
      </c>
      <c r="AE51">
        <f>IF(AND('7 Dev'!C51&lt;Tmax, NOT('7 Dev'!$H51="")),'7 Dev'!$H51,4)</f>
        <v>4</v>
      </c>
      <c r="AF51">
        <f>IF(AND('7 Dev'!D51&lt;Tmax, NOT('7 Dev'!$H51="")),'7 Dev'!$H51,4)</f>
        <v>4</v>
      </c>
      <c r="AG51">
        <f>IF(AND('7 Dev'!E51&lt;Tmax, NOT('7 Dev'!$H51="")),'7 Dev'!$H51,4)</f>
        <v>4</v>
      </c>
      <c r="AH51">
        <f>IF(AND('7 Dev'!F51&lt;Tmax, NOT('7 Dev'!$H51="")),'7 Dev'!$H51,4)</f>
        <v>4</v>
      </c>
      <c r="AI51"/>
    </row>
    <row r="52" spans="1:35" s="213" customFormat="1" collapsed="1" x14ac:dyDescent="0.25">
      <c r="A52" s="164" t="s">
        <v>7270</v>
      </c>
      <c r="B52" s="164" t="s">
        <v>7271</v>
      </c>
      <c r="C52" s="136"/>
      <c r="D52" s="136"/>
      <c r="E52" s="136"/>
      <c r="F52" s="136"/>
      <c r="G52" s="133">
        <v>4</v>
      </c>
      <c r="H52" s="133"/>
      <c r="I52" s="133"/>
      <c r="J52" s="133" t="s">
        <v>7144</v>
      </c>
      <c r="K52" s="320"/>
      <c r="L52" s="128"/>
      <c r="M52" s="227"/>
      <c r="N52" s="227"/>
      <c r="O52" s="227"/>
      <c r="P52" s="227"/>
      <c r="Q52" s="227"/>
      <c r="R52" s="227"/>
      <c r="S52" s="227"/>
      <c r="T52" s="227"/>
      <c r="U52" s="227"/>
      <c r="V52" s="227"/>
      <c r="W52" s="227"/>
      <c r="X52" s="227"/>
      <c r="Y52" s="227"/>
      <c r="Z52" s="227"/>
      <c r="AA52">
        <f>IF(AND('7 Dev'!C52&gt;Tmin, NOT('7 Dev'!$I52="")),'7 Dev'!$I52,0)</f>
        <v>0</v>
      </c>
      <c r="AB52">
        <f>IF(AND('7 Dev'!D52&gt;Tmin, NOT('7 Dev'!$I52="")),'7 Dev'!$I52,0)</f>
        <v>0</v>
      </c>
      <c r="AC52">
        <f>IF(AND('7 Dev'!E52&gt;Tmin, NOT('7 Dev'!$I52="")),'7 Dev'!$I52,0)</f>
        <v>0</v>
      </c>
      <c r="AD52">
        <f>IF(AND('7 Dev'!F52&gt;Tmin, NOT('7 Dev'!$I52="")),'7 Dev'!$I52,0)</f>
        <v>0</v>
      </c>
      <c r="AE52">
        <f>IF(AND('7 Dev'!C52&lt;Tmax, NOT('7 Dev'!$H52="")),'7 Dev'!$H52,4)</f>
        <v>4</v>
      </c>
      <c r="AF52">
        <f>IF(AND('7 Dev'!D52&lt;Tmax, NOT('7 Dev'!$H52="")),'7 Dev'!$H52,4)</f>
        <v>4</v>
      </c>
      <c r="AG52">
        <f>IF(AND('7 Dev'!E52&lt;Tmax, NOT('7 Dev'!$H52="")),'7 Dev'!$H52,4)</f>
        <v>4</v>
      </c>
      <c r="AH52">
        <f>IF(AND('7 Dev'!F52&lt;Tmax, NOT('7 Dev'!$H52="")),'7 Dev'!$H52,4)</f>
        <v>4</v>
      </c>
      <c r="AI52"/>
    </row>
    <row r="53" spans="1:35" ht="20.399999999999999" x14ac:dyDescent="0.25">
      <c r="A53" s="164" t="s">
        <v>7272</v>
      </c>
      <c r="B53" s="164" t="s">
        <v>7273</v>
      </c>
      <c r="C53" s="136"/>
      <c r="D53" s="136"/>
      <c r="E53" s="136"/>
      <c r="F53" s="136"/>
      <c r="G53" s="133">
        <v>4</v>
      </c>
      <c r="H53" s="133"/>
      <c r="I53" s="133"/>
      <c r="J53" s="133" t="s">
        <v>7144</v>
      </c>
      <c r="AA53">
        <f>IF(AND('7 Dev'!C53&gt;Tmin, NOT('7 Dev'!$I53="")),'7 Dev'!$I53,0)</f>
        <v>0</v>
      </c>
      <c r="AB53">
        <f>IF(AND('7 Dev'!D53&gt;Tmin, NOT('7 Dev'!$I53="")),'7 Dev'!$I53,0)</f>
        <v>0</v>
      </c>
      <c r="AC53">
        <f>IF(AND('7 Dev'!E53&gt;Tmin, NOT('7 Dev'!$I53="")),'7 Dev'!$I53,0)</f>
        <v>0</v>
      </c>
      <c r="AD53">
        <f>IF(AND('7 Dev'!F53&gt;Tmin, NOT('7 Dev'!$I53="")),'7 Dev'!$I53,0)</f>
        <v>0</v>
      </c>
      <c r="AE53">
        <f>IF(AND('7 Dev'!C53&lt;Tmax, NOT('7 Dev'!$H53="")),'7 Dev'!$H53,4)</f>
        <v>4</v>
      </c>
      <c r="AF53">
        <f>IF(AND('7 Dev'!D53&lt;Tmax, NOT('7 Dev'!$H53="")),'7 Dev'!$H53,4)</f>
        <v>4</v>
      </c>
      <c r="AG53">
        <f>IF(AND('7 Dev'!E53&lt;Tmax, NOT('7 Dev'!$H53="")),'7 Dev'!$H53,4)</f>
        <v>4</v>
      </c>
      <c r="AH53">
        <f>IF(AND('7 Dev'!F53&lt;Tmax, NOT('7 Dev'!$H53="")),'7 Dev'!$H53,4)</f>
        <v>4</v>
      </c>
      <c r="AI53"/>
    </row>
    <row r="54" spans="1:35" x14ac:dyDescent="0.25">
      <c r="A54" s="164" t="s">
        <v>788</v>
      </c>
      <c r="B54" s="164" t="s">
        <v>792</v>
      </c>
      <c r="C54" s="136"/>
      <c r="D54" s="136"/>
      <c r="E54" s="136"/>
      <c r="F54" s="136"/>
      <c r="G54" s="133"/>
      <c r="H54" s="133"/>
      <c r="I54" s="133"/>
      <c r="J54" s="133"/>
      <c r="AA54"/>
      <c r="AB54"/>
      <c r="AC54"/>
      <c r="AD54"/>
      <c r="AE54"/>
      <c r="AF54"/>
      <c r="AG54"/>
      <c r="AH54"/>
      <c r="AI54"/>
    </row>
    <row r="55" spans="1:35" s="213" customFormat="1" x14ac:dyDescent="0.25">
      <c r="A55" s="164" t="s">
        <v>1866</v>
      </c>
      <c r="B55" s="164" t="s">
        <v>7451</v>
      </c>
      <c r="C55" s="136"/>
      <c r="D55" s="136"/>
      <c r="E55" s="136"/>
      <c r="F55" s="136"/>
      <c r="G55" s="133">
        <v>4</v>
      </c>
      <c r="H55" s="133"/>
      <c r="I55" s="133"/>
      <c r="J55" s="133" t="s">
        <v>7152</v>
      </c>
      <c r="K55" s="320"/>
      <c r="L55" s="128"/>
      <c r="M55" s="227"/>
      <c r="N55" s="227"/>
      <c r="O55" s="227"/>
      <c r="P55" s="227"/>
      <c r="Q55" s="227"/>
      <c r="R55" s="227"/>
      <c r="S55" s="227"/>
      <c r="T55" s="227"/>
      <c r="U55" s="227"/>
      <c r="V55" s="227"/>
      <c r="W55" s="227"/>
      <c r="X55" s="227"/>
      <c r="Y55" s="227"/>
      <c r="Z55" s="227"/>
      <c r="AA55">
        <f>IF(AND('7 Dev'!C55&gt;Tmin, NOT('7 Dev'!$I55="")),'7 Dev'!$I55,0)</f>
        <v>0</v>
      </c>
      <c r="AB55">
        <f>IF(AND('7 Dev'!D55&gt;Tmin, NOT('7 Dev'!$I55="")),'7 Dev'!$I55,0)</f>
        <v>0</v>
      </c>
      <c r="AC55">
        <f>IF(AND('7 Dev'!E55&gt;Tmin, NOT('7 Dev'!$I55="")),'7 Dev'!$I55,0)</f>
        <v>0</v>
      </c>
      <c r="AD55">
        <f>IF(AND('7 Dev'!F55&gt;Tmin, NOT('7 Dev'!$I55="")),'7 Dev'!$I55,0)</f>
        <v>0</v>
      </c>
      <c r="AE55">
        <f>IF(AND('7 Dev'!C55&lt;Tmax, NOT('7 Dev'!$H55="")),'7 Dev'!$H55,4)</f>
        <v>4</v>
      </c>
      <c r="AF55">
        <f>IF(AND('7 Dev'!D55&lt;Tmax, NOT('7 Dev'!$H55="")),'7 Dev'!$H55,4)</f>
        <v>4</v>
      </c>
      <c r="AG55">
        <f>IF(AND('7 Dev'!E55&lt;Tmax, NOT('7 Dev'!$H55="")),'7 Dev'!$H55,4)</f>
        <v>4</v>
      </c>
      <c r="AH55">
        <f>IF(AND('7 Dev'!F55&lt;Tmax, NOT('7 Dev'!$H55="")),'7 Dev'!$H55,4)</f>
        <v>4</v>
      </c>
      <c r="AI55"/>
    </row>
    <row r="56" spans="1:35" ht="20.399999999999999" x14ac:dyDescent="0.25">
      <c r="A56" s="164" t="s">
        <v>1867</v>
      </c>
      <c r="B56" s="164" t="s">
        <v>7274</v>
      </c>
      <c r="C56" s="136"/>
      <c r="D56" s="136"/>
      <c r="E56" s="136"/>
      <c r="F56" s="136"/>
      <c r="G56" s="133">
        <v>2</v>
      </c>
      <c r="H56" s="133">
        <v>2</v>
      </c>
      <c r="I56" s="133"/>
      <c r="J56" s="133" t="s">
        <v>7152</v>
      </c>
      <c r="AA56">
        <f>IF(AND('7 Dev'!C56&gt;Tmin, NOT('7 Dev'!$I56="")),'7 Dev'!$I56,0)</f>
        <v>0</v>
      </c>
      <c r="AB56">
        <f>IF(AND('7 Dev'!D56&gt;Tmin, NOT('7 Dev'!$I56="")),'7 Dev'!$I56,0)</f>
        <v>0</v>
      </c>
      <c r="AC56">
        <f>IF(AND('7 Dev'!E56&gt;Tmin, NOT('7 Dev'!$I56="")),'7 Dev'!$I56,0)</f>
        <v>0</v>
      </c>
      <c r="AD56">
        <f>IF(AND('7 Dev'!F56&gt;Tmin, NOT('7 Dev'!$I56="")),'7 Dev'!$I56,0)</f>
        <v>0</v>
      </c>
      <c r="AE56">
        <f>IF(AND('7 Dev'!C56&lt;Tmax, NOT('7 Dev'!$H56="")),'7 Dev'!$H56,4)</f>
        <v>2</v>
      </c>
      <c r="AF56">
        <f>IF(AND('7 Dev'!D56&lt;Tmax, NOT('7 Dev'!$H56="")),'7 Dev'!$H56,4)</f>
        <v>2</v>
      </c>
      <c r="AG56">
        <f>IF(AND('7 Dev'!E56&lt;Tmax, NOT('7 Dev'!$H56="")),'7 Dev'!$H56,4)</f>
        <v>2</v>
      </c>
      <c r="AH56">
        <f>IF(AND('7 Dev'!F56&lt;Tmax, NOT('7 Dev'!$H56="")),'7 Dev'!$H56,4)</f>
        <v>2</v>
      </c>
      <c r="AI56"/>
    </row>
    <row r="57" spans="1:35" s="322" customFormat="1" ht="20.399999999999999" x14ac:dyDescent="0.25">
      <c r="A57" s="164" t="s">
        <v>1868</v>
      </c>
      <c r="B57" s="164" t="s">
        <v>7275</v>
      </c>
      <c r="C57" s="136"/>
      <c r="D57" s="136"/>
      <c r="E57" s="136"/>
      <c r="F57" s="136"/>
      <c r="G57" s="133">
        <v>4</v>
      </c>
      <c r="H57" s="133">
        <v>2</v>
      </c>
      <c r="I57" s="133"/>
      <c r="J57" s="133" t="s">
        <v>7152</v>
      </c>
      <c r="K57" s="320"/>
      <c r="AA57">
        <f>IF(AND('7 Dev'!C57&gt;Tmin, NOT('7 Dev'!$I57="")),'7 Dev'!$I57,0)</f>
        <v>0</v>
      </c>
      <c r="AB57">
        <f>IF(AND('7 Dev'!D57&gt;Tmin, NOT('7 Dev'!$I57="")),'7 Dev'!$I57,0)</f>
        <v>0</v>
      </c>
      <c r="AC57">
        <f>IF(AND('7 Dev'!E57&gt;Tmin, NOT('7 Dev'!$I57="")),'7 Dev'!$I57,0)</f>
        <v>0</v>
      </c>
      <c r="AD57">
        <f>IF(AND('7 Dev'!F57&gt;Tmin, NOT('7 Dev'!$I57="")),'7 Dev'!$I57,0)</f>
        <v>0</v>
      </c>
      <c r="AE57">
        <f>IF(AND('7 Dev'!C57&lt;Tmax, NOT('7 Dev'!$H57="")),'7 Dev'!$H57,4)</f>
        <v>2</v>
      </c>
      <c r="AF57">
        <f>IF(AND('7 Dev'!D57&lt;Tmax, NOT('7 Dev'!$H57="")),'7 Dev'!$H57,4)</f>
        <v>2</v>
      </c>
      <c r="AG57">
        <f>IF(AND('7 Dev'!E57&lt;Tmax, NOT('7 Dev'!$H57="")),'7 Dev'!$H57,4)</f>
        <v>2</v>
      </c>
      <c r="AH57">
        <f>IF(AND('7 Dev'!F57&lt;Tmax, NOT('7 Dev'!$H57="")),'7 Dev'!$H57,4)</f>
        <v>2</v>
      </c>
      <c r="AI57"/>
    </row>
    <row r="58" spans="1:35" s="322" customFormat="1" x14ac:dyDescent="0.25">
      <c r="A58" s="164" t="s">
        <v>790</v>
      </c>
      <c r="B58" s="164" t="s">
        <v>370</v>
      </c>
      <c r="C58" s="136"/>
      <c r="D58" s="136"/>
      <c r="E58" s="136"/>
      <c r="F58" s="136"/>
      <c r="G58" s="133"/>
      <c r="H58" s="133"/>
      <c r="I58" s="133"/>
      <c r="J58" s="133"/>
      <c r="K58" s="320"/>
      <c r="AA58"/>
      <c r="AB58"/>
      <c r="AC58"/>
      <c r="AD58"/>
      <c r="AE58"/>
      <c r="AF58"/>
      <c r="AG58"/>
      <c r="AH58"/>
      <c r="AI58"/>
    </row>
    <row r="59" spans="1:35" s="322" customFormat="1" ht="30.6" x14ac:dyDescent="0.25">
      <c r="A59" s="164" t="s">
        <v>1900</v>
      </c>
      <c r="B59" s="164" t="s">
        <v>1886</v>
      </c>
      <c r="C59" s="136"/>
      <c r="D59" s="136"/>
      <c r="E59" s="136"/>
      <c r="F59" s="136"/>
      <c r="G59" s="133">
        <v>4</v>
      </c>
      <c r="H59" s="133"/>
      <c r="I59" s="133"/>
      <c r="J59" s="133"/>
      <c r="K59" s="320"/>
      <c r="AA59">
        <f>IF(AND('7 Dev'!C59&gt;Tmin, NOT('7 Dev'!$I59="")),'7 Dev'!$I59,0)</f>
        <v>0</v>
      </c>
      <c r="AB59">
        <f>IF(AND('7 Dev'!D59&gt;Tmin, NOT('7 Dev'!$I59="")),'7 Dev'!$I59,0)</f>
        <v>0</v>
      </c>
      <c r="AC59">
        <f>IF(AND('7 Dev'!E59&gt;Tmin, NOT('7 Dev'!$I59="")),'7 Dev'!$I59,0)</f>
        <v>0</v>
      </c>
      <c r="AD59">
        <f>IF(AND('7 Dev'!F59&gt;Tmin, NOT('7 Dev'!$I59="")),'7 Dev'!$I59,0)</f>
        <v>0</v>
      </c>
      <c r="AE59">
        <f>IF(AND('7 Dev'!C59&lt;Tmax, NOT('7 Dev'!$H59="")),'7 Dev'!$H59,4)</f>
        <v>4</v>
      </c>
      <c r="AF59">
        <f>IF(AND('7 Dev'!D59&lt;Tmax, NOT('7 Dev'!$H59="")),'7 Dev'!$H59,4)</f>
        <v>4</v>
      </c>
      <c r="AG59">
        <f>IF(AND('7 Dev'!E59&lt;Tmax, NOT('7 Dev'!$H59="")),'7 Dev'!$H59,4)</f>
        <v>4</v>
      </c>
      <c r="AH59">
        <f>IF(AND('7 Dev'!F59&lt;Tmax, NOT('7 Dev'!$H59="")),'7 Dev'!$H59,4)</f>
        <v>4</v>
      </c>
      <c r="AI59"/>
    </row>
    <row r="60" spans="1:35" s="322" customFormat="1" x14ac:dyDescent="0.25">
      <c r="A60" s="164" t="s">
        <v>1901</v>
      </c>
      <c r="B60" s="164" t="s">
        <v>1887</v>
      </c>
      <c r="C60" s="136"/>
      <c r="D60" s="136"/>
      <c r="E60" s="136"/>
      <c r="F60" s="136"/>
      <c r="G60" s="133">
        <v>2</v>
      </c>
      <c r="H60" s="133">
        <v>2</v>
      </c>
      <c r="I60" s="133"/>
      <c r="J60" s="133"/>
      <c r="K60" s="320"/>
      <c r="AA60">
        <f>IF(AND('7 Dev'!C60&gt;Tmin, NOT('7 Dev'!$I60="")),'7 Dev'!$I60,0)</f>
        <v>0</v>
      </c>
      <c r="AB60">
        <f>IF(AND('7 Dev'!D60&gt;Tmin, NOT('7 Dev'!$I60="")),'7 Dev'!$I60,0)</f>
        <v>0</v>
      </c>
      <c r="AC60">
        <f>IF(AND('7 Dev'!E60&gt;Tmin, NOT('7 Dev'!$I60="")),'7 Dev'!$I60,0)</f>
        <v>0</v>
      </c>
      <c r="AD60">
        <f>IF(AND('7 Dev'!F60&gt;Tmin, NOT('7 Dev'!$I60="")),'7 Dev'!$I60,0)</f>
        <v>0</v>
      </c>
      <c r="AE60">
        <f>IF(AND('7 Dev'!C60&lt;Tmax, NOT('7 Dev'!$H60="")),'7 Dev'!$H60,4)</f>
        <v>2</v>
      </c>
      <c r="AF60">
        <f>IF(AND('7 Dev'!D60&lt;Tmax, NOT('7 Dev'!$H60="")),'7 Dev'!$H60,4)</f>
        <v>2</v>
      </c>
      <c r="AG60">
        <f>IF(AND('7 Dev'!E60&lt;Tmax, NOT('7 Dev'!$H60="")),'7 Dev'!$H60,4)</f>
        <v>2</v>
      </c>
      <c r="AH60">
        <f>IF(AND('7 Dev'!F60&lt;Tmax, NOT('7 Dev'!$H60="")),'7 Dev'!$H60,4)</f>
        <v>2</v>
      </c>
      <c r="AI60"/>
    </row>
    <row r="61" spans="1:35" s="322" customFormat="1" x14ac:dyDescent="0.25">
      <c r="A61" s="164" t="s">
        <v>1902</v>
      </c>
      <c r="B61" s="164" t="s">
        <v>1888</v>
      </c>
      <c r="C61" s="136"/>
      <c r="D61" s="136"/>
      <c r="E61" s="136"/>
      <c r="F61" s="136"/>
      <c r="G61" s="133">
        <v>4</v>
      </c>
      <c r="H61" s="133"/>
      <c r="I61" s="133"/>
      <c r="J61" s="133"/>
      <c r="K61" s="320"/>
      <c r="AA61">
        <f>IF(AND('7 Dev'!C61&gt;Tmin, NOT('7 Dev'!$I61="")),'7 Dev'!$I61,0)</f>
        <v>0</v>
      </c>
      <c r="AB61">
        <f>IF(AND('7 Dev'!D61&gt;Tmin, NOT('7 Dev'!$I61="")),'7 Dev'!$I61,0)</f>
        <v>0</v>
      </c>
      <c r="AC61">
        <f>IF(AND('7 Dev'!E61&gt;Tmin, NOT('7 Dev'!$I61="")),'7 Dev'!$I61,0)</f>
        <v>0</v>
      </c>
      <c r="AD61">
        <f>IF(AND('7 Dev'!F61&gt;Tmin, NOT('7 Dev'!$I61="")),'7 Dev'!$I61,0)</f>
        <v>0</v>
      </c>
      <c r="AE61">
        <f>IF(AND('7 Dev'!C61&lt;Tmax, NOT('7 Dev'!$H61="")),'7 Dev'!$H61,4)</f>
        <v>4</v>
      </c>
      <c r="AF61">
        <f>IF(AND('7 Dev'!D61&lt;Tmax, NOT('7 Dev'!$H61="")),'7 Dev'!$H61,4)</f>
        <v>4</v>
      </c>
      <c r="AG61">
        <f>IF(AND('7 Dev'!E61&lt;Tmax, NOT('7 Dev'!$H61="")),'7 Dev'!$H61,4)</f>
        <v>4</v>
      </c>
      <c r="AH61">
        <f>IF(AND('7 Dev'!F61&lt;Tmax, NOT('7 Dev'!$H61="")),'7 Dev'!$H61,4)</f>
        <v>4</v>
      </c>
      <c r="AI61"/>
    </row>
    <row r="62" spans="1:35" s="322" customFormat="1" ht="20.399999999999999" x14ac:dyDescent="0.25">
      <c r="A62" s="164" t="s">
        <v>1903</v>
      </c>
      <c r="B62" s="164" t="s">
        <v>1889</v>
      </c>
      <c r="C62" s="136"/>
      <c r="D62" s="136"/>
      <c r="E62" s="136"/>
      <c r="F62" s="136"/>
      <c r="G62" s="133">
        <v>4</v>
      </c>
      <c r="H62" s="133"/>
      <c r="I62" s="133"/>
      <c r="J62" s="133"/>
      <c r="K62" s="320"/>
      <c r="AA62">
        <f>IF(AND('7 Dev'!C62&gt;Tmin, NOT('7 Dev'!$I62="")),'7 Dev'!$I62,0)</f>
        <v>0</v>
      </c>
      <c r="AB62">
        <f>IF(AND('7 Dev'!D62&gt;Tmin, NOT('7 Dev'!$I62="")),'7 Dev'!$I62,0)</f>
        <v>0</v>
      </c>
      <c r="AC62">
        <f>IF(AND('7 Dev'!E62&gt;Tmin, NOT('7 Dev'!$I62="")),'7 Dev'!$I62,0)</f>
        <v>0</v>
      </c>
      <c r="AD62">
        <f>IF(AND('7 Dev'!F62&gt;Tmin, NOT('7 Dev'!$I62="")),'7 Dev'!$I62,0)</f>
        <v>0</v>
      </c>
      <c r="AE62">
        <f>IF(AND('7 Dev'!C62&lt;Tmax, NOT('7 Dev'!$H62="")),'7 Dev'!$H62,4)</f>
        <v>4</v>
      </c>
      <c r="AF62">
        <f>IF(AND('7 Dev'!D62&lt;Tmax, NOT('7 Dev'!$H62="")),'7 Dev'!$H62,4)</f>
        <v>4</v>
      </c>
      <c r="AG62">
        <f>IF(AND('7 Dev'!E62&lt;Tmax, NOT('7 Dev'!$H62="")),'7 Dev'!$H62,4)</f>
        <v>4</v>
      </c>
      <c r="AH62">
        <f>IF(AND('7 Dev'!F62&lt;Tmax, NOT('7 Dev'!$H62="")),'7 Dev'!$H62,4)</f>
        <v>4</v>
      </c>
      <c r="AI62"/>
    </row>
    <row r="63" spans="1:35" s="326" customFormat="1" ht="40.799999999999997" x14ac:dyDescent="0.25">
      <c r="A63" s="164" t="s">
        <v>1904</v>
      </c>
      <c r="B63" s="164" t="s">
        <v>1890</v>
      </c>
      <c r="C63" s="136"/>
      <c r="D63" s="136"/>
      <c r="E63" s="136"/>
      <c r="F63" s="136"/>
      <c r="G63" s="133">
        <v>4</v>
      </c>
      <c r="H63" s="133"/>
      <c r="I63" s="133">
        <v>3</v>
      </c>
      <c r="J63" s="133"/>
      <c r="K63" s="320"/>
      <c r="AA63">
        <f>IF(AND('7 Dev'!C63&gt;Tmin, NOT('7 Dev'!$I63="")),'7 Dev'!$I63,0)</f>
        <v>0</v>
      </c>
      <c r="AB63">
        <f>IF(AND('7 Dev'!D63&gt;Tmin, NOT('7 Dev'!$I63="")),'7 Dev'!$I63,0)</f>
        <v>0</v>
      </c>
      <c r="AC63">
        <f>IF(AND('7 Dev'!E63&gt;Tmin, NOT('7 Dev'!$I63="")),'7 Dev'!$I63,0)</f>
        <v>0</v>
      </c>
      <c r="AD63">
        <f>IF(AND('7 Dev'!F63&gt;Tmin, NOT('7 Dev'!$I63="")),'7 Dev'!$I63,0)</f>
        <v>0</v>
      </c>
      <c r="AE63">
        <f>IF(AND('7 Dev'!C63&lt;Tmax, NOT('7 Dev'!$H63="")),'7 Dev'!$H63,4)</f>
        <v>4</v>
      </c>
      <c r="AF63">
        <f>IF(AND('7 Dev'!D63&lt;Tmax, NOT('7 Dev'!$H63="")),'7 Dev'!$H63,4)</f>
        <v>4</v>
      </c>
      <c r="AG63">
        <f>IF(AND('7 Dev'!E63&lt;Tmax, NOT('7 Dev'!$H63="")),'7 Dev'!$H63,4)</f>
        <v>4</v>
      </c>
      <c r="AH63">
        <f>IF(AND('7 Dev'!F63&lt;Tmax, NOT('7 Dev'!$H63="")),'7 Dev'!$H63,4)</f>
        <v>4</v>
      </c>
      <c r="AI63"/>
    </row>
    <row r="64" spans="1:35" ht="20.399999999999999" x14ac:dyDescent="0.25">
      <c r="A64" s="164" t="s">
        <v>1905</v>
      </c>
      <c r="B64" s="164" t="s">
        <v>1891</v>
      </c>
      <c r="C64" s="136"/>
      <c r="D64" s="136"/>
      <c r="E64" s="136"/>
      <c r="F64" s="136"/>
      <c r="G64" s="133">
        <v>4</v>
      </c>
      <c r="H64" s="133">
        <v>3</v>
      </c>
      <c r="I64" s="133"/>
      <c r="J64" s="133"/>
      <c r="AA64">
        <f>IF(AND('7 Dev'!C64&gt;Tmin, NOT('7 Dev'!$I64="")),'7 Dev'!$I64,0)</f>
        <v>0</v>
      </c>
      <c r="AB64">
        <f>IF(AND('7 Dev'!D64&gt;Tmin, NOT('7 Dev'!$I64="")),'7 Dev'!$I64,0)</f>
        <v>0</v>
      </c>
      <c r="AC64">
        <f>IF(AND('7 Dev'!E64&gt;Tmin, NOT('7 Dev'!$I64="")),'7 Dev'!$I64,0)</f>
        <v>0</v>
      </c>
      <c r="AD64">
        <f>IF(AND('7 Dev'!F64&gt;Tmin, NOT('7 Dev'!$I64="")),'7 Dev'!$I64,0)</f>
        <v>0</v>
      </c>
      <c r="AE64">
        <f>IF(AND('7 Dev'!C64&lt;Tmax, NOT('7 Dev'!$H64="")),'7 Dev'!$H64,4)</f>
        <v>3</v>
      </c>
      <c r="AF64">
        <f>IF(AND('7 Dev'!D64&lt;Tmax, NOT('7 Dev'!$H64="")),'7 Dev'!$H64,4)</f>
        <v>3</v>
      </c>
      <c r="AG64">
        <f>IF(AND('7 Dev'!E64&lt;Tmax, NOT('7 Dev'!$H64="")),'7 Dev'!$H64,4)</f>
        <v>3</v>
      </c>
      <c r="AH64">
        <f>IF(AND('7 Dev'!F64&lt;Tmax, NOT('7 Dev'!$H64="")),'7 Dev'!$H64,4)</f>
        <v>3</v>
      </c>
      <c r="AI64"/>
    </row>
    <row r="65" spans="1:255" ht="20.399999999999999" x14ac:dyDescent="0.25">
      <c r="A65" s="164" t="s">
        <v>1906</v>
      </c>
      <c r="B65" s="164" t="s">
        <v>1892</v>
      </c>
      <c r="C65" s="136"/>
      <c r="D65" s="136"/>
      <c r="E65" s="136"/>
      <c r="F65" s="136"/>
      <c r="G65" s="133">
        <v>4</v>
      </c>
      <c r="H65" s="133"/>
      <c r="I65" s="133"/>
      <c r="J65" s="133"/>
      <c r="AA65">
        <f>IF(AND('7 Dev'!C65&gt;Tmin, NOT('7 Dev'!$I65="")),'7 Dev'!$I65,0)</f>
        <v>0</v>
      </c>
      <c r="AB65">
        <f>IF(AND('7 Dev'!D65&gt;Tmin, NOT('7 Dev'!$I65="")),'7 Dev'!$I65,0)</f>
        <v>0</v>
      </c>
      <c r="AC65">
        <f>IF(AND('7 Dev'!E65&gt;Tmin, NOT('7 Dev'!$I65="")),'7 Dev'!$I65,0)</f>
        <v>0</v>
      </c>
      <c r="AD65">
        <f>IF(AND('7 Dev'!F65&gt;Tmin, NOT('7 Dev'!$I65="")),'7 Dev'!$I65,0)</f>
        <v>0</v>
      </c>
      <c r="AE65">
        <f>IF(AND('7 Dev'!C65&lt;Tmax, NOT('7 Dev'!$H65="")),'7 Dev'!$H65,4)</f>
        <v>4</v>
      </c>
      <c r="AF65">
        <f>IF(AND('7 Dev'!D65&lt;Tmax, NOT('7 Dev'!$H65="")),'7 Dev'!$H65,4)</f>
        <v>4</v>
      </c>
      <c r="AG65">
        <f>IF(AND('7 Dev'!E65&lt;Tmax, NOT('7 Dev'!$H65="")),'7 Dev'!$H65,4)</f>
        <v>4</v>
      </c>
      <c r="AH65">
        <f>IF(AND('7 Dev'!F65&lt;Tmax, NOT('7 Dev'!$H65="")),'7 Dev'!$H65,4)</f>
        <v>4</v>
      </c>
      <c r="AI65"/>
    </row>
    <row r="66" spans="1:255" ht="40.799999999999997" x14ac:dyDescent="0.25">
      <c r="A66" s="164" t="s">
        <v>1907</v>
      </c>
      <c r="B66" s="164" t="s">
        <v>1893</v>
      </c>
      <c r="C66" s="136"/>
      <c r="D66" s="136"/>
      <c r="E66" s="136"/>
      <c r="F66" s="136"/>
      <c r="G66" s="133">
        <v>2</v>
      </c>
      <c r="H66" s="133"/>
      <c r="I66" s="133"/>
      <c r="J66" s="133"/>
      <c r="AA66">
        <f>IF(AND('7 Dev'!C66&gt;Tmin, NOT('7 Dev'!$I66="")),'7 Dev'!$I66,0)</f>
        <v>0</v>
      </c>
      <c r="AB66">
        <f>IF(AND('7 Dev'!D66&gt;Tmin, NOT('7 Dev'!$I66="")),'7 Dev'!$I66,0)</f>
        <v>0</v>
      </c>
      <c r="AC66">
        <f>IF(AND('7 Dev'!E66&gt;Tmin, NOT('7 Dev'!$I66="")),'7 Dev'!$I66,0)</f>
        <v>0</v>
      </c>
      <c r="AD66">
        <f>IF(AND('7 Dev'!F66&gt;Tmin, NOT('7 Dev'!$I66="")),'7 Dev'!$I66,0)</f>
        <v>0</v>
      </c>
      <c r="AE66">
        <f>IF(AND('7 Dev'!C66&lt;Tmax, NOT('7 Dev'!$H66="")),'7 Dev'!$H66,4)</f>
        <v>4</v>
      </c>
      <c r="AF66">
        <f>IF(AND('7 Dev'!D66&lt;Tmax, NOT('7 Dev'!$H66="")),'7 Dev'!$H66,4)</f>
        <v>4</v>
      </c>
      <c r="AG66">
        <f>IF(AND('7 Dev'!E66&lt;Tmax, NOT('7 Dev'!$H66="")),'7 Dev'!$H66,4)</f>
        <v>4</v>
      </c>
      <c r="AH66">
        <f>IF(AND('7 Dev'!F66&lt;Tmax, NOT('7 Dev'!$H66="")),'7 Dev'!$H66,4)</f>
        <v>4</v>
      </c>
      <c r="AI66"/>
    </row>
    <row r="67" spans="1:255" s="213" customFormat="1" ht="20.399999999999999" x14ac:dyDescent="0.25">
      <c r="A67" s="164" t="s">
        <v>1908</v>
      </c>
      <c r="B67" s="164" t="s">
        <v>1894</v>
      </c>
      <c r="C67" s="136"/>
      <c r="D67" s="136"/>
      <c r="E67" s="136"/>
      <c r="F67" s="136"/>
      <c r="G67" s="133">
        <v>2</v>
      </c>
      <c r="H67" s="133"/>
      <c r="I67" s="133"/>
      <c r="J67" s="133"/>
      <c r="K67" s="320"/>
      <c r="L67" s="128"/>
      <c r="M67" s="227"/>
      <c r="N67" s="227"/>
      <c r="O67" s="227"/>
      <c r="P67" s="227"/>
      <c r="Q67" s="227"/>
      <c r="R67" s="227"/>
      <c r="S67" s="227"/>
      <c r="T67" s="227"/>
      <c r="U67" s="227"/>
      <c r="V67" s="227"/>
      <c r="W67" s="227"/>
      <c r="X67" s="227"/>
      <c r="Y67" s="227"/>
      <c r="Z67" s="227"/>
      <c r="AA67">
        <f>IF(AND('7 Dev'!C67&gt;Tmin, NOT('7 Dev'!$I67="")),'7 Dev'!$I67,0)</f>
        <v>0</v>
      </c>
      <c r="AB67">
        <f>IF(AND('7 Dev'!D67&gt;Tmin, NOT('7 Dev'!$I67="")),'7 Dev'!$I67,0)</f>
        <v>0</v>
      </c>
      <c r="AC67">
        <f>IF(AND('7 Dev'!E67&gt;Tmin, NOT('7 Dev'!$I67="")),'7 Dev'!$I67,0)</f>
        <v>0</v>
      </c>
      <c r="AD67">
        <f>IF(AND('7 Dev'!F67&gt;Tmin, NOT('7 Dev'!$I67="")),'7 Dev'!$I67,0)</f>
        <v>0</v>
      </c>
      <c r="AE67">
        <f>IF(AND('7 Dev'!C67&lt;Tmax, NOT('7 Dev'!$H67="")),'7 Dev'!$H67,4)</f>
        <v>4</v>
      </c>
      <c r="AF67">
        <f>IF(AND('7 Dev'!D67&lt;Tmax, NOT('7 Dev'!$H67="")),'7 Dev'!$H67,4)</f>
        <v>4</v>
      </c>
      <c r="AG67">
        <f>IF(AND('7 Dev'!E67&lt;Tmax, NOT('7 Dev'!$H67="")),'7 Dev'!$H67,4)</f>
        <v>4</v>
      </c>
      <c r="AH67">
        <f>IF(AND('7 Dev'!F67&lt;Tmax, NOT('7 Dev'!$H67="")),'7 Dev'!$H67,4)</f>
        <v>4</v>
      </c>
      <c r="AI67"/>
    </row>
    <row r="68" spans="1:255" s="213" customFormat="1" ht="40.799999999999997" x14ac:dyDescent="0.25">
      <c r="A68" s="164" t="s">
        <v>791</v>
      </c>
      <c r="B68" s="164" t="s">
        <v>6806</v>
      </c>
      <c r="C68" s="136"/>
      <c r="D68" s="136"/>
      <c r="E68" s="136"/>
      <c r="F68" s="136"/>
      <c r="G68" s="133"/>
      <c r="H68" s="133"/>
      <c r="I68" s="133"/>
      <c r="J68" s="133"/>
      <c r="K68" s="320"/>
      <c r="L68" s="128"/>
      <c r="M68" s="227"/>
      <c r="N68" s="227"/>
      <c r="O68" s="227"/>
      <c r="P68" s="227"/>
      <c r="Q68" s="227"/>
      <c r="R68" s="227"/>
      <c r="S68" s="227"/>
      <c r="T68" s="227"/>
      <c r="U68" s="227"/>
      <c r="V68" s="227"/>
      <c r="W68" s="227"/>
      <c r="X68" s="227"/>
      <c r="Y68" s="227"/>
      <c r="Z68" s="227"/>
      <c r="AA68"/>
      <c r="AB68"/>
      <c r="AC68"/>
      <c r="AD68"/>
      <c r="AE68"/>
      <c r="AF68"/>
      <c r="AG68"/>
      <c r="AH68"/>
      <c r="AI68"/>
    </row>
    <row r="69" spans="1:255" s="213" customFormat="1" ht="30.6" collapsed="1" x14ac:dyDescent="0.25">
      <c r="A69" s="164" t="s">
        <v>1909</v>
      </c>
      <c r="B69" s="164" t="s">
        <v>1895</v>
      </c>
      <c r="C69" s="136"/>
      <c r="D69" s="136"/>
      <c r="E69" s="136"/>
      <c r="F69" s="136"/>
      <c r="G69" s="133">
        <v>4</v>
      </c>
      <c r="H69" s="133">
        <v>2</v>
      </c>
      <c r="I69" s="133"/>
      <c r="J69" s="133"/>
      <c r="K69" s="320"/>
      <c r="L69" s="128"/>
      <c r="M69" s="227"/>
      <c r="N69" s="227"/>
      <c r="O69" s="227"/>
      <c r="P69" s="227"/>
      <c r="Q69" s="227"/>
      <c r="R69" s="227"/>
      <c r="S69" s="227"/>
      <c r="T69" s="227"/>
      <c r="U69" s="227"/>
      <c r="V69" s="227"/>
      <c r="W69" s="227"/>
      <c r="X69" s="227"/>
      <c r="Y69" s="227"/>
      <c r="Z69" s="227"/>
      <c r="AA69">
        <f>IF(AND('7 Dev'!C69&gt;Tmin, NOT('7 Dev'!$I69="")),'7 Dev'!$I69,0)</f>
        <v>0</v>
      </c>
      <c r="AB69">
        <f>IF(AND('7 Dev'!D69&gt;Tmin, NOT('7 Dev'!$I69="")),'7 Dev'!$I69,0)</f>
        <v>0</v>
      </c>
      <c r="AC69">
        <f>IF(AND('7 Dev'!E69&gt;Tmin, NOT('7 Dev'!$I69="")),'7 Dev'!$I69,0)</f>
        <v>0</v>
      </c>
      <c r="AD69">
        <f>IF(AND('7 Dev'!F69&gt;Tmin, NOT('7 Dev'!$I69="")),'7 Dev'!$I69,0)</f>
        <v>0</v>
      </c>
      <c r="AE69">
        <f>IF(AND('7 Dev'!C69&lt;Tmax, NOT('7 Dev'!$H69="")),'7 Dev'!$H69,4)</f>
        <v>2</v>
      </c>
      <c r="AF69">
        <f>IF(AND('7 Dev'!D69&lt;Tmax, NOT('7 Dev'!$H69="")),'7 Dev'!$H69,4)</f>
        <v>2</v>
      </c>
      <c r="AG69">
        <f>IF(AND('7 Dev'!E69&lt;Tmax, NOT('7 Dev'!$H69="")),'7 Dev'!$H69,4)</f>
        <v>2</v>
      </c>
      <c r="AH69">
        <f>IF(AND('7 Dev'!F69&lt;Tmax, NOT('7 Dev'!$H69="")),'7 Dev'!$H69,4)</f>
        <v>2</v>
      </c>
      <c r="AI69"/>
    </row>
    <row r="70" spans="1:255" s="213" customFormat="1" ht="20.399999999999999" x14ac:dyDescent="0.25">
      <c r="A70" s="164" t="s">
        <v>1910</v>
      </c>
      <c r="B70" s="164" t="s">
        <v>1896</v>
      </c>
      <c r="C70" s="136"/>
      <c r="D70" s="136"/>
      <c r="E70" s="136"/>
      <c r="F70" s="136"/>
      <c r="G70" s="133">
        <v>4</v>
      </c>
      <c r="H70" s="133">
        <v>2</v>
      </c>
      <c r="I70" s="133"/>
      <c r="J70" s="133"/>
      <c r="K70" s="320"/>
      <c r="L70" s="128"/>
      <c r="M70" s="227"/>
      <c r="N70" s="227"/>
      <c r="O70" s="227"/>
      <c r="P70" s="227"/>
      <c r="Q70" s="227"/>
      <c r="R70" s="227"/>
      <c r="S70" s="227"/>
      <c r="T70" s="227"/>
      <c r="U70" s="227"/>
      <c r="V70" s="227"/>
      <c r="W70" s="227"/>
      <c r="X70" s="227"/>
      <c r="Y70" s="227"/>
      <c r="Z70" s="227"/>
      <c r="AA70">
        <f>IF(AND('7 Dev'!C70&gt;Tmin, NOT('7 Dev'!$I70="")),'7 Dev'!$I70,0)</f>
        <v>0</v>
      </c>
      <c r="AB70">
        <f>IF(AND('7 Dev'!D70&gt;Tmin, NOT('7 Dev'!$I70="")),'7 Dev'!$I70,0)</f>
        <v>0</v>
      </c>
      <c r="AC70">
        <f>IF(AND('7 Dev'!E70&gt;Tmin, NOT('7 Dev'!$I70="")),'7 Dev'!$I70,0)</f>
        <v>0</v>
      </c>
      <c r="AD70">
        <f>IF(AND('7 Dev'!F70&gt;Tmin, NOT('7 Dev'!$I70="")),'7 Dev'!$I70,0)</f>
        <v>0</v>
      </c>
      <c r="AE70">
        <f>IF(AND('7 Dev'!C70&lt;Tmax, NOT('7 Dev'!$H70="")),'7 Dev'!$H70,4)</f>
        <v>2</v>
      </c>
      <c r="AF70">
        <f>IF(AND('7 Dev'!D70&lt;Tmax, NOT('7 Dev'!$H70="")),'7 Dev'!$H70,4)</f>
        <v>2</v>
      </c>
      <c r="AG70">
        <f>IF(AND('7 Dev'!E70&lt;Tmax, NOT('7 Dev'!$H70="")),'7 Dev'!$H70,4)</f>
        <v>2</v>
      </c>
      <c r="AH70">
        <f>IF(AND('7 Dev'!F70&lt;Tmax, NOT('7 Dev'!$H70="")),'7 Dev'!$H70,4)</f>
        <v>2</v>
      </c>
      <c r="AI70"/>
    </row>
    <row r="71" spans="1:255" s="338" customFormat="1" ht="20.399999999999999" x14ac:dyDescent="0.25">
      <c r="A71" s="164" t="s">
        <v>1911</v>
      </c>
      <c r="B71" s="164" t="s">
        <v>1897</v>
      </c>
      <c r="C71" s="136"/>
      <c r="D71" s="136"/>
      <c r="E71" s="136"/>
      <c r="F71" s="136"/>
      <c r="G71" s="133">
        <v>4</v>
      </c>
      <c r="H71" s="133">
        <v>2</v>
      </c>
      <c r="I71" s="133"/>
      <c r="J71" s="133"/>
      <c r="K71" s="320"/>
      <c r="L71" s="128"/>
      <c r="M71" s="227"/>
      <c r="N71" s="332"/>
      <c r="O71" s="332"/>
      <c r="P71" s="332"/>
      <c r="Q71" s="332"/>
      <c r="R71" s="332"/>
      <c r="S71" s="332"/>
      <c r="T71" s="332"/>
      <c r="U71" s="332"/>
      <c r="V71" s="332"/>
      <c r="W71" s="332"/>
      <c r="X71" s="332"/>
      <c r="Y71" s="332"/>
      <c r="Z71" s="332"/>
      <c r="AA71">
        <f>IF(AND('7 Dev'!C71&gt;Tmin, NOT('7 Dev'!$I71="")),'7 Dev'!$I71,0)</f>
        <v>0</v>
      </c>
      <c r="AB71">
        <f>IF(AND('7 Dev'!D71&gt;Tmin, NOT('7 Dev'!$I71="")),'7 Dev'!$I71,0)</f>
        <v>0</v>
      </c>
      <c r="AC71">
        <f>IF(AND('7 Dev'!E71&gt;Tmin, NOT('7 Dev'!$I71="")),'7 Dev'!$I71,0)</f>
        <v>0</v>
      </c>
      <c r="AD71">
        <f>IF(AND('7 Dev'!F71&gt;Tmin, NOT('7 Dev'!$I71="")),'7 Dev'!$I71,0)</f>
        <v>0</v>
      </c>
      <c r="AE71">
        <f>IF(AND('7 Dev'!C71&lt;Tmax, NOT('7 Dev'!$H71="")),'7 Dev'!$H71,4)</f>
        <v>2</v>
      </c>
      <c r="AF71">
        <f>IF(AND('7 Dev'!D71&lt;Tmax, NOT('7 Dev'!$H71="")),'7 Dev'!$H71,4)</f>
        <v>2</v>
      </c>
      <c r="AG71">
        <f>IF(AND('7 Dev'!E71&lt;Tmax, NOT('7 Dev'!$H71="")),'7 Dev'!$H71,4)</f>
        <v>2</v>
      </c>
      <c r="AH71">
        <f>IF(AND('7 Dev'!F71&lt;Tmax, NOT('7 Dev'!$H71="")),'7 Dev'!$H71,4)</f>
        <v>2</v>
      </c>
      <c r="AI71"/>
      <c r="IU71" s="213"/>
    </row>
    <row r="72" spans="1:255" ht="30.6" x14ac:dyDescent="0.25">
      <c r="A72" s="164" t="s">
        <v>1912</v>
      </c>
      <c r="B72" s="164" t="s">
        <v>1898</v>
      </c>
      <c r="C72" s="136"/>
      <c r="D72" s="136"/>
      <c r="E72" s="136"/>
      <c r="F72" s="136"/>
      <c r="G72" s="133">
        <v>4</v>
      </c>
      <c r="H72" s="133"/>
      <c r="I72" s="133"/>
      <c r="J72" s="133"/>
      <c r="AA72">
        <f>IF(AND('7 Dev'!C72&gt;Tmin, NOT('7 Dev'!$I72="")),'7 Dev'!$I72,0)</f>
        <v>0</v>
      </c>
      <c r="AB72">
        <f>IF(AND('7 Dev'!D72&gt;Tmin, NOT('7 Dev'!$I72="")),'7 Dev'!$I72,0)</f>
        <v>0</v>
      </c>
      <c r="AC72">
        <f>IF(AND('7 Dev'!E72&gt;Tmin, NOT('7 Dev'!$I72="")),'7 Dev'!$I72,0)</f>
        <v>0</v>
      </c>
      <c r="AD72">
        <f>IF(AND('7 Dev'!F72&gt;Tmin, NOT('7 Dev'!$I72="")),'7 Dev'!$I72,0)</f>
        <v>0</v>
      </c>
      <c r="AE72">
        <f>IF(AND('7 Dev'!C72&lt;Tmax, NOT('7 Dev'!$H72="")),'7 Dev'!$H72,4)</f>
        <v>4</v>
      </c>
      <c r="AF72">
        <f>IF(AND('7 Dev'!D72&lt;Tmax, NOT('7 Dev'!$H72="")),'7 Dev'!$H72,4)</f>
        <v>4</v>
      </c>
      <c r="AG72">
        <f>IF(AND('7 Dev'!E72&lt;Tmax, NOT('7 Dev'!$H72="")),'7 Dev'!$H72,4)</f>
        <v>4</v>
      </c>
      <c r="AH72">
        <f>IF(AND('7 Dev'!F72&lt;Tmax, NOT('7 Dev'!$H72="")),'7 Dev'!$H72,4)</f>
        <v>4</v>
      </c>
      <c r="AI72"/>
    </row>
    <row r="73" spans="1:255" s="213" customFormat="1" x14ac:dyDescent="0.25">
      <c r="A73" s="164" t="s">
        <v>1913</v>
      </c>
      <c r="B73" s="164" t="s">
        <v>1899</v>
      </c>
      <c r="C73" s="136"/>
      <c r="D73" s="136"/>
      <c r="E73" s="136"/>
      <c r="F73" s="136"/>
      <c r="G73" s="133">
        <v>4</v>
      </c>
      <c r="H73" s="133">
        <v>3</v>
      </c>
      <c r="I73" s="133"/>
      <c r="J73" s="133"/>
      <c r="K73" s="320"/>
      <c r="L73" s="128"/>
      <c r="M73" s="227"/>
      <c r="N73" s="227"/>
      <c r="O73" s="227"/>
      <c r="P73" s="227"/>
      <c r="Q73" s="227"/>
      <c r="R73" s="227"/>
      <c r="S73" s="227"/>
      <c r="T73" s="227"/>
      <c r="U73" s="227"/>
      <c r="V73" s="227"/>
      <c r="W73" s="227"/>
      <c r="X73" s="227"/>
      <c r="Y73" s="227"/>
      <c r="Z73" s="227"/>
      <c r="AA73">
        <f>IF(AND('7 Dev'!C73&gt;Tmin, NOT('7 Dev'!$I73="")),'7 Dev'!$I73,0)</f>
        <v>0</v>
      </c>
      <c r="AB73">
        <f>IF(AND('7 Dev'!D73&gt;Tmin, NOT('7 Dev'!$I73="")),'7 Dev'!$I73,0)</f>
        <v>0</v>
      </c>
      <c r="AC73">
        <f>IF(AND('7 Dev'!E73&gt;Tmin, NOT('7 Dev'!$I73="")),'7 Dev'!$I73,0)</f>
        <v>0</v>
      </c>
      <c r="AD73">
        <f>IF(AND('7 Dev'!F73&gt;Tmin, NOT('7 Dev'!$I73="")),'7 Dev'!$I73,0)</f>
        <v>0</v>
      </c>
      <c r="AE73">
        <f>IF(AND('7 Dev'!C73&lt;Tmax, NOT('7 Dev'!$H73="")),'7 Dev'!$H73,4)</f>
        <v>3</v>
      </c>
      <c r="AF73">
        <f>IF(AND('7 Dev'!D73&lt;Tmax, NOT('7 Dev'!$H73="")),'7 Dev'!$H73,4)</f>
        <v>3</v>
      </c>
      <c r="AG73">
        <f>IF(AND('7 Dev'!E73&lt;Tmax, NOT('7 Dev'!$H73="")),'7 Dev'!$H73,4)</f>
        <v>3</v>
      </c>
      <c r="AH73">
        <f>IF(AND('7 Dev'!F73&lt;Tmax, NOT('7 Dev'!$H73="")),'7 Dev'!$H73,4)</f>
        <v>3</v>
      </c>
      <c r="AI73"/>
    </row>
    <row r="74" spans="1:255" s="213" customFormat="1" x14ac:dyDescent="0.25">
      <c r="A74" s="164" t="s">
        <v>6736</v>
      </c>
      <c r="B74" s="164" t="s">
        <v>6737</v>
      </c>
      <c r="C74" s="136"/>
      <c r="D74" s="136"/>
      <c r="E74" s="136"/>
      <c r="F74" s="136"/>
      <c r="G74" s="133"/>
      <c r="H74" s="133"/>
      <c r="I74" s="133"/>
      <c r="J74" s="133"/>
      <c r="K74" s="320"/>
      <c r="L74" s="128"/>
      <c r="M74" s="227"/>
      <c r="N74" s="227"/>
      <c r="O74" s="227"/>
      <c r="P74" s="227"/>
      <c r="Q74" s="227"/>
      <c r="R74" s="227"/>
      <c r="S74" s="227"/>
      <c r="T74" s="227"/>
      <c r="U74" s="227"/>
      <c r="V74" s="227"/>
      <c r="W74" s="227"/>
      <c r="X74" s="227"/>
      <c r="Y74" s="227"/>
      <c r="Z74" s="227"/>
      <c r="AA74"/>
      <c r="AB74"/>
      <c r="AC74"/>
      <c r="AD74"/>
      <c r="AE74"/>
      <c r="AF74"/>
      <c r="AG74"/>
      <c r="AH74"/>
      <c r="AI74"/>
    </row>
    <row r="75" spans="1:255" s="213" customFormat="1" ht="16.5" customHeight="1" x14ac:dyDescent="0.25">
      <c r="A75" s="164" t="s">
        <v>6741</v>
      </c>
      <c r="B75" s="164" t="s">
        <v>6815</v>
      </c>
      <c r="C75" s="136"/>
      <c r="D75" s="136"/>
      <c r="E75" s="136"/>
      <c r="F75" s="136"/>
      <c r="G75" s="133">
        <v>4</v>
      </c>
      <c r="H75" s="133"/>
      <c r="I75" s="133"/>
      <c r="J75" s="133"/>
      <c r="K75" s="320"/>
      <c r="L75" s="128"/>
      <c r="M75" s="227"/>
      <c r="N75" s="227"/>
      <c r="O75" s="227"/>
      <c r="P75" s="227"/>
      <c r="Q75" s="227"/>
      <c r="R75" s="227"/>
      <c r="S75" s="227"/>
      <c r="T75" s="227"/>
      <c r="U75" s="227"/>
      <c r="V75" s="227"/>
      <c r="W75" s="227"/>
      <c r="X75" s="227"/>
      <c r="Y75" s="227"/>
      <c r="Z75" s="227"/>
      <c r="AA75">
        <f>IF(AND('7 Dev'!C75&gt;Tmin, NOT('7 Dev'!$I75="")),'7 Dev'!$I75,0)</f>
        <v>0</v>
      </c>
      <c r="AB75">
        <f>IF(AND('7 Dev'!D75&gt;Tmin, NOT('7 Dev'!$I75="")),'7 Dev'!$I75,0)</f>
        <v>0</v>
      </c>
      <c r="AC75">
        <f>IF(AND('7 Dev'!E75&gt;Tmin, NOT('7 Dev'!$I75="")),'7 Dev'!$I75,0)</f>
        <v>0</v>
      </c>
      <c r="AD75">
        <f>IF(AND('7 Dev'!F75&gt;Tmin, NOT('7 Dev'!$I75="")),'7 Dev'!$I75,0)</f>
        <v>0</v>
      </c>
      <c r="AE75">
        <f>IF(AND('7 Dev'!C75&lt;Tmax, NOT('7 Dev'!$H75="")),'7 Dev'!$H75,4)</f>
        <v>4</v>
      </c>
      <c r="AF75">
        <f>IF(AND('7 Dev'!D75&lt;Tmax, NOT('7 Dev'!$H75="")),'7 Dev'!$H75,4)</f>
        <v>4</v>
      </c>
      <c r="AG75">
        <f>IF(AND('7 Dev'!E75&lt;Tmax, NOT('7 Dev'!$H75="")),'7 Dev'!$H75,4)</f>
        <v>4</v>
      </c>
      <c r="AH75">
        <f>IF(AND('7 Dev'!F75&lt;Tmax, NOT('7 Dev'!$H75="")),'7 Dev'!$H75,4)</f>
        <v>4</v>
      </c>
      <c r="AI75"/>
    </row>
    <row r="76" spans="1:255" s="213" customFormat="1" ht="30.6" x14ac:dyDescent="0.25">
      <c r="A76" s="164" t="s">
        <v>6742</v>
      </c>
      <c r="B76" s="164" t="s">
        <v>7276</v>
      </c>
      <c r="C76" s="136"/>
      <c r="D76" s="136"/>
      <c r="E76" s="136"/>
      <c r="F76" s="136"/>
      <c r="G76" s="133">
        <v>4</v>
      </c>
      <c r="H76" s="133"/>
      <c r="I76" s="133"/>
      <c r="J76" s="133"/>
      <c r="K76" s="320"/>
      <c r="L76" s="128"/>
      <c r="M76" s="227"/>
      <c r="N76" s="227"/>
      <c r="O76" s="227"/>
      <c r="P76" s="227"/>
      <c r="Q76" s="227"/>
      <c r="R76" s="227"/>
      <c r="S76" s="227"/>
      <c r="T76" s="227"/>
      <c r="U76" s="227"/>
      <c r="V76" s="227"/>
      <c r="W76" s="227"/>
      <c r="X76" s="227"/>
      <c r="Y76" s="227"/>
      <c r="Z76" s="227"/>
      <c r="AA76">
        <f>IF(AND('7 Dev'!C76&gt;Tmin, NOT('7 Dev'!$I76="")),'7 Dev'!$I76,0)</f>
        <v>0</v>
      </c>
      <c r="AB76">
        <f>IF(AND('7 Dev'!D76&gt;Tmin, NOT('7 Dev'!$I76="")),'7 Dev'!$I76,0)</f>
        <v>0</v>
      </c>
      <c r="AC76">
        <f>IF(AND('7 Dev'!E76&gt;Tmin, NOT('7 Dev'!$I76="")),'7 Dev'!$I76,0)</f>
        <v>0</v>
      </c>
      <c r="AD76">
        <f>IF(AND('7 Dev'!F76&gt;Tmin, NOT('7 Dev'!$I76="")),'7 Dev'!$I76,0)</f>
        <v>0</v>
      </c>
      <c r="AE76">
        <f>IF(AND('7 Dev'!C76&lt;Tmax, NOT('7 Dev'!$H76="")),'7 Dev'!$H76,4)</f>
        <v>4</v>
      </c>
      <c r="AF76">
        <f>IF(AND('7 Dev'!D76&lt;Tmax, NOT('7 Dev'!$H76="")),'7 Dev'!$H76,4)</f>
        <v>4</v>
      </c>
      <c r="AG76">
        <f>IF(AND('7 Dev'!E76&lt;Tmax, NOT('7 Dev'!$H76="")),'7 Dev'!$H76,4)</f>
        <v>4</v>
      </c>
      <c r="AH76">
        <f>IF(AND('7 Dev'!F76&lt;Tmax, NOT('7 Dev'!$H76="")),'7 Dev'!$H76,4)</f>
        <v>4</v>
      </c>
      <c r="AI76"/>
    </row>
    <row r="77" spans="1:255" s="213" customFormat="1" ht="20.399999999999999" x14ac:dyDescent="0.25">
      <c r="A77" s="164" t="s">
        <v>6743</v>
      </c>
      <c r="B77" s="164" t="s">
        <v>6738</v>
      </c>
      <c r="C77" s="136"/>
      <c r="D77" s="136"/>
      <c r="E77" s="136"/>
      <c r="F77" s="136"/>
      <c r="G77" s="133">
        <v>4</v>
      </c>
      <c r="H77" s="133">
        <v>3</v>
      </c>
      <c r="I77" s="133"/>
      <c r="J77" s="133"/>
      <c r="K77" s="320"/>
      <c r="L77" s="128"/>
      <c r="M77" s="227"/>
      <c r="N77" s="227"/>
      <c r="O77" s="227"/>
      <c r="P77" s="227"/>
      <c r="Q77" s="227"/>
      <c r="R77" s="227"/>
      <c r="S77" s="227"/>
      <c r="T77" s="227"/>
      <c r="U77" s="227"/>
      <c r="V77" s="227"/>
      <c r="W77" s="227"/>
      <c r="X77" s="227"/>
      <c r="Y77" s="227"/>
      <c r="Z77" s="227"/>
      <c r="AA77">
        <f>IF(AND('7 Dev'!C77&gt;Tmin, NOT('7 Dev'!$I77="")),'7 Dev'!$I77,0)</f>
        <v>0</v>
      </c>
      <c r="AB77">
        <f>IF(AND('7 Dev'!D77&gt;Tmin, NOT('7 Dev'!$I77="")),'7 Dev'!$I77,0)</f>
        <v>0</v>
      </c>
      <c r="AC77">
        <f>IF(AND('7 Dev'!E77&gt;Tmin, NOT('7 Dev'!$I77="")),'7 Dev'!$I77,0)</f>
        <v>0</v>
      </c>
      <c r="AD77">
        <f>IF(AND('7 Dev'!F77&gt;Tmin, NOT('7 Dev'!$I77="")),'7 Dev'!$I77,0)</f>
        <v>0</v>
      </c>
      <c r="AE77">
        <f>IF(AND('7 Dev'!C77&lt;Tmax, NOT('7 Dev'!$H77="")),'7 Dev'!$H77,4)</f>
        <v>3</v>
      </c>
      <c r="AF77">
        <f>IF(AND('7 Dev'!D77&lt;Tmax, NOT('7 Dev'!$H77="")),'7 Dev'!$H77,4)</f>
        <v>3</v>
      </c>
      <c r="AG77">
        <f>IF(AND('7 Dev'!E77&lt;Tmax, NOT('7 Dev'!$H77="")),'7 Dev'!$H77,4)</f>
        <v>3</v>
      </c>
      <c r="AH77">
        <f>IF(AND('7 Dev'!F77&lt;Tmax, NOT('7 Dev'!$H77="")),'7 Dev'!$H77,4)</f>
        <v>3</v>
      </c>
      <c r="AI77"/>
    </row>
    <row r="78" spans="1:255" s="213" customFormat="1" ht="20.399999999999999" x14ac:dyDescent="0.25">
      <c r="A78" s="164" t="s">
        <v>6744</v>
      </c>
      <c r="B78" s="164" t="s">
        <v>6739</v>
      </c>
      <c r="C78" s="136"/>
      <c r="D78" s="136"/>
      <c r="E78" s="136"/>
      <c r="F78" s="136"/>
      <c r="G78" s="133">
        <v>4</v>
      </c>
      <c r="H78" s="133">
        <v>3</v>
      </c>
      <c r="I78" s="133"/>
      <c r="J78" s="133"/>
      <c r="K78" s="320"/>
      <c r="L78" s="128"/>
      <c r="M78" s="227"/>
      <c r="N78" s="227"/>
      <c r="O78" s="227"/>
      <c r="P78" s="227"/>
      <c r="Q78" s="227"/>
      <c r="R78" s="227"/>
      <c r="S78" s="227"/>
      <c r="T78" s="227"/>
      <c r="U78" s="227"/>
      <c r="V78" s="227"/>
      <c r="W78" s="227"/>
      <c r="X78" s="227"/>
      <c r="Y78" s="227"/>
      <c r="Z78" s="227"/>
      <c r="AA78">
        <f>IF(AND('7 Dev'!C78&gt;Tmin, NOT('7 Dev'!$I78="")),'7 Dev'!$I78,0)</f>
        <v>0</v>
      </c>
      <c r="AB78">
        <f>IF(AND('7 Dev'!D78&gt;Tmin, NOT('7 Dev'!$I78="")),'7 Dev'!$I78,0)</f>
        <v>0</v>
      </c>
      <c r="AC78">
        <f>IF(AND('7 Dev'!E78&gt;Tmin, NOT('7 Dev'!$I78="")),'7 Dev'!$I78,0)</f>
        <v>0</v>
      </c>
      <c r="AD78">
        <f>IF(AND('7 Dev'!F78&gt;Tmin, NOT('7 Dev'!$I78="")),'7 Dev'!$I78,0)</f>
        <v>0</v>
      </c>
      <c r="AE78">
        <f>IF(AND('7 Dev'!C78&lt;Tmax, NOT('7 Dev'!$H78="")),'7 Dev'!$H78,4)</f>
        <v>3</v>
      </c>
      <c r="AF78">
        <f>IF(AND('7 Dev'!D78&lt;Tmax, NOT('7 Dev'!$H78="")),'7 Dev'!$H78,4)</f>
        <v>3</v>
      </c>
      <c r="AG78">
        <f>IF(AND('7 Dev'!E78&lt;Tmax, NOT('7 Dev'!$H78="")),'7 Dev'!$H78,4)</f>
        <v>3</v>
      </c>
      <c r="AH78">
        <f>IF(AND('7 Dev'!F78&lt;Tmax, NOT('7 Dev'!$H78="")),'7 Dev'!$H78,4)</f>
        <v>3</v>
      </c>
      <c r="AI78"/>
    </row>
    <row r="79" spans="1:255" s="213" customFormat="1" ht="20.399999999999999" x14ac:dyDescent="0.25">
      <c r="A79" s="164" t="s">
        <v>6745</v>
      </c>
      <c r="B79" s="164" t="s">
        <v>6740</v>
      </c>
      <c r="C79" s="136"/>
      <c r="D79" s="136"/>
      <c r="E79" s="136"/>
      <c r="F79" s="136"/>
      <c r="G79" s="133">
        <v>4</v>
      </c>
      <c r="H79" s="133">
        <v>3</v>
      </c>
      <c r="I79" s="133"/>
      <c r="J79" s="133"/>
      <c r="K79" s="320"/>
      <c r="L79" s="128"/>
      <c r="M79" s="227"/>
      <c r="N79" s="227"/>
      <c r="O79" s="227"/>
      <c r="P79" s="227"/>
      <c r="Q79" s="227"/>
      <c r="R79" s="227"/>
      <c r="S79" s="227"/>
      <c r="T79" s="227"/>
      <c r="U79" s="227"/>
      <c r="V79" s="227"/>
      <c r="W79" s="227"/>
      <c r="X79" s="227"/>
      <c r="Y79" s="227"/>
      <c r="Z79" s="227"/>
      <c r="AA79">
        <f>IF(AND('7 Dev'!C79&gt;Tmin, NOT('7 Dev'!$I79="")),'7 Dev'!$I79,0)</f>
        <v>0</v>
      </c>
      <c r="AB79">
        <f>IF(AND('7 Dev'!D79&gt;Tmin, NOT('7 Dev'!$I79="")),'7 Dev'!$I79,0)</f>
        <v>0</v>
      </c>
      <c r="AC79">
        <f>IF(AND('7 Dev'!E79&gt;Tmin, NOT('7 Dev'!$I79="")),'7 Dev'!$I79,0)</f>
        <v>0</v>
      </c>
      <c r="AD79">
        <f>IF(AND('7 Dev'!F79&gt;Tmin, NOT('7 Dev'!$I79="")),'7 Dev'!$I79,0)</f>
        <v>0</v>
      </c>
      <c r="AE79">
        <f>IF(AND('7 Dev'!C79&lt;Tmax, NOT('7 Dev'!$H79="")),'7 Dev'!$H79,4)</f>
        <v>3</v>
      </c>
      <c r="AF79">
        <f>IF(AND('7 Dev'!D79&lt;Tmax, NOT('7 Dev'!$H79="")),'7 Dev'!$H79,4)</f>
        <v>3</v>
      </c>
      <c r="AG79">
        <f>IF(AND('7 Dev'!E79&lt;Tmax, NOT('7 Dev'!$H79="")),'7 Dev'!$H79,4)</f>
        <v>3</v>
      </c>
      <c r="AH79">
        <f>IF(AND('7 Dev'!F79&lt;Tmax, NOT('7 Dev'!$H79="")),'7 Dev'!$H79,4)</f>
        <v>3</v>
      </c>
      <c r="AI79"/>
    </row>
    <row r="80" spans="1:255" s="213" customFormat="1" x14ac:dyDescent="0.25">
      <c r="A80" s="164" t="s">
        <v>6746</v>
      </c>
      <c r="B80" s="164" t="s">
        <v>6780</v>
      </c>
      <c r="C80" s="136"/>
      <c r="D80" s="136"/>
      <c r="E80" s="136"/>
      <c r="F80" s="136"/>
      <c r="G80" s="133">
        <v>4</v>
      </c>
      <c r="H80" s="133">
        <v>3</v>
      </c>
      <c r="I80" s="133"/>
      <c r="J80" s="133"/>
      <c r="K80" s="320"/>
      <c r="L80" s="128"/>
      <c r="M80" s="227"/>
      <c r="N80" s="227"/>
      <c r="O80" s="227"/>
      <c r="P80" s="227"/>
      <c r="Q80" s="227"/>
      <c r="R80" s="227"/>
      <c r="S80" s="227"/>
      <c r="T80" s="227"/>
      <c r="U80" s="227"/>
      <c r="V80" s="227"/>
      <c r="W80" s="227"/>
      <c r="X80" s="227"/>
      <c r="Y80" s="227"/>
      <c r="Z80" s="227"/>
      <c r="AA80">
        <f>IF(AND('7 Dev'!C80&gt;Tmin, NOT('7 Dev'!$I80="")),'7 Dev'!$I80,0)</f>
        <v>0</v>
      </c>
      <c r="AB80">
        <f>IF(AND('7 Dev'!D80&gt;Tmin, NOT('7 Dev'!$I80="")),'7 Dev'!$I80,0)</f>
        <v>0</v>
      </c>
      <c r="AC80">
        <f>IF(AND('7 Dev'!E80&gt;Tmin, NOT('7 Dev'!$I80="")),'7 Dev'!$I80,0)</f>
        <v>0</v>
      </c>
      <c r="AD80">
        <f>IF(AND('7 Dev'!F80&gt;Tmin, NOT('7 Dev'!$I80="")),'7 Dev'!$I80,0)</f>
        <v>0</v>
      </c>
      <c r="AE80">
        <f>IF(AND('7 Dev'!C80&lt;Tmax, NOT('7 Dev'!$H80="")),'7 Dev'!$H80,4)</f>
        <v>3</v>
      </c>
      <c r="AF80">
        <f>IF(AND('7 Dev'!D80&lt;Tmax, NOT('7 Dev'!$H80="")),'7 Dev'!$H80,4)</f>
        <v>3</v>
      </c>
      <c r="AG80">
        <f>IF(AND('7 Dev'!E80&lt;Tmax, NOT('7 Dev'!$H80="")),'7 Dev'!$H80,4)</f>
        <v>3</v>
      </c>
      <c r="AH80">
        <f>IF(AND('7 Dev'!F80&lt;Tmax, NOT('7 Dev'!$H80="")),'7 Dev'!$H80,4)</f>
        <v>3</v>
      </c>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sheetData>
  <sheetProtection sheet="1" objects="1" scenarios="1" formatCells="0" formatColumns="0" formatRows="0"/>
  <mergeCells count="1">
    <mergeCell ref="A1:B1"/>
  </mergeCells>
  <phoneticPr fontId="6" type="noConversion"/>
  <conditionalFormatting sqref="L47:L52 L55 L73:L80">
    <cfRule type="expression" dxfId="109" priority="114" stopIfTrue="1">
      <formula>AND(NOT($K47=""),$K$1=1)</formula>
    </cfRule>
  </conditionalFormatting>
  <conditionalFormatting sqref="L67:L71">
    <cfRule type="expression" dxfId="108" priority="112" stopIfTrue="1">
      <formula>AND(NOT($K67=""),$K$1=1)</formula>
    </cfRule>
  </conditionalFormatting>
  <conditionalFormatting sqref="A5:J5">
    <cfRule type="expression" dxfId="107" priority="4">
      <formula>AND(NOT($J5=""),$J$1=1)</formula>
    </cfRule>
    <cfRule type="expression" dxfId="106" priority="6">
      <formula>LEN($A5)=2</formula>
    </cfRule>
  </conditionalFormatting>
  <conditionalFormatting sqref="A5:J5">
    <cfRule type="expression" dxfId="105" priority="5">
      <formula>LEN($A5)=4</formula>
    </cfRule>
  </conditionalFormatting>
  <conditionalFormatting sqref="A6:J19 A21:J80 C20:J20">
    <cfRule type="expression" dxfId="104" priority="1">
      <formula>AND(NOT($J6=""),$J$1=1)</formula>
    </cfRule>
    <cfRule type="expression" dxfId="103" priority="3">
      <formula>LEN($A6)=2</formula>
    </cfRule>
  </conditionalFormatting>
  <conditionalFormatting sqref="A6:J19 A21:J80 C20:J20">
    <cfRule type="expression" dxfId="102" priority="2">
      <formula>LEN($A6)=4</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headerFooter alignWithMargins="0">
    <oddHeader>&amp;C&amp;"Times New Roman,Normal"&amp;12&amp;A</oddHeader>
    <oddFooter>&amp;C&amp;"Times New Roman,Normal"&amp;12Page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tabColor rgb="FFFF0000"/>
  </sheetPr>
  <dimension ref="A1:AI407"/>
  <sheetViews>
    <sheetView topLeftCell="B1" zoomScale="115" zoomScaleNormal="115" workbookViewId="0">
      <selection activeCell="C12" sqref="C12"/>
    </sheetView>
  </sheetViews>
  <sheetFormatPr baseColWidth="10" defaultColWidth="11.5546875" defaultRowHeight="13.2" x14ac:dyDescent="0.25"/>
  <cols>
    <col min="1" max="1" width="8.44140625" style="518" customWidth="1"/>
    <col min="2" max="2" width="83.6640625" style="320" customWidth="1"/>
    <col min="3" max="6" width="4.109375" style="320" customWidth="1"/>
    <col min="7" max="7" width="4.44140625" style="336" customWidth="1"/>
    <col min="8" max="8" width="4.109375" style="336" customWidth="1"/>
    <col min="9" max="9" width="4.5546875" style="336" customWidth="1"/>
    <col min="10" max="10" width="13.44140625" style="320" customWidth="1"/>
    <col min="11" max="11" width="23.44140625" style="320" customWidth="1"/>
    <col min="12" max="25" width="11.5546875" style="320"/>
    <col min="26" max="26" width="2.88671875" style="320" customWidth="1"/>
    <col min="27" max="34" width="4" style="320" hidden="1" customWidth="1"/>
    <col min="35" max="35" width="4" style="320" customWidth="1"/>
    <col min="36" max="16384" width="11.5546875" style="320"/>
  </cols>
  <sheetData>
    <row r="1" spans="1:35" s="326" customFormat="1" ht="15.6" x14ac:dyDescent="0.25">
      <c r="A1" s="1278" t="s">
        <v>6683</v>
      </c>
      <c r="B1" s="1278"/>
      <c r="C1" s="1098">
        <v>1</v>
      </c>
      <c r="D1" s="1099" t="str">
        <f>"variante"&amp;IF(C1&gt;1,"s","")</f>
        <v>variante</v>
      </c>
      <c r="E1" s="1098"/>
      <c r="F1" s="1098"/>
      <c r="G1" s="1137"/>
      <c r="H1" s="1137"/>
      <c r="I1" s="1137"/>
      <c r="J1" s="1098">
        <f>'Score ISO'!E2</f>
        <v>1</v>
      </c>
    </row>
    <row r="2" spans="1:35" s="326" customFormat="1" x14ac:dyDescent="0.25">
      <c r="A2" s="519" t="s">
        <v>523</v>
      </c>
      <c r="B2" s="324" t="s">
        <v>399</v>
      </c>
      <c r="C2" s="1100" t="s">
        <v>400</v>
      </c>
      <c r="D2" s="1100" t="s">
        <v>401</v>
      </c>
      <c r="E2" s="1100" t="s">
        <v>402</v>
      </c>
      <c r="F2" s="1100" t="s">
        <v>403</v>
      </c>
      <c r="G2" s="325" t="s">
        <v>569</v>
      </c>
      <c r="H2" s="325" t="s">
        <v>404</v>
      </c>
      <c r="I2" s="325" t="s">
        <v>479</v>
      </c>
      <c r="J2" s="1135" t="s">
        <v>6846</v>
      </c>
      <c r="K2" s="522" t="s">
        <v>405</v>
      </c>
      <c r="AA2" s="523" t="s">
        <v>1409</v>
      </c>
      <c r="AB2" s="523" t="s">
        <v>1410</v>
      </c>
      <c r="AC2" s="523" t="s">
        <v>1411</v>
      </c>
      <c r="AD2" s="523" t="s">
        <v>1412</v>
      </c>
      <c r="AE2" s="523" t="s">
        <v>1413</v>
      </c>
      <c r="AF2" s="523" t="s">
        <v>1414</v>
      </c>
      <c r="AG2" s="523" t="s">
        <v>1415</v>
      </c>
      <c r="AH2" s="523" t="s">
        <v>1416</v>
      </c>
    </row>
    <row r="3" spans="1:35" x14ac:dyDescent="0.25">
      <c r="A3" s="520" t="s">
        <v>1595</v>
      </c>
      <c r="B3" s="321" t="s">
        <v>1405</v>
      </c>
      <c r="C3" s="321"/>
      <c r="D3" s="135"/>
      <c r="E3" s="135"/>
      <c r="F3" s="135"/>
      <c r="G3" s="133"/>
      <c r="H3" s="133"/>
      <c r="I3" s="133"/>
      <c r="J3" s="336"/>
      <c r="AA3" s="135"/>
      <c r="AB3" s="303"/>
      <c r="AC3" s="213"/>
      <c r="AD3" s="213"/>
      <c r="AE3" s="213"/>
      <c r="AF3" s="213"/>
      <c r="AG3" s="213"/>
      <c r="AH3" s="213"/>
    </row>
    <row r="4" spans="1:35" s="326" customFormat="1" x14ac:dyDescent="0.25">
      <c r="A4" s="521" t="s">
        <v>797</v>
      </c>
      <c r="B4" s="128" t="s">
        <v>4539</v>
      </c>
      <c r="C4" s="1182"/>
      <c r="D4" s="1183"/>
      <c r="E4" s="1183"/>
      <c r="F4" s="1183"/>
      <c r="G4" s="337"/>
      <c r="H4" s="337"/>
      <c r="I4" s="337"/>
      <c r="J4" s="1149"/>
      <c r="AA4"/>
      <c r="AB4"/>
      <c r="AC4"/>
      <c r="AD4"/>
      <c r="AE4"/>
      <c r="AF4"/>
      <c r="AG4"/>
      <c r="AH4"/>
      <c r="AI4"/>
    </row>
    <row r="5" spans="1:35" ht="20.399999999999999" x14ac:dyDescent="0.25">
      <c r="A5" s="164" t="s">
        <v>1571</v>
      </c>
      <c r="B5" s="164" t="s">
        <v>7277</v>
      </c>
      <c r="C5" s="136">
        <v>0</v>
      </c>
      <c r="D5" s="136"/>
      <c r="E5" s="136"/>
      <c r="F5" s="136"/>
      <c r="G5" s="133">
        <v>2</v>
      </c>
      <c r="H5" s="133"/>
      <c r="I5" s="133"/>
      <c r="J5" s="133" t="s">
        <v>7027</v>
      </c>
      <c r="K5" s="135" t="s">
        <v>7519</v>
      </c>
      <c r="AA5">
        <f>IF(AND('8 Cex'!C5&gt;Tmin, NOT('8 Cex'!$I5="")),'8 Cex'!$I5,0)</f>
        <v>0</v>
      </c>
      <c r="AB5">
        <f>IF(AND('8 Cex'!D5&gt;Tmin, NOT('8 Cex'!$I5="")),'8 Cex'!$I5,0)</f>
        <v>0</v>
      </c>
      <c r="AC5">
        <f>IF(AND('8 Cex'!E5&gt;Tmin, NOT('8 Cex'!$I5="")),'8 Cex'!$I5,0)</f>
        <v>0</v>
      </c>
      <c r="AD5">
        <f>IF(AND('8 Cex'!F5&gt;Tmin, NOT('8 Cex'!$I5="")),'8 Cex'!$I5,0)</f>
        <v>0</v>
      </c>
      <c r="AE5">
        <f>IF(AND('8 Cex'!C5&lt;Tmax, NOT('8 Cex'!$H5="")),'8 Cex'!$H5,4)</f>
        <v>4</v>
      </c>
      <c r="AF5">
        <f>IF(AND('8 Cex'!D5&lt;Tmax, NOT('8 Cex'!$H5="")),'8 Cex'!$H5,4)</f>
        <v>4</v>
      </c>
      <c r="AG5">
        <f>IF(AND('8 Cex'!E5&lt;Tmax, NOT('8 Cex'!$H5="")),'8 Cex'!$H5,4)</f>
        <v>4</v>
      </c>
      <c r="AH5">
        <f>IF(AND('8 Cex'!F5&lt;Tmax, NOT('8 Cex'!$H5="")),'8 Cex'!$H5,4)</f>
        <v>4</v>
      </c>
      <c r="AI5"/>
    </row>
    <row r="6" spans="1:35" ht="20.399999999999999" x14ac:dyDescent="0.25">
      <c r="A6" s="164" t="s">
        <v>1572</v>
      </c>
      <c r="B6" s="164" t="s">
        <v>7278</v>
      </c>
      <c r="C6" s="136">
        <v>0</v>
      </c>
      <c r="D6" s="136"/>
      <c r="E6" s="136"/>
      <c r="F6" s="136"/>
      <c r="G6" s="133">
        <v>4</v>
      </c>
      <c r="H6" s="133"/>
      <c r="I6" s="133"/>
      <c r="J6" s="133" t="s">
        <v>7027</v>
      </c>
      <c r="K6" s="135" t="s">
        <v>7494</v>
      </c>
      <c r="AA6">
        <f>IF(AND('8 Cex'!C6&gt;Tmin, NOT('8 Cex'!$I6="")),'8 Cex'!$I6,0)</f>
        <v>0</v>
      </c>
      <c r="AB6">
        <f>IF(AND('8 Cex'!D6&gt;Tmin, NOT('8 Cex'!$I6="")),'8 Cex'!$I6,0)</f>
        <v>0</v>
      </c>
      <c r="AC6">
        <f>IF(AND('8 Cex'!E6&gt;Tmin, NOT('8 Cex'!$I6="")),'8 Cex'!$I6,0)</f>
        <v>0</v>
      </c>
      <c r="AD6">
        <f>IF(AND('8 Cex'!F6&gt;Tmin, NOT('8 Cex'!$I6="")),'8 Cex'!$I6,0)</f>
        <v>0</v>
      </c>
      <c r="AE6">
        <f>IF(AND('8 Cex'!C6&lt;Tmax, NOT('8 Cex'!$H6="")),'8 Cex'!$H6,4)</f>
        <v>4</v>
      </c>
      <c r="AF6">
        <f>IF(AND('8 Cex'!D6&lt;Tmax, NOT('8 Cex'!$H6="")),'8 Cex'!$H6,4)</f>
        <v>4</v>
      </c>
      <c r="AG6">
        <f>IF(AND('8 Cex'!E6&lt;Tmax, NOT('8 Cex'!$H6="")),'8 Cex'!$H6,4)</f>
        <v>4</v>
      </c>
      <c r="AH6">
        <f>IF(AND('8 Cex'!F6&lt;Tmax, NOT('8 Cex'!$H6="")),'8 Cex'!$H6,4)</f>
        <v>4</v>
      </c>
      <c r="AI6"/>
    </row>
    <row r="7" spans="1:35" ht="30.6" x14ac:dyDescent="0.25">
      <c r="A7" s="164" t="s">
        <v>1574</v>
      </c>
      <c r="B7" s="164" t="s">
        <v>7279</v>
      </c>
      <c r="C7" s="136">
        <v>0</v>
      </c>
      <c r="D7" s="136"/>
      <c r="E7" s="136"/>
      <c r="F7" s="136"/>
      <c r="G7" s="133">
        <v>2</v>
      </c>
      <c r="H7" s="133"/>
      <c r="I7" s="133"/>
      <c r="J7" s="133" t="s">
        <v>7030</v>
      </c>
      <c r="K7" s="135" t="s">
        <v>7533</v>
      </c>
      <c r="AA7">
        <f>IF(AND('8 Cex'!C7&gt;Tmin, NOT('8 Cex'!$I7="")),'8 Cex'!$I7,0)</f>
        <v>0</v>
      </c>
      <c r="AB7">
        <f>IF(AND('8 Cex'!D7&gt;Tmin, NOT('8 Cex'!$I7="")),'8 Cex'!$I7,0)</f>
        <v>0</v>
      </c>
      <c r="AC7">
        <f>IF(AND('8 Cex'!E7&gt;Tmin, NOT('8 Cex'!$I7="")),'8 Cex'!$I7,0)</f>
        <v>0</v>
      </c>
      <c r="AD7">
        <f>IF(AND('8 Cex'!F7&gt;Tmin, NOT('8 Cex'!$I7="")),'8 Cex'!$I7,0)</f>
        <v>0</v>
      </c>
      <c r="AE7">
        <f>IF(AND('8 Cex'!C7&lt;Tmax, NOT('8 Cex'!$H7="")),'8 Cex'!$H7,4)</f>
        <v>4</v>
      </c>
      <c r="AF7">
        <f>IF(AND('8 Cex'!D7&lt;Tmax, NOT('8 Cex'!$H7="")),'8 Cex'!$H7,4)</f>
        <v>4</v>
      </c>
      <c r="AG7">
        <f>IF(AND('8 Cex'!E7&lt;Tmax, NOT('8 Cex'!$H7="")),'8 Cex'!$H7,4)</f>
        <v>4</v>
      </c>
      <c r="AH7">
        <f>IF(AND('8 Cex'!F7&lt;Tmax, NOT('8 Cex'!$H7="")),'8 Cex'!$H7,4)</f>
        <v>4</v>
      </c>
      <c r="AI7"/>
    </row>
    <row r="8" spans="1:35" x14ac:dyDescent="0.25">
      <c r="A8" s="164" t="s">
        <v>1576</v>
      </c>
      <c r="B8" s="164" t="s">
        <v>7280</v>
      </c>
      <c r="C8" s="136">
        <v>0</v>
      </c>
      <c r="D8" s="136"/>
      <c r="E8" s="136"/>
      <c r="F8" s="136"/>
      <c r="G8" s="133">
        <v>2</v>
      </c>
      <c r="H8" s="133"/>
      <c r="I8" s="133"/>
      <c r="J8" s="133" t="s">
        <v>7031</v>
      </c>
      <c r="K8" s="135" t="s">
        <v>7494</v>
      </c>
      <c r="AA8">
        <f>IF(AND('8 Cex'!C8&gt;Tmin, NOT('8 Cex'!$I8="")),'8 Cex'!$I8,0)</f>
        <v>0</v>
      </c>
      <c r="AB8">
        <f>IF(AND('8 Cex'!D8&gt;Tmin, NOT('8 Cex'!$I8="")),'8 Cex'!$I8,0)</f>
        <v>0</v>
      </c>
      <c r="AC8">
        <f>IF(AND('8 Cex'!E8&gt;Tmin, NOT('8 Cex'!$I8="")),'8 Cex'!$I8,0)</f>
        <v>0</v>
      </c>
      <c r="AD8">
        <f>IF(AND('8 Cex'!F8&gt;Tmin, NOT('8 Cex'!$I8="")),'8 Cex'!$I8,0)</f>
        <v>0</v>
      </c>
      <c r="AE8">
        <f>IF(AND('8 Cex'!C8&lt;Tmax, NOT('8 Cex'!$H8="")),'8 Cex'!$H8,4)</f>
        <v>4</v>
      </c>
      <c r="AF8">
        <f>IF(AND('8 Cex'!D8&lt;Tmax, NOT('8 Cex'!$H8="")),'8 Cex'!$H8,4)</f>
        <v>4</v>
      </c>
      <c r="AG8">
        <f>IF(AND('8 Cex'!E8&lt;Tmax, NOT('8 Cex'!$H8="")),'8 Cex'!$H8,4)</f>
        <v>4</v>
      </c>
      <c r="AH8">
        <f>IF(AND('8 Cex'!F8&lt;Tmax, NOT('8 Cex'!$H8="")),'8 Cex'!$H8,4)</f>
        <v>4</v>
      </c>
      <c r="AI8"/>
    </row>
    <row r="9" spans="1:35" ht="40.799999999999997" x14ac:dyDescent="0.25">
      <c r="A9" s="164" t="s">
        <v>4542</v>
      </c>
      <c r="B9" s="164" t="s">
        <v>7281</v>
      </c>
      <c r="C9" s="136">
        <v>0</v>
      </c>
      <c r="D9" s="136"/>
      <c r="E9" s="136"/>
      <c r="F9" s="136"/>
      <c r="G9" s="133">
        <v>2</v>
      </c>
      <c r="H9" s="133"/>
      <c r="I9" s="133"/>
      <c r="J9" s="133" t="s">
        <v>7032</v>
      </c>
      <c r="K9" s="135" t="s">
        <v>7534</v>
      </c>
      <c r="AA9">
        <f>IF(AND('8 Cex'!C9&gt;Tmin, NOT('8 Cex'!$I9="")),'8 Cex'!$I9,0)</f>
        <v>0</v>
      </c>
      <c r="AB9">
        <f>IF(AND('8 Cex'!D9&gt;Tmin, NOT('8 Cex'!$I9="")),'8 Cex'!$I9,0)</f>
        <v>0</v>
      </c>
      <c r="AC9">
        <f>IF(AND('8 Cex'!E9&gt;Tmin, NOT('8 Cex'!$I9="")),'8 Cex'!$I9,0)</f>
        <v>0</v>
      </c>
      <c r="AD9">
        <f>IF(AND('8 Cex'!F9&gt;Tmin, NOT('8 Cex'!$I9="")),'8 Cex'!$I9,0)</f>
        <v>0</v>
      </c>
      <c r="AE9">
        <f>IF(AND('8 Cex'!C9&lt;Tmax, NOT('8 Cex'!$H9="")),'8 Cex'!$H9,4)</f>
        <v>4</v>
      </c>
      <c r="AF9">
        <f>IF(AND('8 Cex'!D9&lt;Tmax, NOT('8 Cex'!$H9="")),'8 Cex'!$H9,4)</f>
        <v>4</v>
      </c>
      <c r="AG9">
        <f>IF(AND('8 Cex'!E9&lt;Tmax, NOT('8 Cex'!$H9="")),'8 Cex'!$H9,4)</f>
        <v>4</v>
      </c>
      <c r="AH9">
        <f>IF(AND('8 Cex'!F9&lt;Tmax, NOT('8 Cex'!$H9="")),'8 Cex'!$H9,4)</f>
        <v>4</v>
      </c>
      <c r="AI9"/>
    </row>
    <row r="10" spans="1:35" x14ac:dyDescent="0.25">
      <c r="A10" s="164" t="s">
        <v>4543</v>
      </c>
      <c r="B10" s="164" t="s">
        <v>7282</v>
      </c>
      <c r="C10" s="136">
        <v>0</v>
      </c>
      <c r="D10" s="136"/>
      <c r="E10" s="136"/>
      <c r="F10" s="136"/>
      <c r="G10" s="133">
        <v>3</v>
      </c>
      <c r="H10" s="133"/>
      <c r="I10" s="133"/>
      <c r="J10" s="133" t="s">
        <v>7027</v>
      </c>
      <c r="K10" s="135" t="s">
        <v>7494</v>
      </c>
      <c r="AA10">
        <f>IF(AND('8 Cex'!C10&gt;Tmin, NOT('8 Cex'!$I10="")),'8 Cex'!$I10,0)</f>
        <v>0</v>
      </c>
      <c r="AB10">
        <f>IF(AND('8 Cex'!D10&gt;Tmin, NOT('8 Cex'!$I10="")),'8 Cex'!$I10,0)</f>
        <v>0</v>
      </c>
      <c r="AC10">
        <f>IF(AND('8 Cex'!E10&gt;Tmin, NOT('8 Cex'!$I10="")),'8 Cex'!$I10,0)</f>
        <v>0</v>
      </c>
      <c r="AD10">
        <f>IF(AND('8 Cex'!F10&gt;Tmin, NOT('8 Cex'!$I10="")),'8 Cex'!$I10,0)</f>
        <v>0</v>
      </c>
      <c r="AE10">
        <f>IF(AND('8 Cex'!C10&lt;Tmax, NOT('8 Cex'!$H10="")),'8 Cex'!$H10,4)</f>
        <v>4</v>
      </c>
      <c r="AF10">
        <f>IF(AND('8 Cex'!D10&lt;Tmax, NOT('8 Cex'!$H10="")),'8 Cex'!$H10,4)</f>
        <v>4</v>
      </c>
      <c r="AG10">
        <f>IF(AND('8 Cex'!E10&lt;Tmax, NOT('8 Cex'!$H10="")),'8 Cex'!$H10,4)</f>
        <v>4</v>
      </c>
      <c r="AH10">
        <f>IF(AND('8 Cex'!F10&lt;Tmax, NOT('8 Cex'!$H10="")),'8 Cex'!$H10,4)</f>
        <v>4</v>
      </c>
      <c r="AI10"/>
    </row>
    <row r="11" spans="1:35" ht="20.399999999999999" x14ac:dyDescent="0.25">
      <c r="A11" s="164" t="s">
        <v>4544</v>
      </c>
      <c r="B11" s="164" t="s">
        <v>1575</v>
      </c>
      <c r="C11" s="136">
        <v>0</v>
      </c>
      <c r="D11" s="136"/>
      <c r="E11" s="136"/>
      <c r="F11" s="136"/>
      <c r="G11" s="133">
        <v>2</v>
      </c>
      <c r="H11" s="133"/>
      <c r="I11" s="133"/>
      <c r="J11" s="133"/>
      <c r="K11" s="135" t="s">
        <v>7535</v>
      </c>
      <c r="AA11">
        <f>IF(AND('8 Cex'!C11&gt;Tmin, NOT('8 Cex'!$I11="")),'8 Cex'!$I11,0)</f>
        <v>0</v>
      </c>
      <c r="AB11">
        <f>IF(AND('8 Cex'!D11&gt;Tmin, NOT('8 Cex'!$I11="")),'8 Cex'!$I11,0)</f>
        <v>0</v>
      </c>
      <c r="AC11">
        <f>IF(AND('8 Cex'!E11&gt;Tmin, NOT('8 Cex'!$I11="")),'8 Cex'!$I11,0)</f>
        <v>0</v>
      </c>
      <c r="AD11">
        <f>IF(AND('8 Cex'!F11&gt;Tmin, NOT('8 Cex'!$I11="")),'8 Cex'!$I11,0)</f>
        <v>0</v>
      </c>
      <c r="AE11">
        <f>IF(AND('8 Cex'!C11&lt;Tmax, NOT('8 Cex'!$H11="")),'8 Cex'!$H11,4)</f>
        <v>4</v>
      </c>
      <c r="AF11">
        <f>IF(AND('8 Cex'!D11&lt;Tmax, NOT('8 Cex'!$H11="")),'8 Cex'!$H11,4)</f>
        <v>4</v>
      </c>
      <c r="AG11">
        <f>IF(AND('8 Cex'!E11&lt;Tmax, NOT('8 Cex'!$H11="")),'8 Cex'!$H11,4)</f>
        <v>4</v>
      </c>
      <c r="AH11">
        <f>IF(AND('8 Cex'!F11&lt;Tmax, NOT('8 Cex'!$H11="")),'8 Cex'!$H11,4)</f>
        <v>4</v>
      </c>
      <c r="AI11"/>
    </row>
    <row r="12" spans="1:35" s="213" customFormat="1" x14ac:dyDescent="0.25">
      <c r="A12" s="164" t="s">
        <v>4545</v>
      </c>
      <c r="B12" s="164" t="s">
        <v>2093</v>
      </c>
      <c r="C12" s="136">
        <v>0</v>
      </c>
      <c r="D12" s="136"/>
      <c r="E12" s="136"/>
      <c r="F12" s="136"/>
      <c r="G12" s="133">
        <v>2</v>
      </c>
      <c r="H12" s="133"/>
      <c r="I12" s="133"/>
      <c r="J12" s="133"/>
      <c r="K12" s="135" t="s">
        <v>7519</v>
      </c>
      <c r="L12" s="128"/>
      <c r="M12" s="227"/>
      <c r="N12" s="227"/>
      <c r="O12" s="227"/>
      <c r="P12" s="227"/>
      <c r="Q12" s="227"/>
      <c r="R12" s="227"/>
      <c r="S12" s="227"/>
      <c r="T12" s="227"/>
      <c r="U12" s="227"/>
      <c r="V12" s="227"/>
      <c r="W12" s="227"/>
      <c r="X12" s="227"/>
      <c r="Y12" s="227"/>
      <c r="Z12" s="227"/>
      <c r="AA12">
        <f>IF(AND('8 Cex'!C12&gt;Tmin, NOT('8 Cex'!$I12="")),'8 Cex'!$I12,0)</f>
        <v>0</v>
      </c>
      <c r="AB12">
        <f>IF(AND('8 Cex'!D12&gt;Tmin, NOT('8 Cex'!$I12="")),'8 Cex'!$I12,0)</f>
        <v>0</v>
      </c>
      <c r="AC12">
        <f>IF(AND('8 Cex'!E12&gt;Tmin, NOT('8 Cex'!$I12="")),'8 Cex'!$I12,0)</f>
        <v>0</v>
      </c>
      <c r="AD12">
        <f>IF(AND('8 Cex'!F12&gt;Tmin, NOT('8 Cex'!$I12="")),'8 Cex'!$I12,0)</f>
        <v>0</v>
      </c>
      <c r="AE12">
        <f>IF(AND('8 Cex'!C12&lt;Tmax, NOT('8 Cex'!$H12="")),'8 Cex'!$H12,4)</f>
        <v>4</v>
      </c>
      <c r="AF12">
        <f>IF(AND('8 Cex'!D12&lt;Tmax, NOT('8 Cex'!$H12="")),'8 Cex'!$H12,4)</f>
        <v>4</v>
      </c>
      <c r="AG12">
        <f>IF(AND('8 Cex'!E12&lt;Tmax, NOT('8 Cex'!$H12="")),'8 Cex'!$H12,4)</f>
        <v>4</v>
      </c>
      <c r="AH12">
        <f>IF(AND('8 Cex'!F12&lt;Tmax, NOT('8 Cex'!$H12="")),'8 Cex'!$H12,4)</f>
        <v>4</v>
      </c>
      <c r="AI12"/>
    </row>
    <row r="13" spans="1:35" x14ac:dyDescent="0.25">
      <c r="A13" s="164" t="s">
        <v>4546</v>
      </c>
      <c r="B13" s="164" t="s">
        <v>2083</v>
      </c>
      <c r="C13" s="136">
        <v>0</v>
      </c>
      <c r="D13" s="136"/>
      <c r="E13" s="136"/>
      <c r="F13" s="136"/>
      <c r="G13" s="133">
        <v>2</v>
      </c>
      <c r="H13" s="133"/>
      <c r="I13" s="133"/>
      <c r="J13" s="133"/>
      <c r="K13" s="135" t="s">
        <v>7494</v>
      </c>
      <c r="AA13">
        <f>IF(AND('8 Cex'!C13&gt;Tmin, NOT('8 Cex'!$I13="")),'8 Cex'!$I13,0)</f>
        <v>0</v>
      </c>
      <c r="AB13">
        <f>IF(AND('8 Cex'!D13&gt;Tmin, NOT('8 Cex'!$I13="")),'8 Cex'!$I13,0)</f>
        <v>0</v>
      </c>
      <c r="AC13">
        <f>IF(AND('8 Cex'!E13&gt;Tmin, NOT('8 Cex'!$I13="")),'8 Cex'!$I13,0)</f>
        <v>0</v>
      </c>
      <c r="AD13">
        <f>IF(AND('8 Cex'!F13&gt;Tmin, NOT('8 Cex'!$I13="")),'8 Cex'!$I13,0)</f>
        <v>0</v>
      </c>
      <c r="AE13">
        <f>IF(AND('8 Cex'!C13&lt;Tmax, NOT('8 Cex'!$H13="")),'8 Cex'!$H13,4)</f>
        <v>4</v>
      </c>
      <c r="AF13">
        <f>IF(AND('8 Cex'!D13&lt;Tmax, NOT('8 Cex'!$H13="")),'8 Cex'!$H13,4)</f>
        <v>4</v>
      </c>
      <c r="AG13">
        <f>IF(AND('8 Cex'!E13&lt;Tmax, NOT('8 Cex'!$H13="")),'8 Cex'!$H13,4)</f>
        <v>4</v>
      </c>
      <c r="AH13">
        <f>IF(AND('8 Cex'!F13&lt;Tmax, NOT('8 Cex'!$H13="")),'8 Cex'!$H13,4)</f>
        <v>4</v>
      </c>
      <c r="AI13"/>
    </row>
    <row r="14" spans="1:35" ht="20.399999999999999" x14ac:dyDescent="0.25">
      <c r="A14" s="164" t="s">
        <v>4547</v>
      </c>
      <c r="B14" s="164" t="s">
        <v>7452</v>
      </c>
      <c r="C14" s="136">
        <v>0</v>
      </c>
      <c r="D14" s="136"/>
      <c r="E14" s="136"/>
      <c r="F14" s="136"/>
      <c r="G14" s="133">
        <v>4</v>
      </c>
      <c r="H14" s="133"/>
      <c r="I14" s="133"/>
      <c r="J14" s="133"/>
      <c r="K14" s="135" t="s">
        <v>7494</v>
      </c>
      <c r="AA14">
        <f>IF(AND('8 Cex'!C14&gt;Tmin, NOT('8 Cex'!$I14="")),'8 Cex'!$I14,0)</f>
        <v>0</v>
      </c>
      <c r="AB14">
        <f>IF(AND('8 Cex'!D14&gt;Tmin, NOT('8 Cex'!$I14="")),'8 Cex'!$I14,0)</f>
        <v>0</v>
      </c>
      <c r="AC14">
        <f>IF(AND('8 Cex'!E14&gt;Tmin, NOT('8 Cex'!$I14="")),'8 Cex'!$I14,0)</f>
        <v>0</v>
      </c>
      <c r="AD14">
        <f>IF(AND('8 Cex'!F14&gt;Tmin, NOT('8 Cex'!$I14="")),'8 Cex'!$I14,0)</f>
        <v>0</v>
      </c>
      <c r="AE14">
        <f>IF(AND('8 Cex'!C14&lt;Tmax, NOT('8 Cex'!$H14="")),'8 Cex'!$H14,4)</f>
        <v>4</v>
      </c>
      <c r="AF14">
        <f>IF(AND('8 Cex'!D14&lt;Tmax, NOT('8 Cex'!$H14="")),'8 Cex'!$H14,4)</f>
        <v>4</v>
      </c>
      <c r="AG14">
        <f>IF(AND('8 Cex'!E14&lt;Tmax, NOT('8 Cex'!$H14="")),'8 Cex'!$H14,4)</f>
        <v>4</v>
      </c>
      <c r="AH14">
        <f>IF(AND('8 Cex'!F14&lt;Tmax, NOT('8 Cex'!$H14="")),'8 Cex'!$H14,4)</f>
        <v>4</v>
      </c>
      <c r="AI14"/>
    </row>
    <row r="15" spans="1:35" ht="20.399999999999999" x14ac:dyDescent="0.25">
      <c r="A15" s="164" t="s">
        <v>4548</v>
      </c>
      <c r="B15" s="164" t="s">
        <v>2084</v>
      </c>
      <c r="C15" s="136">
        <v>0</v>
      </c>
      <c r="D15" s="136"/>
      <c r="E15" s="136"/>
      <c r="F15" s="136"/>
      <c r="G15" s="133">
        <v>4</v>
      </c>
      <c r="H15" s="133">
        <v>3</v>
      </c>
      <c r="I15" s="133"/>
      <c r="J15" s="133"/>
      <c r="K15" s="135" t="s">
        <v>7494</v>
      </c>
      <c r="AA15">
        <f>IF(AND('8 Cex'!C15&gt;Tmin, NOT('8 Cex'!$I15="")),'8 Cex'!$I15,0)</f>
        <v>0</v>
      </c>
      <c r="AB15">
        <f>IF(AND('8 Cex'!D15&gt;Tmin, NOT('8 Cex'!$I15="")),'8 Cex'!$I15,0)</f>
        <v>0</v>
      </c>
      <c r="AC15">
        <f>IF(AND('8 Cex'!E15&gt;Tmin, NOT('8 Cex'!$I15="")),'8 Cex'!$I15,0)</f>
        <v>0</v>
      </c>
      <c r="AD15">
        <f>IF(AND('8 Cex'!F15&gt;Tmin, NOT('8 Cex'!$I15="")),'8 Cex'!$I15,0)</f>
        <v>0</v>
      </c>
      <c r="AE15">
        <f>IF(AND('8 Cex'!C15&lt;Tmax, NOT('8 Cex'!$H15="")),'8 Cex'!$H15,4)</f>
        <v>3</v>
      </c>
      <c r="AF15">
        <f>IF(AND('8 Cex'!D15&lt;Tmax, NOT('8 Cex'!$H15="")),'8 Cex'!$H15,4)</f>
        <v>3</v>
      </c>
      <c r="AG15">
        <f>IF(AND('8 Cex'!E15&lt;Tmax, NOT('8 Cex'!$H15="")),'8 Cex'!$H15,4)</f>
        <v>3</v>
      </c>
      <c r="AH15">
        <f>IF(AND('8 Cex'!F15&lt;Tmax, NOT('8 Cex'!$H15="")),'8 Cex'!$H15,4)</f>
        <v>3</v>
      </c>
      <c r="AI15"/>
    </row>
    <row r="16" spans="1:35" ht="20.399999999999999" x14ac:dyDescent="0.25">
      <c r="A16" s="164" t="s">
        <v>7283</v>
      </c>
      <c r="B16" s="164" t="s">
        <v>2085</v>
      </c>
      <c r="C16" s="136">
        <v>0</v>
      </c>
      <c r="D16" s="136"/>
      <c r="E16" s="136"/>
      <c r="F16" s="136"/>
      <c r="G16" s="133">
        <v>2</v>
      </c>
      <c r="H16" s="133">
        <v>3</v>
      </c>
      <c r="I16" s="133"/>
      <c r="J16" s="133"/>
      <c r="K16" s="135" t="s">
        <v>7536</v>
      </c>
      <c r="AA16">
        <f>IF(AND('8 Cex'!C16&gt;Tmin, NOT('8 Cex'!$I16="")),'8 Cex'!$I16,0)</f>
        <v>0</v>
      </c>
      <c r="AB16">
        <f>IF(AND('8 Cex'!D16&gt;Tmin, NOT('8 Cex'!$I16="")),'8 Cex'!$I16,0)</f>
        <v>0</v>
      </c>
      <c r="AC16">
        <f>IF(AND('8 Cex'!E16&gt;Tmin, NOT('8 Cex'!$I16="")),'8 Cex'!$I16,0)</f>
        <v>0</v>
      </c>
      <c r="AD16">
        <f>IF(AND('8 Cex'!F16&gt;Tmin, NOT('8 Cex'!$I16="")),'8 Cex'!$I16,0)</f>
        <v>0</v>
      </c>
      <c r="AE16">
        <f>IF(AND('8 Cex'!C16&lt;Tmax, NOT('8 Cex'!$H16="")),'8 Cex'!$H16,4)</f>
        <v>3</v>
      </c>
      <c r="AF16">
        <f>IF(AND('8 Cex'!D16&lt;Tmax, NOT('8 Cex'!$H16="")),'8 Cex'!$H16,4)</f>
        <v>3</v>
      </c>
      <c r="AG16">
        <f>IF(AND('8 Cex'!E16&lt;Tmax, NOT('8 Cex'!$H16="")),'8 Cex'!$H16,4)</f>
        <v>3</v>
      </c>
      <c r="AH16">
        <f>IF(AND('8 Cex'!F16&lt;Tmax, NOT('8 Cex'!$H16="")),'8 Cex'!$H16,4)</f>
        <v>3</v>
      </c>
      <c r="AI16"/>
    </row>
    <row r="17" spans="1:35" ht="20.399999999999999" x14ac:dyDescent="0.25">
      <c r="A17" s="164" t="s">
        <v>7284</v>
      </c>
      <c r="B17" s="164" t="s">
        <v>4540</v>
      </c>
      <c r="C17" s="136">
        <v>0</v>
      </c>
      <c r="D17" s="136"/>
      <c r="E17" s="136"/>
      <c r="F17" s="136"/>
      <c r="G17" s="133">
        <v>2</v>
      </c>
      <c r="H17" s="133"/>
      <c r="I17" s="133"/>
      <c r="J17" s="133"/>
      <c r="K17" s="135" t="s">
        <v>7494</v>
      </c>
      <c r="AA17">
        <f>IF(AND('8 Cex'!C17&gt;Tmin, NOT('8 Cex'!$I17="")),'8 Cex'!$I17,0)</f>
        <v>0</v>
      </c>
      <c r="AB17">
        <f>IF(AND('8 Cex'!D17&gt;Tmin, NOT('8 Cex'!$I17="")),'8 Cex'!$I17,0)</f>
        <v>0</v>
      </c>
      <c r="AC17">
        <f>IF(AND('8 Cex'!E17&gt;Tmin, NOT('8 Cex'!$I17="")),'8 Cex'!$I17,0)</f>
        <v>0</v>
      </c>
      <c r="AD17">
        <f>IF(AND('8 Cex'!F17&gt;Tmin, NOT('8 Cex'!$I17="")),'8 Cex'!$I17,0)</f>
        <v>0</v>
      </c>
      <c r="AE17">
        <f>IF(AND('8 Cex'!C17&lt;Tmax, NOT('8 Cex'!$H17="")),'8 Cex'!$H17,4)</f>
        <v>4</v>
      </c>
      <c r="AF17">
        <f>IF(AND('8 Cex'!D17&lt;Tmax, NOT('8 Cex'!$H17="")),'8 Cex'!$H17,4)</f>
        <v>4</v>
      </c>
      <c r="AG17">
        <f>IF(AND('8 Cex'!E17&lt;Tmax, NOT('8 Cex'!$H17="")),'8 Cex'!$H17,4)</f>
        <v>4</v>
      </c>
      <c r="AH17">
        <f>IF(AND('8 Cex'!F17&lt;Tmax, NOT('8 Cex'!$H17="")),'8 Cex'!$H17,4)</f>
        <v>4</v>
      </c>
      <c r="AI17"/>
    </row>
    <row r="18" spans="1:35" ht="20.399999999999999" x14ac:dyDescent="0.25">
      <c r="A18" s="164" t="s">
        <v>7285</v>
      </c>
      <c r="B18" s="164" t="s">
        <v>2080</v>
      </c>
      <c r="C18" s="136">
        <v>0</v>
      </c>
      <c r="D18" s="136"/>
      <c r="E18" s="136"/>
      <c r="F18" s="136"/>
      <c r="G18" s="133">
        <v>4</v>
      </c>
      <c r="H18" s="133">
        <v>3</v>
      </c>
      <c r="I18" s="133"/>
      <c r="J18" s="133"/>
      <c r="K18" s="135" t="s">
        <v>7537</v>
      </c>
      <c r="AA18">
        <f>IF(AND('8 Cex'!C18&gt;Tmin, NOT('8 Cex'!$I18="")),'8 Cex'!$I18,0)</f>
        <v>0</v>
      </c>
      <c r="AB18">
        <f>IF(AND('8 Cex'!D18&gt;Tmin, NOT('8 Cex'!$I18="")),'8 Cex'!$I18,0)</f>
        <v>0</v>
      </c>
      <c r="AC18">
        <f>IF(AND('8 Cex'!E18&gt;Tmin, NOT('8 Cex'!$I18="")),'8 Cex'!$I18,0)</f>
        <v>0</v>
      </c>
      <c r="AD18">
        <f>IF(AND('8 Cex'!F18&gt;Tmin, NOT('8 Cex'!$I18="")),'8 Cex'!$I18,0)</f>
        <v>0</v>
      </c>
      <c r="AE18">
        <f>IF(AND('8 Cex'!C18&lt;Tmax, NOT('8 Cex'!$H18="")),'8 Cex'!$H18,4)</f>
        <v>3</v>
      </c>
      <c r="AF18">
        <f>IF(AND('8 Cex'!D18&lt;Tmax, NOT('8 Cex'!$H18="")),'8 Cex'!$H18,4)</f>
        <v>3</v>
      </c>
      <c r="AG18">
        <f>IF(AND('8 Cex'!E18&lt;Tmax, NOT('8 Cex'!$H18="")),'8 Cex'!$H18,4)</f>
        <v>3</v>
      </c>
      <c r="AH18">
        <f>IF(AND('8 Cex'!F18&lt;Tmax, NOT('8 Cex'!$H18="")),'8 Cex'!$H18,4)</f>
        <v>3</v>
      </c>
      <c r="AI18"/>
    </row>
    <row r="19" spans="1:35" ht="20.399999999999999" x14ac:dyDescent="0.25">
      <c r="A19" s="164" t="s">
        <v>7286</v>
      </c>
      <c r="B19" s="164" t="s">
        <v>4541</v>
      </c>
      <c r="C19" s="136">
        <v>0</v>
      </c>
      <c r="D19" s="136"/>
      <c r="E19" s="136"/>
      <c r="F19" s="136"/>
      <c r="G19" s="133">
        <v>1</v>
      </c>
      <c r="H19" s="133">
        <v>3</v>
      </c>
      <c r="I19" s="133"/>
      <c r="J19" s="133"/>
      <c r="K19" s="135" t="s">
        <v>7494</v>
      </c>
      <c r="AA19">
        <f>IF(AND('8 Cex'!C19&gt;Tmin, NOT('8 Cex'!$I19="")),'8 Cex'!$I19,0)</f>
        <v>0</v>
      </c>
      <c r="AB19">
        <f>IF(AND('8 Cex'!D19&gt;Tmin, NOT('8 Cex'!$I19="")),'8 Cex'!$I19,0)</f>
        <v>0</v>
      </c>
      <c r="AC19">
        <f>IF(AND('8 Cex'!E19&gt;Tmin, NOT('8 Cex'!$I19="")),'8 Cex'!$I19,0)</f>
        <v>0</v>
      </c>
      <c r="AD19">
        <f>IF(AND('8 Cex'!F19&gt;Tmin, NOT('8 Cex'!$I19="")),'8 Cex'!$I19,0)</f>
        <v>0</v>
      </c>
      <c r="AE19">
        <f>IF(AND('8 Cex'!C19&lt;Tmax, NOT('8 Cex'!$H19="")),'8 Cex'!$H19,4)</f>
        <v>3</v>
      </c>
      <c r="AF19">
        <f>IF(AND('8 Cex'!D19&lt;Tmax, NOT('8 Cex'!$H19="")),'8 Cex'!$H19,4)</f>
        <v>3</v>
      </c>
      <c r="AG19">
        <f>IF(AND('8 Cex'!E19&lt;Tmax, NOT('8 Cex'!$H19="")),'8 Cex'!$H19,4)</f>
        <v>3</v>
      </c>
      <c r="AH19">
        <f>IF(AND('8 Cex'!F19&lt;Tmax, NOT('8 Cex'!$H19="")),'8 Cex'!$H19,4)</f>
        <v>3</v>
      </c>
      <c r="AI19"/>
    </row>
    <row r="20" spans="1:35" x14ac:dyDescent="0.25">
      <c r="A20" s="164" t="s">
        <v>799</v>
      </c>
      <c r="B20" s="164" t="s">
        <v>4572</v>
      </c>
      <c r="C20" s="136"/>
      <c r="D20" s="136"/>
      <c r="E20" s="136"/>
      <c r="F20" s="136"/>
      <c r="G20" s="133"/>
      <c r="H20" s="133"/>
      <c r="I20" s="133"/>
      <c r="J20" s="133"/>
      <c r="K20" s="135"/>
      <c r="AA20"/>
      <c r="AB20"/>
      <c r="AC20"/>
      <c r="AD20"/>
      <c r="AE20"/>
      <c r="AF20"/>
      <c r="AG20"/>
      <c r="AH20"/>
      <c r="AI20"/>
    </row>
    <row r="21" spans="1:35" x14ac:dyDescent="0.25">
      <c r="A21" s="164" t="s">
        <v>1577</v>
      </c>
      <c r="B21" s="164" t="s">
        <v>2086</v>
      </c>
      <c r="C21" s="136"/>
      <c r="D21" s="136"/>
      <c r="E21" s="136"/>
      <c r="F21" s="136"/>
      <c r="G21" s="133">
        <v>4</v>
      </c>
      <c r="H21" s="133">
        <v>3</v>
      </c>
      <c r="I21" s="133"/>
      <c r="J21" s="133"/>
      <c r="K21" s="135"/>
      <c r="AA21">
        <f>IF(AND('8 Cex'!C21&gt;Tmin, NOT('8 Cex'!$I21="")),'8 Cex'!$I21,0)</f>
        <v>0</v>
      </c>
      <c r="AB21">
        <f>IF(AND('8 Cex'!D21&gt;Tmin, NOT('8 Cex'!$I21="")),'8 Cex'!$I21,0)</f>
        <v>0</v>
      </c>
      <c r="AC21">
        <f>IF(AND('8 Cex'!E21&gt;Tmin, NOT('8 Cex'!$I21="")),'8 Cex'!$I21,0)</f>
        <v>0</v>
      </c>
      <c r="AD21">
        <f>IF(AND('8 Cex'!F21&gt;Tmin, NOT('8 Cex'!$I21="")),'8 Cex'!$I21,0)</f>
        <v>0</v>
      </c>
      <c r="AE21">
        <f>IF(AND('8 Cex'!C21&lt;Tmax, NOT('8 Cex'!$H21="")),'8 Cex'!$H21,4)</f>
        <v>3</v>
      </c>
      <c r="AF21">
        <f>IF(AND('8 Cex'!D21&lt;Tmax, NOT('8 Cex'!$H21="")),'8 Cex'!$H21,4)</f>
        <v>3</v>
      </c>
      <c r="AG21">
        <f>IF(AND('8 Cex'!E21&lt;Tmax, NOT('8 Cex'!$H21="")),'8 Cex'!$H21,4)</f>
        <v>3</v>
      </c>
      <c r="AH21">
        <f>IF(AND('8 Cex'!F21&lt;Tmax, NOT('8 Cex'!$H21="")),'8 Cex'!$H21,4)</f>
        <v>3</v>
      </c>
      <c r="AI21"/>
    </row>
    <row r="22" spans="1:35" x14ac:dyDescent="0.25">
      <c r="A22" s="164" t="s">
        <v>4549</v>
      </c>
      <c r="B22" s="164" t="s">
        <v>2087</v>
      </c>
      <c r="C22" s="136"/>
      <c r="D22" s="136"/>
      <c r="E22" s="136"/>
      <c r="F22" s="136"/>
      <c r="G22" s="133">
        <v>4</v>
      </c>
      <c r="H22" s="133">
        <v>3</v>
      </c>
      <c r="I22" s="133"/>
      <c r="J22" s="133"/>
      <c r="K22" s="135"/>
      <c r="AA22">
        <f>IF(AND('8 Cex'!C22&gt;Tmin, NOT('8 Cex'!$I22="")),'8 Cex'!$I22,0)</f>
        <v>0</v>
      </c>
      <c r="AB22">
        <f>IF(AND('8 Cex'!D22&gt;Tmin, NOT('8 Cex'!$I22="")),'8 Cex'!$I22,0)</f>
        <v>0</v>
      </c>
      <c r="AC22">
        <f>IF(AND('8 Cex'!E22&gt;Tmin, NOT('8 Cex'!$I22="")),'8 Cex'!$I22,0)</f>
        <v>0</v>
      </c>
      <c r="AD22">
        <f>IF(AND('8 Cex'!F22&gt;Tmin, NOT('8 Cex'!$I22="")),'8 Cex'!$I22,0)</f>
        <v>0</v>
      </c>
      <c r="AE22">
        <f>IF(AND('8 Cex'!C22&lt;Tmax, NOT('8 Cex'!$H22="")),'8 Cex'!$H22,4)</f>
        <v>3</v>
      </c>
      <c r="AF22">
        <f>IF(AND('8 Cex'!D22&lt;Tmax, NOT('8 Cex'!$H22="")),'8 Cex'!$H22,4)</f>
        <v>3</v>
      </c>
      <c r="AG22">
        <f>IF(AND('8 Cex'!E22&lt;Tmax, NOT('8 Cex'!$H22="")),'8 Cex'!$H22,4)</f>
        <v>3</v>
      </c>
      <c r="AH22">
        <f>IF(AND('8 Cex'!F22&lt;Tmax, NOT('8 Cex'!$H22="")),'8 Cex'!$H22,4)</f>
        <v>3</v>
      </c>
      <c r="AI22"/>
    </row>
    <row r="23" spans="1:35" x14ac:dyDescent="0.25">
      <c r="A23" s="164" t="s">
        <v>4550</v>
      </c>
      <c r="B23" s="164" t="s">
        <v>2082</v>
      </c>
      <c r="C23" s="136"/>
      <c r="D23" s="136"/>
      <c r="E23" s="136"/>
      <c r="F23" s="136"/>
      <c r="G23" s="133">
        <v>2</v>
      </c>
      <c r="H23" s="133">
        <v>3</v>
      </c>
      <c r="I23" s="133"/>
      <c r="J23" s="133"/>
      <c r="K23" s="135"/>
      <c r="AA23">
        <f>IF(AND('8 Cex'!C23&gt;Tmin, NOT('8 Cex'!$I23="")),'8 Cex'!$I23,0)</f>
        <v>0</v>
      </c>
      <c r="AB23">
        <f>IF(AND('8 Cex'!D23&gt;Tmin, NOT('8 Cex'!$I23="")),'8 Cex'!$I23,0)</f>
        <v>0</v>
      </c>
      <c r="AC23">
        <f>IF(AND('8 Cex'!E23&gt;Tmin, NOT('8 Cex'!$I23="")),'8 Cex'!$I23,0)</f>
        <v>0</v>
      </c>
      <c r="AD23">
        <f>IF(AND('8 Cex'!F23&gt;Tmin, NOT('8 Cex'!$I23="")),'8 Cex'!$I23,0)</f>
        <v>0</v>
      </c>
      <c r="AE23">
        <f>IF(AND('8 Cex'!C23&lt;Tmax, NOT('8 Cex'!$H23="")),'8 Cex'!$H23,4)</f>
        <v>3</v>
      </c>
      <c r="AF23">
        <f>IF(AND('8 Cex'!D23&lt;Tmax, NOT('8 Cex'!$H23="")),'8 Cex'!$H23,4)</f>
        <v>3</v>
      </c>
      <c r="AG23">
        <f>IF(AND('8 Cex'!E23&lt;Tmax, NOT('8 Cex'!$H23="")),'8 Cex'!$H23,4)</f>
        <v>3</v>
      </c>
      <c r="AH23">
        <f>IF(AND('8 Cex'!F23&lt;Tmax, NOT('8 Cex'!$H23="")),'8 Cex'!$H23,4)</f>
        <v>3</v>
      </c>
      <c r="AI23"/>
    </row>
    <row r="24" spans="1:35" ht="24.75" customHeight="1" x14ac:dyDescent="0.25">
      <c r="A24" s="164" t="s">
        <v>4551</v>
      </c>
      <c r="B24" s="164" t="s">
        <v>2220</v>
      </c>
      <c r="C24" s="136"/>
      <c r="D24" s="136"/>
      <c r="E24" s="136"/>
      <c r="F24" s="136"/>
      <c r="G24" s="133">
        <v>2</v>
      </c>
      <c r="H24" s="133">
        <v>3</v>
      </c>
      <c r="I24" s="133"/>
      <c r="J24" s="133"/>
      <c r="K24" s="135"/>
      <c r="AA24">
        <f>IF(AND('8 Cex'!C24&gt;Tmin, NOT('8 Cex'!$I24="")),'8 Cex'!$I24,0)</f>
        <v>0</v>
      </c>
      <c r="AB24">
        <f>IF(AND('8 Cex'!D24&gt;Tmin, NOT('8 Cex'!$I24="")),'8 Cex'!$I24,0)</f>
        <v>0</v>
      </c>
      <c r="AC24">
        <f>IF(AND('8 Cex'!E24&gt;Tmin, NOT('8 Cex'!$I24="")),'8 Cex'!$I24,0)</f>
        <v>0</v>
      </c>
      <c r="AD24">
        <f>IF(AND('8 Cex'!F24&gt;Tmin, NOT('8 Cex'!$I24="")),'8 Cex'!$I24,0)</f>
        <v>0</v>
      </c>
      <c r="AE24">
        <f>IF(AND('8 Cex'!C24&lt;Tmax, NOT('8 Cex'!$H24="")),'8 Cex'!$H24,4)</f>
        <v>3</v>
      </c>
      <c r="AF24">
        <f>IF(AND('8 Cex'!D24&lt;Tmax, NOT('8 Cex'!$H24="")),'8 Cex'!$H24,4)</f>
        <v>3</v>
      </c>
      <c r="AG24">
        <f>IF(AND('8 Cex'!E24&lt;Tmax, NOT('8 Cex'!$H24="")),'8 Cex'!$H24,4)</f>
        <v>3</v>
      </c>
      <c r="AH24">
        <f>IF(AND('8 Cex'!F24&lt;Tmax, NOT('8 Cex'!$H24="")),'8 Cex'!$H24,4)</f>
        <v>3</v>
      </c>
      <c r="AI24"/>
    </row>
    <row r="25" spans="1:35" x14ac:dyDescent="0.25">
      <c r="A25" s="164" t="s">
        <v>800</v>
      </c>
      <c r="B25" s="164" t="s">
        <v>4552</v>
      </c>
      <c r="C25" s="136"/>
      <c r="D25" s="136"/>
      <c r="E25" s="136"/>
      <c r="F25" s="136"/>
      <c r="G25" s="133"/>
      <c r="H25" s="133"/>
      <c r="I25" s="133"/>
      <c r="J25" s="133"/>
      <c r="K25" s="135"/>
      <c r="AA25"/>
      <c r="AB25"/>
      <c r="AC25"/>
      <c r="AD25"/>
      <c r="AE25"/>
      <c r="AF25"/>
      <c r="AG25"/>
      <c r="AH25"/>
      <c r="AI25"/>
    </row>
    <row r="26" spans="1:35" ht="20.399999999999999" x14ac:dyDescent="0.25">
      <c r="A26" s="164" t="s">
        <v>1578</v>
      </c>
      <c r="B26" s="164" t="s">
        <v>4554</v>
      </c>
      <c r="C26" s="136"/>
      <c r="D26" s="136"/>
      <c r="E26" s="136"/>
      <c r="F26" s="136"/>
      <c r="G26" s="133">
        <v>4</v>
      </c>
      <c r="H26" s="133"/>
      <c r="I26" s="133"/>
      <c r="J26" s="133"/>
      <c r="AA26">
        <f>IF(AND('8 Cex'!C26&gt;Tmin, NOT('8 Cex'!$I26="")),'8 Cex'!$I26,0)</f>
        <v>0</v>
      </c>
      <c r="AB26">
        <f>IF(AND('8 Cex'!D26&gt;Tmin, NOT('8 Cex'!$I26="")),'8 Cex'!$I26,0)</f>
        <v>0</v>
      </c>
      <c r="AC26">
        <f>IF(AND('8 Cex'!E26&gt;Tmin, NOT('8 Cex'!$I26="")),'8 Cex'!$I26,0)</f>
        <v>0</v>
      </c>
      <c r="AD26">
        <f>IF(AND('8 Cex'!F26&gt;Tmin, NOT('8 Cex'!$I26="")),'8 Cex'!$I26,0)</f>
        <v>0</v>
      </c>
      <c r="AE26">
        <f>IF(AND('8 Cex'!C26&lt;Tmax, NOT('8 Cex'!$H26="")),'8 Cex'!$H26,4)</f>
        <v>4</v>
      </c>
      <c r="AF26">
        <f>IF(AND('8 Cex'!D26&lt;Tmax, NOT('8 Cex'!$H26="")),'8 Cex'!$H26,4)</f>
        <v>4</v>
      </c>
      <c r="AG26">
        <f>IF(AND('8 Cex'!E26&lt;Tmax, NOT('8 Cex'!$H26="")),'8 Cex'!$H26,4)</f>
        <v>4</v>
      </c>
      <c r="AH26">
        <f>IF(AND('8 Cex'!F26&lt;Tmax, NOT('8 Cex'!$H26="")),'8 Cex'!$H26,4)</f>
        <v>4</v>
      </c>
      <c r="AI26"/>
    </row>
    <row r="27" spans="1:35" s="326" customFormat="1" x14ac:dyDescent="0.25">
      <c r="A27" s="164" t="s">
        <v>1579</v>
      </c>
      <c r="B27" s="164" t="s">
        <v>4555</v>
      </c>
      <c r="C27" s="136"/>
      <c r="D27" s="136"/>
      <c r="E27" s="136"/>
      <c r="F27" s="136"/>
      <c r="G27" s="133">
        <v>4</v>
      </c>
      <c r="H27" s="133"/>
      <c r="I27" s="133"/>
      <c r="J27" s="133"/>
      <c r="AA27">
        <f>IF(AND('8 Cex'!C27&gt;Tmin, NOT('8 Cex'!$I27="")),'8 Cex'!$I27,0)</f>
        <v>0</v>
      </c>
      <c r="AB27">
        <f>IF(AND('8 Cex'!D27&gt;Tmin, NOT('8 Cex'!$I27="")),'8 Cex'!$I27,0)</f>
        <v>0</v>
      </c>
      <c r="AC27">
        <f>IF(AND('8 Cex'!E27&gt;Tmin, NOT('8 Cex'!$I27="")),'8 Cex'!$I27,0)</f>
        <v>0</v>
      </c>
      <c r="AD27">
        <f>IF(AND('8 Cex'!F27&gt;Tmin, NOT('8 Cex'!$I27="")),'8 Cex'!$I27,0)</f>
        <v>0</v>
      </c>
      <c r="AE27">
        <f>IF(AND('8 Cex'!C27&lt;Tmax, NOT('8 Cex'!$H27="")),'8 Cex'!$H27,4)</f>
        <v>4</v>
      </c>
      <c r="AF27">
        <f>IF(AND('8 Cex'!D27&lt;Tmax, NOT('8 Cex'!$H27="")),'8 Cex'!$H27,4)</f>
        <v>4</v>
      </c>
      <c r="AG27">
        <f>IF(AND('8 Cex'!E27&lt;Tmax, NOT('8 Cex'!$H27="")),'8 Cex'!$H27,4)</f>
        <v>4</v>
      </c>
      <c r="AH27">
        <f>IF(AND('8 Cex'!F27&lt;Tmax, NOT('8 Cex'!$H27="")),'8 Cex'!$H27,4)</f>
        <v>4</v>
      </c>
      <c r="AI27"/>
    </row>
    <row r="28" spans="1:35" x14ac:dyDescent="0.25">
      <c r="A28" s="164" t="s">
        <v>4557</v>
      </c>
      <c r="B28" s="164" t="s">
        <v>4553</v>
      </c>
      <c r="C28" s="136"/>
      <c r="D28" s="136"/>
      <c r="E28" s="136"/>
      <c r="F28" s="136"/>
      <c r="G28" s="133">
        <v>4</v>
      </c>
      <c r="H28" s="133"/>
      <c r="I28" s="133"/>
      <c r="J28" s="133"/>
      <c r="K28" s="135"/>
      <c r="AA28">
        <f>IF(AND('8 Cex'!C28&gt;Tmin, NOT('8 Cex'!$I28="")),'8 Cex'!$I28,0)</f>
        <v>0</v>
      </c>
      <c r="AB28">
        <f>IF(AND('8 Cex'!D28&gt;Tmin, NOT('8 Cex'!$I28="")),'8 Cex'!$I28,0)</f>
        <v>0</v>
      </c>
      <c r="AC28">
        <f>IF(AND('8 Cex'!E28&gt;Tmin, NOT('8 Cex'!$I28="")),'8 Cex'!$I28,0)</f>
        <v>0</v>
      </c>
      <c r="AD28">
        <f>IF(AND('8 Cex'!F28&gt;Tmin, NOT('8 Cex'!$I28="")),'8 Cex'!$I28,0)</f>
        <v>0</v>
      </c>
      <c r="AE28">
        <f>IF(AND('8 Cex'!C28&lt;Tmax, NOT('8 Cex'!$H28="")),'8 Cex'!$H28,4)</f>
        <v>4</v>
      </c>
      <c r="AF28">
        <f>IF(AND('8 Cex'!D28&lt;Tmax, NOT('8 Cex'!$H28="")),'8 Cex'!$H28,4)</f>
        <v>4</v>
      </c>
      <c r="AG28">
        <f>IF(AND('8 Cex'!E28&lt;Tmax, NOT('8 Cex'!$H28="")),'8 Cex'!$H28,4)</f>
        <v>4</v>
      </c>
      <c r="AH28">
        <f>IF(AND('8 Cex'!F28&lt;Tmax, NOT('8 Cex'!$H28="")),'8 Cex'!$H28,4)</f>
        <v>4</v>
      </c>
      <c r="AI28"/>
    </row>
    <row r="29" spans="1:35" x14ac:dyDescent="0.25">
      <c r="A29" s="164" t="s">
        <v>4558</v>
      </c>
      <c r="B29" s="164" t="s">
        <v>4556</v>
      </c>
      <c r="C29" s="136"/>
      <c r="D29" s="136"/>
      <c r="E29" s="136"/>
      <c r="F29" s="136"/>
      <c r="G29" s="133">
        <v>4</v>
      </c>
      <c r="H29" s="133"/>
      <c r="I29" s="133"/>
      <c r="J29" s="133"/>
      <c r="K29" s="135"/>
      <c r="AA29">
        <f>IF(AND('8 Cex'!C29&gt;Tmin, NOT('8 Cex'!$I29="")),'8 Cex'!$I29,0)</f>
        <v>0</v>
      </c>
      <c r="AB29">
        <f>IF(AND('8 Cex'!D29&gt;Tmin, NOT('8 Cex'!$I29="")),'8 Cex'!$I29,0)</f>
        <v>0</v>
      </c>
      <c r="AC29">
        <f>IF(AND('8 Cex'!E29&gt;Tmin, NOT('8 Cex'!$I29="")),'8 Cex'!$I29,0)</f>
        <v>0</v>
      </c>
      <c r="AD29">
        <f>IF(AND('8 Cex'!F29&gt;Tmin, NOT('8 Cex'!$I29="")),'8 Cex'!$I29,0)</f>
        <v>0</v>
      </c>
      <c r="AE29">
        <f>IF(AND('8 Cex'!C29&lt;Tmax, NOT('8 Cex'!$H29="")),'8 Cex'!$H29,4)</f>
        <v>4</v>
      </c>
      <c r="AF29">
        <f>IF(AND('8 Cex'!D29&lt;Tmax, NOT('8 Cex'!$H29="")),'8 Cex'!$H29,4)</f>
        <v>4</v>
      </c>
      <c r="AG29">
        <f>IF(AND('8 Cex'!E29&lt;Tmax, NOT('8 Cex'!$H29="")),'8 Cex'!$H29,4)</f>
        <v>4</v>
      </c>
      <c r="AH29">
        <f>IF(AND('8 Cex'!F29&lt;Tmax, NOT('8 Cex'!$H29="")),'8 Cex'!$H29,4)</f>
        <v>4</v>
      </c>
      <c r="AI29"/>
    </row>
    <row r="30" spans="1:35" x14ac:dyDescent="0.25">
      <c r="A30" s="164" t="s">
        <v>1596</v>
      </c>
      <c r="B30" s="164" t="s">
        <v>4575</v>
      </c>
      <c r="C30" s="136"/>
      <c r="D30" s="136"/>
      <c r="E30" s="136"/>
      <c r="F30" s="136"/>
      <c r="G30" s="133"/>
      <c r="H30" s="133"/>
      <c r="I30" s="133"/>
      <c r="J30" s="133"/>
      <c r="K30" s="135"/>
      <c r="AA30"/>
      <c r="AB30"/>
      <c r="AC30"/>
      <c r="AD30"/>
      <c r="AE30"/>
      <c r="AF30"/>
      <c r="AG30"/>
      <c r="AH30"/>
      <c r="AI30"/>
    </row>
    <row r="31" spans="1:35" x14ac:dyDescent="0.25">
      <c r="A31" s="164" t="s">
        <v>807</v>
      </c>
      <c r="B31" s="164" t="s">
        <v>4566</v>
      </c>
      <c r="C31" s="136"/>
      <c r="D31" s="136"/>
      <c r="E31" s="136"/>
      <c r="F31" s="136"/>
      <c r="G31" s="133"/>
      <c r="H31" s="133"/>
      <c r="I31" s="133"/>
      <c r="J31" s="133"/>
      <c r="K31" s="135"/>
      <c r="AA31"/>
      <c r="AB31"/>
      <c r="AC31"/>
      <c r="AD31"/>
      <c r="AE31"/>
      <c r="AF31"/>
      <c r="AG31"/>
      <c r="AH31"/>
      <c r="AI31"/>
    </row>
    <row r="32" spans="1:35" ht="20.399999999999999" x14ac:dyDescent="0.25">
      <c r="A32" s="164" t="s">
        <v>1580</v>
      </c>
      <c r="B32" s="164" t="s">
        <v>7453</v>
      </c>
      <c r="C32" s="136"/>
      <c r="D32" s="136"/>
      <c r="E32" s="136"/>
      <c r="F32" s="136"/>
      <c r="G32" s="133">
        <v>2</v>
      </c>
      <c r="H32" s="133"/>
      <c r="I32" s="133"/>
      <c r="J32" s="133"/>
      <c r="K32" s="135"/>
      <c r="AA32">
        <f>IF(AND('8 Cex'!C32&gt;Tmin, NOT('8 Cex'!$I32="")),'8 Cex'!$I32,0)</f>
        <v>0</v>
      </c>
      <c r="AB32">
        <f>IF(AND('8 Cex'!D32&gt;Tmin, NOT('8 Cex'!$I32="")),'8 Cex'!$I32,0)</f>
        <v>0</v>
      </c>
      <c r="AC32">
        <f>IF(AND('8 Cex'!E32&gt;Tmin, NOT('8 Cex'!$I32="")),'8 Cex'!$I32,0)</f>
        <v>0</v>
      </c>
      <c r="AD32">
        <f>IF(AND('8 Cex'!F32&gt;Tmin, NOT('8 Cex'!$I32="")),'8 Cex'!$I32,0)</f>
        <v>0</v>
      </c>
      <c r="AE32">
        <f>IF(AND('8 Cex'!C32&lt;Tmax, NOT('8 Cex'!$H32="")),'8 Cex'!$H32,4)</f>
        <v>4</v>
      </c>
      <c r="AF32">
        <f>IF(AND('8 Cex'!D32&lt;Tmax, NOT('8 Cex'!$H32="")),'8 Cex'!$H32,4)</f>
        <v>4</v>
      </c>
      <c r="AG32">
        <f>IF(AND('8 Cex'!E32&lt;Tmax, NOT('8 Cex'!$H32="")),'8 Cex'!$H32,4)</f>
        <v>4</v>
      </c>
      <c r="AH32">
        <f>IF(AND('8 Cex'!F32&lt;Tmax, NOT('8 Cex'!$H32="")),'8 Cex'!$H32,4)</f>
        <v>4</v>
      </c>
      <c r="AI32"/>
    </row>
    <row r="33" spans="1:35" x14ac:dyDescent="0.25">
      <c r="A33" s="164" t="s">
        <v>1581</v>
      </c>
      <c r="B33" s="164" t="s">
        <v>1573</v>
      </c>
      <c r="C33" s="136"/>
      <c r="D33" s="136"/>
      <c r="E33" s="136"/>
      <c r="F33" s="136"/>
      <c r="G33" s="133">
        <v>3</v>
      </c>
      <c r="H33" s="133"/>
      <c r="I33" s="133"/>
      <c r="J33" s="133"/>
      <c r="K33" s="135"/>
      <c r="AA33">
        <f>IF(AND('8 Cex'!C33&gt;Tmin, NOT('8 Cex'!$I33="")),'8 Cex'!$I33,0)</f>
        <v>0</v>
      </c>
      <c r="AB33">
        <f>IF(AND('8 Cex'!D33&gt;Tmin, NOT('8 Cex'!$I33="")),'8 Cex'!$I33,0)</f>
        <v>0</v>
      </c>
      <c r="AC33">
        <f>IF(AND('8 Cex'!E33&gt;Tmin, NOT('8 Cex'!$I33="")),'8 Cex'!$I33,0)</f>
        <v>0</v>
      </c>
      <c r="AD33">
        <f>IF(AND('8 Cex'!F33&gt;Tmin, NOT('8 Cex'!$I33="")),'8 Cex'!$I33,0)</f>
        <v>0</v>
      </c>
      <c r="AE33">
        <f>IF(AND('8 Cex'!C33&lt;Tmax, NOT('8 Cex'!$H33="")),'8 Cex'!$H33,4)</f>
        <v>4</v>
      </c>
      <c r="AF33">
        <f>IF(AND('8 Cex'!D33&lt;Tmax, NOT('8 Cex'!$H33="")),'8 Cex'!$H33,4)</f>
        <v>4</v>
      </c>
      <c r="AG33">
        <f>IF(AND('8 Cex'!E33&lt;Tmax, NOT('8 Cex'!$H33="")),'8 Cex'!$H33,4)</f>
        <v>4</v>
      </c>
      <c r="AH33">
        <f>IF(AND('8 Cex'!F33&lt;Tmax, NOT('8 Cex'!$H33="")),'8 Cex'!$H33,4)</f>
        <v>4</v>
      </c>
      <c r="AI33"/>
    </row>
    <row r="34" spans="1:35" s="213" customFormat="1" x14ac:dyDescent="0.25">
      <c r="A34" s="164" t="s">
        <v>1582</v>
      </c>
      <c r="B34" s="164" t="s">
        <v>2093</v>
      </c>
      <c r="C34" s="136"/>
      <c r="D34" s="136"/>
      <c r="E34" s="136"/>
      <c r="F34" s="136"/>
      <c r="G34" s="133">
        <v>2</v>
      </c>
      <c r="H34" s="133"/>
      <c r="I34" s="133"/>
      <c r="J34" s="133"/>
      <c r="K34" s="135"/>
      <c r="L34" s="128"/>
      <c r="M34" s="227"/>
      <c r="N34" s="227"/>
      <c r="O34" s="227"/>
      <c r="P34" s="227"/>
      <c r="Q34" s="227"/>
      <c r="R34" s="227"/>
      <c r="S34" s="227"/>
      <c r="T34" s="227"/>
      <c r="U34" s="227"/>
      <c r="V34" s="227"/>
      <c r="W34" s="227"/>
      <c r="X34" s="227"/>
      <c r="Y34" s="227"/>
      <c r="Z34" s="227"/>
      <c r="AA34">
        <f>IF(AND('8 Cex'!C34&gt;Tmin, NOT('8 Cex'!$I34="")),'8 Cex'!$I34,0)</f>
        <v>0</v>
      </c>
      <c r="AB34">
        <f>IF(AND('8 Cex'!D34&gt;Tmin, NOT('8 Cex'!$I34="")),'8 Cex'!$I34,0)</f>
        <v>0</v>
      </c>
      <c r="AC34">
        <f>IF(AND('8 Cex'!E34&gt;Tmin, NOT('8 Cex'!$I34="")),'8 Cex'!$I34,0)</f>
        <v>0</v>
      </c>
      <c r="AD34">
        <f>IF(AND('8 Cex'!F34&gt;Tmin, NOT('8 Cex'!$I34="")),'8 Cex'!$I34,0)</f>
        <v>0</v>
      </c>
      <c r="AE34">
        <f>IF(AND('8 Cex'!C34&lt;Tmax, NOT('8 Cex'!$H34="")),'8 Cex'!$H34,4)</f>
        <v>4</v>
      </c>
      <c r="AF34">
        <f>IF(AND('8 Cex'!D34&lt;Tmax, NOT('8 Cex'!$H34="")),'8 Cex'!$H34,4)</f>
        <v>4</v>
      </c>
      <c r="AG34">
        <f>IF(AND('8 Cex'!E34&lt;Tmax, NOT('8 Cex'!$H34="")),'8 Cex'!$H34,4)</f>
        <v>4</v>
      </c>
      <c r="AH34">
        <f>IF(AND('8 Cex'!F34&lt;Tmax, NOT('8 Cex'!$H34="")),'8 Cex'!$H34,4)</f>
        <v>4</v>
      </c>
      <c r="AI34"/>
    </row>
    <row r="35" spans="1:35" ht="20.399999999999999" x14ac:dyDescent="0.25">
      <c r="A35" s="164" t="s">
        <v>1583</v>
      </c>
      <c r="B35" s="164" t="s">
        <v>4567</v>
      </c>
      <c r="C35" s="136"/>
      <c r="D35" s="136"/>
      <c r="E35" s="136"/>
      <c r="F35" s="136"/>
      <c r="G35" s="133">
        <v>2</v>
      </c>
      <c r="H35" s="133"/>
      <c r="I35" s="133"/>
      <c r="J35" s="133"/>
      <c r="K35" s="135"/>
      <c r="AA35">
        <f>IF(AND('8 Cex'!C35&gt;Tmin, NOT('8 Cex'!$I35="")),'8 Cex'!$I35,0)</f>
        <v>0</v>
      </c>
      <c r="AB35">
        <f>IF(AND('8 Cex'!D35&gt;Tmin, NOT('8 Cex'!$I35="")),'8 Cex'!$I35,0)</f>
        <v>0</v>
      </c>
      <c r="AC35">
        <f>IF(AND('8 Cex'!E35&gt;Tmin, NOT('8 Cex'!$I35="")),'8 Cex'!$I35,0)</f>
        <v>0</v>
      </c>
      <c r="AD35">
        <f>IF(AND('8 Cex'!F35&gt;Tmin, NOT('8 Cex'!$I35="")),'8 Cex'!$I35,0)</f>
        <v>0</v>
      </c>
      <c r="AE35">
        <f>IF(AND('8 Cex'!C35&lt;Tmax, NOT('8 Cex'!$H35="")),'8 Cex'!$H35,4)</f>
        <v>4</v>
      </c>
      <c r="AF35">
        <f>IF(AND('8 Cex'!D35&lt;Tmax, NOT('8 Cex'!$H35="")),'8 Cex'!$H35,4)</f>
        <v>4</v>
      </c>
      <c r="AG35">
        <f>IF(AND('8 Cex'!E35&lt;Tmax, NOT('8 Cex'!$H35="")),'8 Cex'!$H35,4)</f>
        <v>4</v>
      </c>
      <c r="AH35">
        <f>IF(AND('8 Cex'!F35&lt;Tmax, NOT('8 Cex'!$H35="")),'8 Cex'!$H35,4)</f>
        <v>4</v>
      </c>
      <c r="AI35"/>
    </row>
    <row r="36" spans="1:35" ht="20.399999999999999" x14ac:dyDescent="0.25">
      <c r="A36" s="164" t="s">
        <v>4559</v>
      </c>
      <c r="B36" s="164" t="s">
        <v>4568</v>
      </c>
      <c r="C36" s="136"/>
      <c r="D36" s="136"/>
      <c r="E36" s="136"/>
      <c r="F36" s="136"/>
      <c r="G36" s="133">
        <v>4</v>
      </c>
      <c r="H36" s="133"/>
      <c r="I36" s="133"/>
      <c r="J36" s="133"/>
      <c r="K36" s="135"/>
      <c r="AA36">
        <f>IF(AND('8 Cex'!C36&gt;Tmin, NOT('8 Cex'!$I36="")),'8 Cex'!$I36,0)</f>
        <v>0</v>
      </c>
      <c r="AB36">
        <f>IF(AND('8 Cex'!D36&gt;Tmin, NOT('8 Cex'!$I36="")),'8 Cex'!$I36,0)</f>
        <v>0</v>
      </c>
      <c r="AC36">
        <f>IF(AND('8 Cex'!E36&gt;Tmin, NOT('8 Cex'!$I36="")),'8 Cex'!$I36,0)</f>
        <v>0</v>
      </c>
      <c r="AD36">
        <f>IF(AND('8 Cex'!F36&gt;Tmin, NOT('8 Cex'!$I36="")),'8 Cex'!$I36,0)</f>
        <v>0</v>
      </c>
      <c r="AE36">
        <f>IF(AND('8 Cex'!C36&lt;Tmax, NOT('8 Cex'!$H36="")),'8 Cex'!$H36,4)</f>
        <v>4</v>
      </c>
      <c r="AF36">
        <f>IF(AND('8 Cex'!D36&lt;Tmax, NOT('8 Cex'!$H36="")),'8 Cex'!$H36,4)</f>
        <v>4</v>
      </c>
      <c r="AG36">
        <f>IF(AND('8 Cex'!E36&lt;Tmax, NOT('8 Cex'!$H36="")),'8 Cex'!$H36,4)</f>
        <v>4</v>
      </c>
      <c r="AH36">
        <f>IF(AND('8 Cex'!F36&lt;Tmax, NOT('8 Cex'!$H36="")),'8 Cex'!$H36,4)</f>
        <v>4</v>
      </c>
      <c r="AI36"/>
    </row>
    <row r="37" spans="1:35" ht="20.399999999999999" x14ac:dyDescent="0.25">
      <c r="A37" s="164" t="s">
        <v>4560</v>
      </c>
      <c r="B37" s="164" t="s">
        <v>4569</v>
      </c>
      <c r="C37" s="136"/>
      <c r="D37" s="136"/>
      <c r="E37" s="136"/>
      <c r="F37" s="136"/>
      <c r="G37" s="133">
        <v>4</v>
      </c>
      <c r="H37" s="133">
        <v>3</v>
      </c>
      <c r="I37" s="133"/>
      <c r="J37" s="133"/>
      <c r="K37" s="135"/>
      <c r="AA37">
        <f>IF(AND('8 Cex'!C37&gt;Tmin, NOT('8 Cex'!$I37="")),'8 Cex'!$I37,0)</f>
        <v>0</v>
      </c>
      <c r="AB37">
        <f>IF(AND('8 Cex'!D37&gt;Tmin, NOT('8 Cex'!$I37="")),'8 Cex'!$I37,0)</f>
        <v>0</v>
      </c>
      <c r="AC37">
        <f>IF(AND('8 Cex'!E37&gt;Tmin, NOT('8 Cex'!$I37="")),'8 Cex'!$I37,0)</f>
        <v>0</v>
      </c>
      <c r="AD37">
        <f>IF(AND('8 Cex'!F37&gt;Tmin, NOT('8 Cex'!$I37="")),'8 Cex'!$I37,0)</f>
        <v>0</v>
      </c>
      <c r="AE37">
        <f>IF(AND('8 Cex'!C37&lt;Tmax, NOT('8 Cex'!$H37="")),'8 Cex'!$H37,4)</f>
        <v>3</v>
      </c>
      <c r="AF37">
        <f>IF(AND('8 Cex'!D37&lt;Tmax, NOT('8 Cex'!$H37="")),'8 Cex'!$H37,4)</f>
        <v>3</v>
      </c>
      <c r="AG37">
        <f>IF(AND('8 Cex'!E37&lt;Tmax, NOT('8 Cex'!$H37="")),'8 Cex'!$H37,4)</f>
        <v>3</v>
      </c>
      <c r="AH37">
        <f>IF(AND('8 Cex'!F37&lt;Tmax, NOT('8 Cex'!$H37="")),'8 Cex'!$H37,4)</f>
        <v>3</v>
      </c>
      <c r="AI37"/>
    </row>
    <row r="38" spans="1:35" ht="20.399999999999999" x14ac:dyDescent="0.25">
      <c r="A38" s="164" t="s">
        <v>4561</v>
      </c>
      <c r="B38" s="164" t="s">
        <v>2085</v>
      </c>
      <c r="C38" s="136"/>
      <c r="D38" s="136"/>
      <c r="E38" s="136"/>
      <c r="F38" s="136"/>
      <c r="G38" s="133">
        <v>2</v>
      </c>
      <c r="H38" s="133">
        <v>3</v>
      </c>
      <c r="I38" s="133"/>
      <c r="J38" s="133"/>
      <c r="K38" s="135"/>
      <c r="AA38">
        <f>IF(AND('8 Cex'!C38&gt;Tmin, NOT('8 Cex'!$I38="")),'8 Cex'!$I38,0)</f>
        <v>0</v>
      </c>
      <c r="AB38">
        <f>IF(AND('8 Cex'!D38&gt;Tmin, NOT('8 Cex'!$I38="")),'8 Cex'!$I38,0)</f>
        <v>0</v>
      </c>
      <c r="AC38">
        <f>IF(AND('8 Cex'!E38&gt;Tmin, NOT('8 Cex'!$I38="")),'8 Cex'!$I38,0)</f>
        <v>0</v>
      </c>
      <c r="AD38">
        <f>IF(AND('8 Cex'!F38&gt;Tmin, NOT('8 Cex'!$I38="")),'8 Cex'!$I38,0)</f>
        <v>0</v>
      </c>
      <c r="AE38">
        <f>IF(AND('8 Cex'!C38&lt;Tmax, NOT('8 Cex'!$H38="")),'8 Cex'!$H38,4)</f>
        <v>3</v>
      </c>
      <c r="AF38">
        <f>IF(AND('8 Cex'!D38&lt;Tmax, NOT('8 Cex'!$H38="")),'8 Cex'!$H38,4)</f>
        <v>3</v>
      </c>
      <c r="AG38">
        <f>IF(AND('8 Cex'!E38&lt;Tmax, NOT('8 Cex'!$H38="")),'8 Cex'!$H38,4)</f>
        <v>3</v>
      </c>
      <c r="AH38">
        <f>IF(AND('8 Cex'!F38&lt;Tmax, NOT('8 Cex'!$H38="")),'8 Cex'!$H38,4)</f>
        <v>3</v>
      </c>
      <c r="AI38"/>
    </row>
    <row r="39" spans="1:35" ht="20.399999999999999" x14ac:dyDescent="0.25">
      <c r="A39" s="164" t="s">
        <v>4562</v>
      </c>
      <c r="B39" s="164" t="s">
        <v>4570</v>
      </c>
      <c r="C39" s="136"/>
      <c r="D39" s="136"/>
      <c r="E39" s="136"/>
      <c r="F39" s="136"/>
      <c r="G39" s="133">
        <v>2</v>
      </c>
      <c r="H39" s="133"/>
      <c r="I39" s="133"/>
      <c r="J39" s="133"/>
      <c r="K39" s="135"/>
      <c r="AA39">
        <f>IF(AND('8 Cex'!C39&gt;Tmin, NOT('8 Cex'!$I39="")),'8 Cex'!$I39,0)</f>
        <v>0</v>
      </c>
      <c r="AB39">
        <f>IF(AND('8 Cex'!D39&gt;Tmin, NOT('8 Cex'!$I39="")),'8 Cex'!$I39,0)</f>
        <v>0</v>
      </c>
      <c r="AC39">
        <f>IF(AND('8 Cex'!E39&gt;Tmin, NOT('8 Cex'!$I39="")),'8 Cex'!$I39,0)</f>
        <v>0</v>
      </c>
      <c r="AD39">
        <f>IF(AND('8 Cex'!F39&gt;Tmin, NOT('8 Cex'!$I39="")),'8 Cex'!$I39,0)</f>
        <v>0</v>
      </c>
      <c r="AE39">
        <f>IF(AND('8 Cex'!C39&lt;Tmax, NOT('8 Cex'!$H39="")),'8 Cex'!$H39,4)</f>
        <v>4</v>
      </c>
      <c r="AF39">
        <f>IF(AND('8 Cex'!D39&lt;Tmax, NOT('8 Cex'!$H39="")),'8 Cex'!$H39,4)</f>
        <v>4</v>
      </c>
      <c r="AG39">
        <f>IF(AND('8 Cex'!E39&lt;Tmax, NOT('8 Cex'!$H39="")),'8 Cex'!$H39,4)</f>
        <v>4</v>
      </c>
      <c r="AH39">
        <f>IF(AND('8 Cex'!F39&lt;Tmax, NOT('8 Cex'!$H39="")),'8 Cex'!$H39,4)</f>
        <v>4</v>
      </c>
      <c r="AI39"/>
    </row>
    <row r="40" spans="1:35" x14ac:dyDescent="0.25">
      <c r="A40" s="164" t="s">
        <v>4563</v>
      </c>
      <c r="B40" s="164" t="s">
        <v>2080</v>
      </c>
      <c r="C40" s="136"/>
      <c r="D40" s="136"/>
      <c r="E40" s="136"/>
      <c r="F40" s="136"/>
      <c r="G40" s="133">
        <v>4</v>
      </c>
      <c r="H40" s="133">
        <v>3</v>
      </c>
      <c r="I40" s="133"/>
      <c r="J40" s="133"/>
      <c r="K40" s="135"/>
      <c r="AA40">
        <f>IF(AND('8 Cex'!C40&gt;Tmin, NOT('8 Cex'!$I40="")),'8 Cex'!$I40,0)</f>
        <v>0</v>
      </c>
      <c r="AB40">
        <f>IF(AND('8 Cex'!D40&gt;Tmin, NOT('8 Cex'!$I40="")),'8 Cex'!$I40,0)</f>
        <v>0</v>
      </c>
      <c r="AC40">
        <f>IF(AND('8 Cex'!E40&gt;Tmin, NOT('8 Cex'!$I40="")),'8 Cex'!$I40,0)</f>
        <v>0</v>
      </c>
      <c r="AD40">
        <f>IF(AND('8 Cex'!F40&gt;Tmin, NOT('8 Cex'!$I40="")),'8 Cex'!$I40,0)</f>
        <v>0</v>
      </c>
      <c r="AE40">
        <f>IF(AND('8 Cex'!C40&lt;Tmax, NOT('8 Cex'!$H40="")),'8 Cex'!$H40,4)</f>
        <v>3</v>
      </c>
      <c r="AF40">
        <f>IF(AND('8 Cex'!D40&lt;Tmax, NOT('8 Cex'!$H40="")),'8 Cex'!$H40,4)</f>
        <v>3</v>
      </c>
      <c r="AG40">
        <f>IF(AND('8 Cex'!E40&lt;Tmax, NOT('8 Cex'!$H40="")),'8 Cex'!$H40,4)</f>
        <v>3</v>
      </c>
      <c r="AH40">
        <f>IF(AND('8 Cex'!F40&lt;Tmax, NOT('8 Cex'!$H40="")),'8 Cex'!$H40,4)</f>
        <v>3</v>
      </c>
      <c r="AI40"/>
    </row>
    <row r="41" spans="1:35" ht="20.399999999999999" x14ac:dyDescent="0.25">
      <c r="A41" s="164" t="s">
        <v>4564</v>
      </c>
      <c r="B41" s="164" t="s">
        <v>4571</v>
      </c>
      <c r="C41" s="136"/>
      <c r="D41" s="136"/>
      <c r="E41" s="136"/>
      <c r="F41" s="136"/>
      <c r="G41" s="133">
        <v>1</v>
      </c>
      <c r="H41" s="133">
        <v>3</v>
      </c>
      <c r="I41" s="133"/>
      <c r="J41" s="133"/>
      <c r="K41" s="135"/>
      <c r="AA41">
        <f>IF(AND('8 Cex'!C41&gt;Tmin, NOT('8 Cex'!$I41="")),'8 Cex'!$I41,0)</f>
        <v>0</v>
      </c>
      <c r="AB41">
        <f>IF(AND('8 Cex'!D41&gt;Tmin, NOT('8 Cex'!$I41="")),'8 Cex'!$I41,0)</f>
        <v>0</v>
      </c>
      <c r="AC41">
        <f>IF(AND('8 Cex'!E41&gt;Tmin, NOT('8 Cex'!$I41="")),'8 Cex'!$I41,0)</f>
        <v>0</v>
      </c>
      <c r="AD41">
        <f>IF(AND('8 Cex'!F41&gt;Tmin, NOT('8 Cex'!$I41="")),'8 Cex'!$I41,0)</f>
        <v>0</v>
      </c>
      <c r="AE41">
        <f>IF(AND('8 Cex'!C41&lt;Tmax, NOT('8 Cex'!$H41="")),'8 Cex'!$H41,4)</f>
        <v>3</v>
      </c>
      <c r="AF41">
        <f>IF(AND('8 Cex'!D41&lt;Tmax, NOT('8 Cex'!$H41="")),'8 Cex'!$H41,4)</f>
        <v>3</v>
      </c>
      <c r="AG41">
        <f>IF(AND('8 Cex'!E41&lt;Tmax, NOT('8 Cex'!$H41="")),'8 Cex'!$H41,4)</f>
        <v>3</v>
      </c>
      <c r="AH41">
        <f>IF(AND('8 Cex'!F41&lt;Tmax, NOT('8 Cex'!$H41="")),'8 Cex'!$H41,4)</f>
        <v>3</v>
      </c>
      <c r="AI41"/>
    </row>
    <row r="42" spans="1:35" ht="17.25" customHeight="1" x14ac:dyDescent="0.25">
      <c r="A42" s="164" t="s">
        <v>808</v>
      </c>
      <c r="B42" s="164" t="s">
        <v>6781</v>
      </c>
      <c r="C42" s="136"/>
      <c r="D42" s="136"/>
      <c r="E42" s="136"/>
      <c r="F42" s="136"/>
      <c r="G42" s="133"/>
      <c r="H42" s="133"/>
      <c r="I42" s="133"/>
      <c r="J42" s="133"/>
      <c r="K42" s="135"/>
      <c r="AA42"/>
      <c r="AB42"/>
      <c r="AC42"/>
      <c r="AD42"/>
      <c r="AE42"/>
      <c r="AF42"/>
      <c r="AG42"/>
      <c r="AH42"/>
      <c r="AI42"/>
    </row>
    <row r="43" spans="1:35" ht="16.5" customHeight="1" x14ac:dyDescent="0.25">
      <c r="A43" s="164" t="s">
        <v>1584</v>
      </c>
      <c r="B43" s="164" t="s">
        <v>2086</v>
      </c>
      <c r="C43" s="136"/>
      <c r="D43" s="136"/>
      <c r="E43" s="136"/>
      <c r="F43" s="136"/>
      <c r="G43" s="133">
        <v>4</v>
      </c>
      <c r="H43" s="133">
        <v>3</v>
      </c>
      <c r="I43" s="133"/>
      <c r="J43" s="133"/>
      <c r="K43" s="135"/>
      <c r="AA43">
        <f>IF(AND('8 Cex'!C43&gt;Tmin, NOT('8 Cex'!$I43="")),'8 Cex'!$I43,0)</f>
        <v>0</v>
      </c>
      <c r="AB43">
        <f>IF(AND('8 Cex'!D43&gt;Tmin, NOT('8 Cex'!$I43="")),'8 Cex'!$I43,0)</f>
        <v>0</v>
      </c>
      <c r="AC43">
        <f>IF(AND('8 Cex'!E43&gt;Tmin, NOT('8 Cex'!$I43="")),'8 Cex'!$I43,0)</f>
        <v>0</v>
      </c>
      <c r="AD43">
        <f>IF(AND('8 Cex'!F43&gt;Tmin, NOT('8 Cex'!$I43="")),'8 Cex'!$I43,0)</f>
        <v>0</v>
      </c>
      <c r="AE43">
        <f>IF(AND('8 Cex'!C43&lt;Tmax, NOT('8 Cex'!$H43="")),'8 Cex'!$H43,4)</f>
        <v>3</v>
      </c>
      <c r="AF43">
        <f>IF(AND('8 Cex'!D43&lt;Tmax, NOT('8 Cex'!$H43="")),'8 Cex'!$H43,4)</f>
        <v>3</v>
      </c>
      <c r="AG43">
        <f>IF(AND('8 Cex'!E43&lt;Tmax, NOT('8 Cex'!$H43="")),'8 Cex'!$H43,4)</f>
        <v>3</v>
      </c>
      <c r="AH43">
        <f>IF(AND('8 Cex'!F43&lt;Tmax, NOT('8 Cex'!$H43="")),'8 Cex'!$H43,4)</f>
        <v>3</v>
      </c>
      <c r="AI43"/>
    </row>
    <row r="44" spans="1:35" x14ac:dyDescent="0.25">
      <c r="A44" s="164" t="s">
        <v>1585</v>
      </c>
      <c r="B44" s="164" t="s">
        <v>2087</v>
      </c>
      <c r="C44" s="136"/>
      <c r="D44" s="136"/>
      <c r="E44" s="136"/>
      <c r="F44" s="136"/>
      <c r="G44" s="133">
        <v>4</v>
      </c>
      <c r="H44" s="133">
        <v>3</v>
      </c>
      <c r="I44" s="133"/>
      <c r="J44" s="133"/>
      <c r="K44" s="135"/>
      <c r="AA44">
        <f>IF(AND('8 Cex'!C44&gt;Tmin, NOT('8 Cex'!$I44="")),'8 Cex'!$I44,0)</f>
        <v>0</v>
      </c>
      <c r="AB44">
        <f>IF(AND('8 Cex'!D44&gt;Tmin, NOT('8 Cex'!$I44="")),'8 Cex'!$I44,0)</f>
        <v>0</v>
      </c>
      <c r="AC44">
        <f>IF(AND('8 Cex'!E44&gt;Tmin, NOT('8 Cex'!$I44="")),'8 Cex'!$I44,0)</f>
        <v>0</v>
      </c>
      <c r="AD44">
        <f>IF(AND('8 Cex'!F44&gt;Tmin, NOT('8 Cex'!$I44="")),'8 Cex'!$I44,0)</f>
        <v>0</v>
      </c>
      <c r="AE44">
        <f>IF(AND('8 Cex'!C44&lt;Tmax, NOT('8 Cex'!$H44="")),'8 Cex'!$H44,4)</f>
        <v>3</v>
      </c>
      <c r="AF44">
        <f>IF(AND('8 Cex'!D44&lt;Tmax, NOT('8 Cex'!$H44="")),'8 Cex'!$H44,4)</f>
        <v>3</v>
      </c>
      <c r="AG44">
        <f>IF(AND('8 Cex'!E44&lt;Tmax, NOT('8 Cex'!$H44="")),'8 Cex'!$H44,4)</f>
        <v>3</v>
      </c>
      <c r="AH44">
        <f>IF(AND('8 Cex'!F44&lt;Tmax, NOT('8 Cex'!$H44="")),'8 Cex'!$H44,4)</f>
        <v>3</v>
      </c>
      <c r="AI44"/>
    </row>
    <row r="45" spans="1:35" x14ac:dyDescent="0.25">
      <c r="A45" s="164" t="s">
        <v>1586</v>
      </c>
      <c r="B45" s="164" t="s">
        <v>2082</v>
      </c>
      <c r="C45" s="136"/>
      <c r="D45" s="136"/>
      <c r="E45" s="136"/>
      <c r="F45" s="136"/>
      <c r="G45" s="133">
        <v>2</v>
      </c>
      <c r="H45" s="133">
        <v>3</v>
      </c>
      <c r="I45" s="133"/>
      <c r="J45" s="133"/>
      <c r="K45" s="135"/>
      <c r="AA45">
        <f>IF(AND('8 Cex'!C45&gt;Tmin, NOT('8 Cex'!$I45="")),'8 Cex'!$I45,0)</f>
        <v>0</v>
      </c>
      <c r="AB45">
        <f>IF(AND('8 Cex'!D45&gt;Tmin, NOT('8 Cex'!$I45="")),'8 Cex'!$I45,0)</f>
        <v>0</v>
      </c>
      <c r="AC45">
        <f>IF(AND('8 Cex'!E45&gt;Tmin, NOT('8 Cex'!$I45="")),'8 Cex'!$I45,0)</f>
        <v>0</v>
      </c>
      <c r="AD45">
        <f>IF(AND('8 Cex'!F45&gt;Tmin, NOT('8 Cex'!$I45="")),'8 Cex'!$I45,0)</f>
        <v>0</v>
      </c>
      <c r="AE45">
        <f>IF(AND('8 Cex'!C45&lt;Tmax, NOT('8 Cex'!$H45="")),'8 Cex'!$H45,4)</f>
        <v>3</v>
      </c>
      <c r="AF45">
        <f>IF(AND('8 Cex'!D45&lt;Tmax, NOT('8 Cex'!$H45="")),'8 Cex'!$H45,4)</f>
        <v>3</v>
      </c>
      <c r="AG45">
        <f>IF(AND('8 Cex'!E45&lt;Tmax, NOT('8 Cex'!$H45="")),'8 Cex'!$H45,4)</f>
        <v>3</v>
      </c>
      <c r="AH45">
        <f>IF(AND('8 Cex'!F45&lt;Tmax, NOT('8 Cex'!$H45="")),'8 Cex'!$H45,4)</f>
        <v>3</v>
      </c>
      <c r="AI45"/>
    </row>
    <row r="46" spans="1:35" ht="23.25" customHeight="1" x14ac:dyDescent="0.25">
      <c r="A46" s="164" t="s">
        <v>1587</v>
      </c>
      <c r="B46" s="164" t="s">
        <v>2220</v>
      </c>
      <c r="C46" s="136"/>
      <c r="D46" s="136"/>
      <c r="E46" s="136"/>
      <c r="F46" s="136"/>
      <c r="G46" s="133">
        <v>2</v>
      </c>
      <c r="H46" s="133">
        <v>3</v>
      </c>
      <c r="I46" s="133"/>
      <c r="J46" s="133"/>
      <c r="K46" s="135"/>
      <c r="AA46">
        <f>IF(AND('8 Cex'!C46&gt;Tmin, NOT('8 Cex'!$I46="")),'8 Cex'!$I46,0)</f>
        <v>0</v>
      </c>
      <c r="AB46">
        <f>IF(AND('8 Cex'!D46&gt;Tmin, NOT('8 Cex'!$I46="")),'8 Cex'!$I46,0)</f>
        <v>0</v>
      </c>
      <c r="AC46">
        <f>IF(AND('8 Cex'!E46&gt;Tmin, NOT('8 Cex'!$I46="")),'8 Cex'!$I46,0)</f>
        <v>0</v>
      </c>
      <c r="AD46">
        <f>IF(AND('8 Cex'!F46&gt;Tmin, NOT('8 Cex'!$I46="")),'8 Cex'!$I46,0)</f>
        <v>0</v>
      </c>
      <c r="AE46">
        <f>IF(AND('8 Cex'!C46&lt;Tmax, NOT('8 Cex'!$H46="")),'8 Cex'!$H46,4)</f>
        <v>3</v>
      </c>
      <c r="AF46">
        <f>IF(AND('8 Cex'!D46&lt;Tmax, NOT('8 Cex'!$H46="")),'8 Cex'!$H46,4)</f>
        <v>3</v>
      </c>
      <c r="AG46">
        <f>IF(AND('8 Cex'!E46&lt;Tmax, NOT('8 Cex'!$H46="")),'8 Cex'!$H46,4)</f>
        <v>3</v>
      </c>
      <c r="AH46">
        <f>IF(AND('8 Cex'!F46&lt;Tmax, NOT('8 Cex'!$H46="")),'8 Cex'!$H46,4)</f>
        <v>3</v>
      </c>
      <c r="AI46"/>
    </row>
    <row r="47" spans="1:35" x14ac:dyDescent="0.25">
      <c r="A47" s="164" t="s">
        <v>810</v>
      </c>
      <c r="B47" s="164" t="s">
        <v>4573</v>
      </c>
      <c r="C47" s="136"/>
      <c r="D47" s="136"/>
      <c r="E47" s="136"/>
      <c r="F47" s="136"/>
      <c r="G47" s="133"/>
      <c r="H47" s="133"/>
      <c r="I47" s="133"/>
      <c r="J47" s="133"/>
      <c r="K47" s="135"/>
      <c r="AA47"/>
      <c r="AB47"/>
      <c r="AC47"/>
      <c r="AD47"/>
      <c r="AE47"/>
      <c r="AF47"/>
      <c r="AG47"/>
      <c r="AH47"/>
      <c r="AI47"/>
    </row>
    <row r="48" spans="1:35" ht="20.399999999999999" x14ac:dyDescent="0.25">
      <c r="A48" s="164" t="s">
        <v>1588</v>
      </c>
      <c r="B48" s="164" t="s">
        <v>4574</v>
      </c>
      <c r="C48" s="136"/>
      <c r="D48" s="136"/>
      <c r="E48" s="136"/>
      <c r="F48" s="136"/>
      <c r="G48" s="133">
        <v>4</v>
      </c>
      <c r="H48" s="133"/>
      <c r="I48" s="133"/>
      <c r="J48" s="133"/>
      <c r="K48" s="135"/>
      <c r="AA48">
        <f>IF(AND('8 Cex'!C48&gt;Tmin, NOT('8 Cex'!$I48="")),'8 Cex'!$I48,0)</f>
        <v>0</v>
      </c>
      <c r="AB48">
        <f>IF(AND('8 Cex'!D48&gt;Tmin, NOT('8 Cex'!$I48="")),'8 Cex'!$I48,0)</f>
        <v>0</v>
      </c>
      <c r="AC48">
        <f>IF(AND('8 Cex'!E48&gt;Tmin, NOT('8 Cex'!$I48="")),'8 Cex'!$I48,0)</f>
        <v>0</v>
      </c>
      <c r="AD48">
        <f>IF(AND('8 Cex'!F48&gt;Tmin, NOT('8 Cex'!$I48="")),'8 Cex'!$I48,0)</f>
        <v>0</v>
      </c>
      <c r="AE48">
        <f>IF(AND('8 Cex'!C48&lt;Tmax, NOT('8 Cex'!$H48="")),'8 Cex'!$H48,4)</f>
        <v>4</v>
      </c>
      <c r="AF48">
        <f>IF(AND('8 Cex'!D48&lt;Tmax, NOT('8 Cex'!$H48="")),'8 Cex'!$H48,4)</f>
        <v>4</v>
      </c>
      <c r="AG48">
        <f>IF(AND('8 Cex'!E48&lt;Tmax, NOT('8 Cex'!$H48="")),'8 Cex'!$H48,4)</f>
        <v>4</v>
      </c>
      <c r="AH48">
        <f>IF(AND('8 Cex'!F48&lt;Tmax, NOT('8 Cex'!$H48="")),'8 Cex'!$H48,4)</f>
        <v>4</v>
      </c>
      <c r="AI48"/>
    </row>
    <row r="49" spans="1:35" x14ac:dyDescent="0.25">
      <c r="A49" s="164" t="s">
        <v>2094</v>
      </c>
      <c r="B49" s="164" t="s">
        <v>4555</v>
      </c>
      <c r="C49" s="136"/>
      <c r="D49" s="136"/>
      <c r="E49" s="136"/>
      <c r="F49" s="136"/>
      <c r="G49" s="133">
        <v>4</v>
      </c>
      <c r="H49" s="133"/>
      <c r="I49" s="133"/>
      <c r="J49" s="133"/>
      <c r="K49" s="135"/>
      <c r="AA49">
        <f>IF(AND('8 Cex'!C49&gt;Tmin, NOT('8 Cex'!$I49="")),'8 Cex'!$I49,0)</f>
        <v>0</v>
      </c>
      <c r="AB49">
        <f>IF(AND('8 Cex'!D49&gt;Tmin, NOT('8 Cex'!$I49="")),'8 Cex'!$I49,0)</f>
        <v>0</v>
      </c>
      <c r="AC49">
        <f>IF(AND('8 Cex'!E49&gt;Tmin, NOT('8 Cex'!$I49="")),'8 Cex'!$I49,0)</f>
        <v>0</v>
      </c>
      <c r="AD49">
        <f>IF(AND('8 Cex'!F49&gt;Tmin, NOT('8 Cex'!$I49="")),'8 Cex'!$I49,0)</f>
        <v>0</v>
      </c>
      <c r="AE49">
        <f>IF(AND('8 Cex'!C49&lt;Tmax, NOT('8 Cex'!$H49="")),'8 Cex'!$H49,4)</f>
        <v>4</v>
      </c>
      <c r="AF49">
        <f>IF(AND('8 Cex'!D49&lt;Tmax, NOT('8 Cex'!$H49="")),'8 Cex'!$H49,4)</f>
        <v>4</v>
      </c>
      <c r="AG49">
        <f>IF(AND('8 Cex'!E49&lt;Tmax, NOT('8 Cex'!$H49="")),'8 Cex'!$H49,4)</f>
        <v>4</v>
      </c>
      <c r="AH49">
        <f>IF(AND('8 Cex'!F49&lt;Tmax, NOT('8 Cex'!$H49="")),'8 Cex'!$H49,4)</f>
        <v>4</v>
      </c>
      <c r="AI49"/>
    </row>
    <row r="50" spans="1:35" x14ac:dyDescent="0.25">
      <c r="A50" s="164" t="s">
        <v>2095</v>
      </c>
      <c r="B50" s="164" t="s">
        <v>4553</v>
      </c>
      <c r="C50" s="136"/>
      <c r="D50" s="136"/>
      <c r="E50" s="136"/>
      <c r="F50" s="136"/>
      <c r="G50" s="133">
        <v>4</v>
      </c>
      <c r="H50" s="133"/>
      <c r="I50" s="133"/>
      <c r="J50" s="133"/>
      <c r="K50" s="135"/>
      <c r="AA50">
        <f>IF(AND('8 Cex'!C50&gt;Tmin, NOT('8 Cex'!$I50="")),'8 Cex'!$I50,0)</f>
        <v>0</v>
      </c>
      <c r="AB50">
        <f>IF(AND('8 Cex'!D50&gt;Tmin, NOT('8 Cex'!$I50="")),'8 Cex'!$I50,0)</f>
        <v>0</v>
      </c>
      <c r="AC50">
        <f>IF(AND('8 Cex'!E50&gt;Tmin, NOT('8 Cex'!$I50="")),'8 Cex'!$I50,0)</f>
        <v>0</v>
      </c>
      <c r="AD50">
        <f>IF(AND('8 Cex'!F50&gt;Tmin, NOT('8 Cex'!$I50="")),'8 Cex'!$I50,0)</f>
        <v>0</v>
      </c>
      <c r="AE50">
        <f>IF(AND('8 Cex'!C50&lt;Tmax, NOT('8 Cex'!$H50="")),'8 Cex'!$H50,4)</f>
        <v>4</v>
      </c>
      <c r="AF50">
        <f>IF(AND('8 Cex'!D50&lt;Tmax, NOT('8 Cex'!$H50="")),'8 Cex'!$H50,4)</f>
        <v>4</v>
      </c>
      <c r="AG50">
        <f>IF(AND('8 Cex'!E50&lt;Tmax, NOT('8 Cex'!$H50="")),'8 Cex'!$H50,4)</f>
        <v>4</v>
      </c>
      <c r="AH50">
        <f>IF(AND('8 Cex'!F50&lt;Tmax, NOT('8 Cex'!$H50="")),'8 Cex'!$H50,4)</f>
        <v>4</v>
      </c>
      <c r="AI50"/>
    </row>
    <row r="51" spans="1:35" x14ac:dyDescent="0.25">
      <c r="A51" s="164" t="s">
        <v>4565</v>
      </c>
      <c r="B51" s="164" t="s">
        <v>4556</v>
      </c>
      <c r="C51" s="136"/>
      <c r="D51" s="136"/>
      <c r="E51" s="136"/>
      <c r="F51" s="136"/>
      <c r="G51" s="133">
        <v>4</v>
      </c>
      <c r="H51" s="133"/>
      <c r="I51" s="133"/>
      <c r="J51" s="133"/>
      <c r="K51" s="135"/>
      <c r="AA51">
        <f>IF(AND('8 Cex'!C51&gt;Tmin, NOT('8 Cex'!$I51="")),'8 Cex'!$I51,0)</f>
        <v>0</v>
      </c>
      <c r="AB51">
        <f>IF(AND('8 Cex'!D51&gt;Tmin, NOT('8 Cex'!$I51="")),'8 Cex'!$I51,0)</f>
        <v>0</v>
      </c>
      <c r="AC51">
        <f>IF(AND('8 Cex'!E51&gt;Tmin, NOT('8 Cex'!$I51="")),'8 Cex'!$I51,0)</f>
        <v>0</v>
      </c>
      <c r="AD51">
        <f>IF(AND('8 Cex'!F51&gt;Tmin, NOT('8 Cex'!$I51="")),'8 Cex'!$I51,0)</f>
        <v>0</v>
      </c>
      <c r="AE51">
        <f>IF(AND('8 Cex'!C51&lt;Tmax, NOT('8 Cex'!$H51="")),'8 Cex'!$H51,4)</f>
        <v>4</v>
      </c>
      <c r="AF51">
        <f>IF(AND('8 Cex'!D51&lt;Tmax, NOT('8 Cex'!$H51="")),'8 Cex'!$H51,4)</f>
        <v>4</v>
      </c>
      <c r="AG51">
        <f>IF(AND('8 Cex'!E51&lt;Tmax, NOT('8 Cex'!$H51="")),'8 Cex'!$H51,4)</f>
        <v>4</v>
      </c>
      <c r="AH51">
        <f>IF(AND('8 Cex'!F51&lt;Tmax, NOT('8 Cex'!$H51="")),'8 Cex'!$H51,4)</f>
        <v>4</v>
      </c>
      <c r="AI51"/>
    </row>
    <row r="52" spans="1:35" x14ac:dyDescent="0.25">
      <c r="A52" s="164" t="s">
        <v>1598</v>
      </c>
      <c r="B52" s="164" t="s">
        <v>1597</v>
      </c>
      <c r="C52" s="136"/>
      <c r="D52" s="136"/>
      <c r="E52" s="136"/>
      <c r="F52" s="136"/>
      <c r="G52" s="133"/>
      <c r="H52" s="133"/>
      <c r="I52" s="133"/>
      <c r="J52" s="133"/>
      <c r="K52" s="135"/>
      <c r="AA52"/>
      <c r="AB52"/>
      <c r="AC52"/>
      <c r="AD52"/>
      <c r="AE52"/>
      <c r="AF52"/>
      <c r="AG52"/>
      <c r="AH52"/>
      <c r="AI52"/>
    </row>
    <row r="53" spans="1:35" x14ac:dyDescent="0.25">
      <c r="A53" s="164" t="s">
        <v>813</v>
      </c>
      <c r="B53" s="164" t="s">
        <v>83</v>
      </c>
      <c r="C53" s="136"/>
      <c r="D53" s="136"/>
      <c r="E53" s="136"/>
      <c r="F53" s="136"/>
      <c r="G53" s="133"/>
      <c r="H53" s="133"/>
      <c r="I53" s="133"/>
      <c r="J53" s="133"/>
      <c r="K53" s="135"/>
      <c r="AA53"/>
      <c r="AB53"/>
      <c r="AC53"/>
      <c r="AD53"/>
      <c r="AE53"/>
      <c r="AF53"/>
      <c r="AG53"/>
      <c r="AH53"/>
      <c r="AI53"/>
    </row>
    <row r="54" spans="1:35" ht="20.399999999999999" x14ac:dyDescent="0.25">
      <c r="A54" s="164" t="s">
        <v>1589</v>
      </c>
      <c r="B54" s="164" t="s">
        <v>7454</v>
      </c>
      <c r="C54" s="136"/>
      <c r="D54" s="136"/>
      <c r="E54" s="136"/>
      <c r="F54" s="136"/>
      <c r="G54" s="133">
        <v>2</v>
      </c>
      <c r="H54" s="133">
        <v>2</v>
      </c>
      <c r="I54" s="133"/>
      <c r="J54" s="133" t="s">
        <v>7034</v>
      </c>
      <c r="K54" s="135"/>
      <c r="AA54">
        <f>IF(AND('8 Cex'!C54&gt;Tmin, NOT('8 Cex'!$I54="")),'8 Cex'!$I54,0)</f>
        <v>0</v>
      </c>
      <c r="AB54">
        <f>IF(AND('8 Cex'!D54&gt;Tmin, NOT('8 Cex'!$I54="")),'8 Cex'!$I54,0)</f>
        <v>0</v>
      </c>
      <c r="AC54">
        <f>IF(AND('8 Cex'!E54&gt;Tmin, NOT('8 Cex'!$I54="")),'8 Cex'!$I54,0)</f>
        <v>0</v>
      </c>
      <c r="AD54">
        <f>IF(AND('8 Cex'!F54&gt;Tmin, NOT('8 Cex'!$I54="")),'8 Cex'!$I54,0)</f>
        <v>0</v>
      </c>
      <c r="AE54">
        <f>IF(AND('8 Cex'!C54&lt;Tmax, NOT('8 Cex'!$H54="")),'8 Cex'!$H54,4)</f>
        <v>2</v>
      </c>
      <c r="AF54">
        <f>IF(AND('8 Cex'!D54&lt;Tmax, NOT('8 Cex'!$H54="")),'8 Cex'!$H54,4)</f>
        <v>2</v>
      </c>
      <c r="AG54">
        <f>IF(AND('8 Cex'!E54&lt;Tmax, NOT('8 Cex'!$H54="")),'8 Cex'!$H54,4)</f>
        <v>2</v>
      </c>
      <c r="AH54">
        <f>IF(AND('8 Cex'!F54&lt;Tmax, NOT('8 Cex'!$H54="")),'8 Cex'!$H54,4)</f>
        <v>2</v>
      </c>
      <c r="AI54"/>
    </row>
    <row r="55" spans="1:35" s="326" customFormat="1" x14ac:dyDescent="0.25">
      <c r="A55" s="164" t="s">
        <v>1590</v>
      </c>
      <c r="B55" s="164" t="s">
        <v>7287</v>
      </c>
      <c r="C55" s="136"/>
      <c r="D55" s="136"/>
      <c r="E55" s="136"/>
      <c r="F55" s="136"/>
      <c r="G55" s="133">
        <v>2</v>
      </c>
      <c r="H55" s="133"/>
      <c r="I55" s="133"/>
      <c r="J55" s="133" t="s">
        <v>7034</v>
      </c>
      <c r="K55" s="135"/>
      <c r="AA55">
        <f>IF(AND('8 Cex'!C55&gt;Tmin, NOT('8 Cex'!$I55="")),'8 Cex'!$I55,0)</f>
        <v>0</v>
      </c>
      <c r="AB55">
        <f>IF(AND('8 Cex'!D55&gt;Tmin, NOT('8 Cex'!$I55="")),'8 Cex'!$I55,0)</f>
        <v>0</v>
      </c>
      <c r="AC55">
        <f>IF(AND('8 Cex'!E55&gt;Tmin, NOT('8 Cex'!$I55="")),'8 Cex'!$I55,0)</f>
        <v>0</v>
      </c>
      <c r="AD55">
        <f>IF(AND('8 Cex'!F55&gt;Tmin, NOT('8 Cex'!$I55="")),'8 Cex'!$I55,0)</f>
        <v>0</v>
      </c>
      <c r="AE55">
        <f>IF(AND('8 Cex'!C55&lt;Tmax, NOT('8 Cex'!$H55="")),'8 Cex'!$H55,4)</f>
        <v>4</v>
      </c>
      <c r="AF55">
        <f>IF(AND('8 Cex'!D55&lt;Tmax, NOT('8 Cex'!$H55="")),'8 Cex'!$H55,4)</f>
        <v>4</v>
      </c>
      <c r="AG55">
        <f>IF(AND('8 Cex'!E55&lt;Tmax, NOT('8 Cex'!$H55="")),'8 Cex'!$H55,4)</f>
        <v>4</v>
      </c>
      <c r="AH55">
        <f>IF(AND('8 Cex'!F55&lt;Tmax, NOT('8 Cex'!$H55="")),'8 Cex'!$H55,4)</f>
        <v>4</v>
      </c>
      <c r="AI55"/>
    </row>
    <row r="56" spans="1:35" ht="20.399999999999999" x14ac:dyDescent="0.25">
      <c r="A56" s="164" t="s">
        <v>1591</v>
      </c>
      <c r="B56" s="164" t="s">
        <v>7288</v>
      </c>
      <c r="C56" s="136"/>
      <c r="D56" s="136"/>
      <c r="E56" s="136"/>
      <c r="F56" s="136"/>
      <c r="G56" s="133">
        <v>4</v>
      </c>
      <c r="H56" s="133"/>
      <c r="I56" s="133"/>
      <c r="J56" s="133" t="s">
        <v>7034</v>
      </c>
      <c r="K56" s="135"/>
      <c r="AA56">
        <f>IF(AND('8 Cex'!C56&gt;Tmin, NOT('8 Cex'!$I56="")),'8 Cex'!$I56,0)</f>
        <v>0</v>
      </c>
      <c r="AB56">
        <f>IF(AND('8 Cex'!D56&gt;Tmin, NOT('8 Cex'!$I56="")),'8 Cex'!$I56,0)</f>
        <v>0</v>
      </c>
      <c r="AC56">
        <f>IF(AND('8 Cex'!E56&gt;Tmin, NOT('8 Cex'!$I56="")),'8 Cex'!$I56,0)</f>
        <v>0</v>
      </c>
      <c r="AD56">
        <f>IF(AND('8 Cex'!F56&gt;Tmin, NOT('8 Cex'!$I56="")),'8 Cex'!$I56,0)</f>
        <v>0</v>
      </c>
      <c r="AE56">
        <f>IF(AND('8 Cex'!C56&lt;Tmax, NOT('8 Cex'!$H56="")),'8 Cex'!$H56,4)</f>
        <v>4</v>
      </c>
      <c r="AF56">
        <f>IF(AND('8 Cex'!D56&lt;Tmax, NOT('8 Cex'!$H56="")),'8 Cex'!$H56,4)</f>
        <v>4</v>
      </c>
      <c r="AG56">
        <f>IF(AND('8 Cex'!E56&lt;Tmax, NOT('8 Cex'!$H56="")),'8 Cex'!$H56,4)</f>
        <v>4</v>
      </c>
      <c r="AH56">
        <f>IF(AND('8 Cex'!F56&lt;Tmax, NOT('8 Cex'!$H56="")),'8 Cex'!$H56,4)</f>
        <v>4</v>
      </c>
      <c r="AI56"/>
    </row>
    <row r="57" spans="1:35" ht="20.399999999999999" x14ac:dyDescent="0.25">
      <c r="A57" s="164" t="s">
        <v>1592</v>
      </c>
      <c r="B57" s="164" t="s">
        <v>7289</v>
      </c>
      <c r="C57" s="136"/>
      <c r="D57" s="136"/>
      <c r="E57" s="136"/>
      <c r="F57" s="136"/>
      <c r="G57" s="133">
        <v>2</v>
      </c>
      <c r="H57" s="133">
        <v>2</v>
      </c>
      <c r="I57" s="133"/>
      <c r="J57" s="133" t="s">
        <v>7034</v>
      </c>
      <c r="K57" s="135"/>
      <c r="AA57">
        <f>IF(AND('8 Cex'!C57&gt;Tmin, NOT('8 Cex'!$I57="")),'8 Cex'!$I57,0)</f>
        <v>0</v>
      </c>
      <c r="AB57">
        <f>IF(AND('8 Cex'!D57&gt;Tmin, NOT('8 Cex'!$I57="")),'8 Cex'!$I57,0)</f>
        <v>0</v>
      </c>
      <c r="AC57">
        <f>IF(AND('8 Cex'!E57&gt;Tmin, NOT('8 Cex'!$I57="")),'8 Cex'!$I57,0)</f>
        <v>0</v>
      </c>
      <c r="AD57">
        <f>IF(AND('8 Cex'!F57&gt;Tmin, NOT('8 Cex'!$I57="")),'8 Cex'!$I57,0)</f>
        <v>0</v>
      </c>
      <c r="AE57">
        <f>IF(AND('8 Cex'!C57&lt;Tmax, NOT('8 Cex'!$H57="")),'8 Cex'!$H57,4)</f>
        <v>2</v>
      </c>
      <c r="AF57">
        <f>IF(AND('8 Cex'!D57&lt;Tmax, NOT('8 Cex'!$H57="")),'8 Cex'!$H57,4)</f>
        <v>2</v>
      </c>
      <c r="AG57">
        <f>IF(AND('8 Cex'!E57&lt;Tmax, NOT('8 Cex'!$H57="")),'8 Cex'!$H57,4)</f>
        <v>2</v>
      </c>
      <c r="AH57">
        <f>IF(AND('8 Cex'!F57&lt;Tmax, NOT('8 Cex'!$H57="")),'8 Cex'!$H57,4)</f>
        <v>2</v>
      </c>
      <c r="AI57"/>
    </row>
    <row r="58" spans="1:35" x14ac:dyDescent="0.25">
      <c r="A58" s="164" t="s">
        <v>815</v>
      </c>
      <c r="B58" s="164" t="s">
        <v>809</v>
      </c>
      <c r="C58" s="136"/>
      <c r="D58" s="136"/>
      <c r="E58" s="136"/>
      <c r="F58" s="136"/>
      <c r="G58" s="133"/>
      <c r="H58" s="133"/>
      <c r="I58" s="133"/>
      <c r="J58" s="133"/>
      <c r="K58" s="135"/>
      <c r="AA58"/>
      <c r="AB58"/>
      <c r="AC58"/>
      <c r="AD58"/>
      <c r="AE58"/>
      <c r="AF58"/>
      <c r="AG58"/>
      <c r="AH58"/>
      <c r="AI58"/>
    </row>
    <row r="59" spans="1:35" ht="20.399999999999999" x14ac:dyDescent="0.25">
      <c r="A59" s="164" t="s">
        <v>1593</v>
      </c>
      <c r="B59" s="164" t="s">
        <v>7290</v>
      </c>
      <c r="C59" s="136"/>
      <c r="D59" s="136"/>
      <c r="E59" s="136"/>
      <c r="F59" s="136"/>
      <c r="G59" s="133">
        <v>4</v>
      </c>
      <c r="H59" s="133">
        <v>2</v>
      </c>
      <c r="I59" s="133"/>
      <c r="J59" s="133" t="s">
        <v>7036</v>
      </c>
      <c r="K59" s="135"/>
      <c r="AA59">
        <f>IF(AND('8 Cex'!C59&gt;Tmin, NOT('8 Cex'!$I59="")),'8 Cex'!$I59,0)</f>
        <v>0</v>
      </c>
      <c r="AB59">
        <f>IF(AND('8 Cex'!D59&gt;Tmin, NOT('8 Cex'!$I59="")),'8 Cex'!$I59,0)</f>
        <v>0</v>
      </c>
      <c r="AC59">
        <f>IF(AND('8 Cex'!E59&gt;Tmin, NOT('8 Cex'!$I59="")),'8 Cex'!$I59,0)</f>
        <v>0</v>
      </c>
      <c r="AD59">
        <f>IF(AND('8 Cex'!F59&gt;Tmin, NOT('8 Cex'!$I59="")),'8 Cex'!$I59,0)</f>
        <v>0</v>
      </c>
      <c r="AE59">
        <f>IF(AND('8 Cex'!C59&lt;Tmax, NOT('8 Cex'!$H59="")),'8 Cex'!$H59,4)</f>
        <v>2</v>
      </c>
      <c r="AF59">
        <f>IF(AND('8 Cex'!D59&lt;Tmax, NOT('8 Cex'!$H59="")),'8 Cex'!$H59,4)</f>
        <v>2</v>
      </c>
      <c r="AG59">
        <f>IF(AND('8 Cex'!E59&lt;Tmax, NOT('8 Cex'!$H59="")),'8 Cex'!$H59,4)</f>
        <v>2</v>
      </c>
      <c r="AH59">
        <f>IF(AND('8 Cex'!F59&lt;Tmax, NOT('8 Cex'!$H59="")),'8 Cex'!$H59,4)</f>
        <v>2</v>
      </c>
      <c r="AI59"/>
    </row>
    <row r="60" spans="1:35" ht="20.399999999999999" x14ac:dyDescent="0.25">
      <c r="A60" s="164" t="s">
        <v>1594</v>
      </c>
      <c r="B60" s="164" t="s">
        <v>7291</v>
      </c>
      <c r="C60" s="136"/>
      <c r="D60" s="136"/>
      <c r="E60" s="136"/>
      <c r="F60" s="136"/>
      <c r="G60" s="133">
        <v>2</v>
      </c>
      <c r="H60" s="133"/>
      <c r="I60" s="133"/>
      <c r="J60" s="133" t="s">
        <v>7036</v>
      </c>
      <c r="K60" s="135"/>
      <c r="AA60">
        <f>IF(AND('8 Cex'!C60&gt;Tmin, NOT('8 Cex'!$I60="")),'8 Cex'!$I60,0)</f>
        <v>0</v>
      </c>
      <c r="AB60">
        <f>IF(AND('8 Cex'!D60&gt;Tmin, NOT('8 Cex'!$I60="")),'8 Cex'!$I60,0)</f>
        <v>0</v>
      </c>
      <c r="AC60">
        <f>IF(AND('8 Cex'!E60&gt;Tmin, NOT('8 Cex'!$I60="")),'8 Cex'!$I60,0)</f>
        <v>0</v>
      </c>
      <c r="AD60">
        <f>IF(AND('8 Cex'!F60&gt;Tmin, NOT('8 Cex'!$I60="")),'8 Cex'!$I60,0)</f>
        <v>0</v>
      </c>
      <c r="AE60">
        <f>IF(AND('8 Cex'!C60&lt;Tmax, NOT('8 Cex'!$H60="")),'8 Cex'!$H60,4)</f>
        <v>4</v>
      </c>
      <c r="AF60">
        <f>IF(AND('8 Cex'!D60&lt;Tmax, NOT('8 Cex'!$H60="")),'8 Cex'!$H60,4)</f>
        <v>4</v>
      </c>
      <c r="AG60">
        <f>IF(AND('8 Cex'!E60&lt;Tmax, NOT('8 Cex'!$H60="")),'8 Cex'!$H60,4)</f>
        <v>4</v>
      </c>
      <c r="AH60">
        <f>IF(AND('8 Cex'!F60&lt;Tmax, NOT('8 Cex'!$H60="")),'8 Cex'!$H60,4)</f>
        <v>4</v>
      </c>
      <c r="AI60"/>
    </row>
    <row r="61" spans="1:35" s="326" customFormat="1" x14ac:dyDescent="0.2">
      <c r="A61" s="243"/>
      <c r="B61" s="243"/>
      <c r="C61" s="304"/>
      <c r="D61" s="304"/>
      <c r="E61" s="133"/>
      <c r="F61" s="133"/>
      <c r="G61" s="136"/>
      <c r="H61" s="133"/>
      <c r="I61" s="136"/>
      <c r="Y61"/>
      <c r="Z61"/>
      <c r="AA61"/>
      <c r="AB61"/>
      <c r="AC61"/>
      <c r="AD61"/>
      <c r="AE61"/>
      <c r="AF61"/>
      <c r="AG61"/>
      <c r="AH61"/>
      <c r="AI61"/>
    </row>
    <row r="62" spans="1:35" ht="13.8" x14ac:dyDescent="0.25">
      <c r="B62" s="323"/>
      <c r="G62" s="131"/>
      <c r="AA62"/>
      <c r="AB62"/>
      <c r="AC62"/>
      <c r="AD62"/>
      <c r="AE62"/>
      <c r="AF62"/>
      <c r="AG62"/>
      <c r="AH62"/>
      <c r="AI62"/>
    </row>
    <row r="63" spans="1:35" x14ac:dyDescent="0.25">
      <c r="AA63"/>
      <c r="AB63"/>
      <c r="AC63"/>
      <c r="AD63"/>
      <c r="AE63"/>
      <c r="AF63"/>
      <c r="AG63"/>
      <c r="AH63"/>
      <c r="AI63"/>
    </row>
    <row r="64" spans="1:35" x14ac:dyDescent="0.25">
      <c r="AA64"/>
      <c r="AB64"/>
      <c r="AC64"/>
      <c r="AD64"/>
      <c r="AE64"/>
      <c r="AF64"/>
      <c r="AG64"/>
      <c r="AH64"/>
      <c r="AI64"/>
    </row>
    <row r="65" spans="10:35" x14ac:dyDescent="0.25">
      <c r="AA65"/>
      <c r="AB65"/>
      <c r="AC65"/>
      <c r="AD65"/>
      <c r="AE65"/>
      <c r="AF65"/>
      <c r="AG65"/>
      <c r="AH65"/>
      <c r="AI65"/>
    </row>
    <row r="66" spans="10:35" x14ac:dyDescent="0.25">
      <c r="AA66"/>
      <c r="AB66"/>
      <c r="AC66"/>
      <c r="AD66"/>
      <c r="AE66"/>
      <c r="AF66"/>
      <c r="AG66"/>
      <c r="AH66"/>
      <c r="AI66"/>
    </row>
    <row r="67" spans="10:35" x14ac:dyDescent="0.25">
      <c r="AA67"/>
      <c r="AB67"/>
      <c r="AC67"/>
      <c r="AD67"/>
      <c r="AE67"/>
      <c r="AF67"/>
      <c r="AG67"/>
      <c r="AH67"/>
      <c r="AI67"/>
    </row>
    <row r="68" spans="10:35" x14ac:dyDescent="0.25">
      <c r="AA68"/>
      <c r="AB68"/>
      <c r="AC68"/>
      <c r="AD68"/>
      <c r="AE68"/>
      <c r="AF68"/>
      <c r="AG68"/>
      <c r="AH68"/>
      <c r="AI68"/>
    </row>
    <row r="69" spans="10:35" x14ac:dyDescent="0.25">
      <c r="AA69"/>
      <c r="AB69"/>
      <c r="AC69"/>
      <c r="AD69"/>
      <c r="AE69"/>
      <c r="AF69"/>
      <c r="AG69"/>
      <c r="AH69"/>
      <c r="AI69"/>
    </row>
    <row r="70" spans="10:35" x14ac:dyDescent="0.25">
      <c r="AA70"/>
      <c r="AB70"/>
      <c r="AC70"/>
      <c r="AD70"/>
      <c r="AE70"/>
      <c r="AF70"/>
      <c r="AG70"/>
      <c r="AH70"/>
      <c r="AI70"/>
    </row>
    <row r="71" spans="10:35" x14ac:dyDescent="0.25">
      <c r="J71" s="336"/>
      <c r="AA71"/>
      <c r="AB71"/>
      <c r="AC71"/>
      <c r="AD71"/>
      <c r="AE71"/>
      <c r="AF71"/>
      <c r="AG71"/>
      <c r="AH71"/>
      <c r="AI71"/>
    </row>
    <row r="72" spans="10:35" x14ac:dyDescent="0.25">
      <c r="AA72"/>
      <c r="AB72"/>
      <c r="AC72"/>
      <c r="AD72"/>
      <c r="AE72"/>
      <c r="AF72"/>
      <c r="AG72"/>
      <c r="AH72"/>
      <c r="AI72"/>
    </row>
    <row r="73" spans="10:35" x14ac:dyDescent="0.25">
      <c r="AA73"/>
      <c r="AB73"/>
      <c r="AC73"/>
      <c r="AD73"/>
      <c r="AE73"/>
      <c r="AF73"/>
      <c r="AG73"/>
      <c r="AH73"/>
      <c r="AI73"/>
    </row>
    <row r="74" spans="10:35" x14ac:dyDescent="0.25">
      <c r="AA74"/>
      <c r="AB74"/>
      <c r="AC74"/>
      <c r="AD74"/>
      <c r="AE74"/>
      <c r="AF74"/>
      <c r="AG74"/>
      <c r="AH74"/>
      <c r="AI74"/>
    </row>
    <row r="75" spans="10:35" x14ac:dyDescent="0.25">
      <c r="AA75"/>
      <c r="AB75"/>
      <c r="AC75"/>
      <c r="AD75"/>
      <c r="AE75"/>
      <c r="AF75"/>
      <c r="AG75"/>
      <c r="AH75"/>
      <c r="AI75"/>
    </row>
    <row r="76" spans="10:35" x14ac:dyDescent="0.25">
      <c r="AA76"/>
      <c r="AB76"/>
      <c r="AC76"/>
      <c r="AD76"/>
      <c r="AE76"/>
      <c r="AF76"/>
      <c r="AG76"/>
      <c r="AH76"/>
      <c r="AI76"/>
    </row>
    <row r="77" spans="10:35" x14ac:dyDescent="0.25">
      <c r="AA77"/>
      <c r="AB77"/>
      <c r="AC77"/>
      <c r="AD77"/>
      <c r="AE77"/>
      <c r="AF77"/>
      <c r="AG77"/>
      <c r="AH77"/>
      <c r="AI77"/>
    </row>
    <row r="78" spans="10:35" x14ac:dyDescent="0.25">
      <c r="AA78"/>
      <c r="AB78"/>
      <c r="AC78"/>
      <c r="AD78"/>
      <c r="AE78"/>
      <c r="AF78"/>
      <c r="AG78"/>
      <c r="AH78"/>
      <c r="AI78"/>
    </row>
    <row r="79" spans="10:35" x14ac:dyDescent="0.25">
      <c r="AA79"/>
      <c r="AB79"/>
      <c r="AC79"/>
      <c r="AD79"/>
      <c r="AE79"/>
      <c r="AF79"/>
      <c r="AG79"/>
      <c r="AH79"/>
      <c r="AI79"/>
    </row>
    <row r="80" spans="10:35" x14ac:dyDescent="0.25">
      <c r="AA80"/>
      <c r="AB80"/>
      <c r="AC80"/>
      <c r="AD80"/>
      <c r="AE80"/>
      <c r="AF80"/>
      <c r="AG80"/>
      <c r="AH80"/>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sheetData>
  <sheetProtection sheet="1" formatCells="0" formatColumns="0" formatRows="0"/>
  <mergeCells count="1">
    <mergeCell ref="A1:B1"/>
  </mergeCells>
  <phoneticPr fontId="6" type="noConversion"/>
  <conditionalFormatting sqref="B62">
    <cfRule type="expression" dxfId="101" priority="105" stopIfTrue="1">
      <formula>$X62=1</formula>
    </cfRule>
  </conditionalFormatting>
  <conditionalFormatting sqref="A5:F60 H5:J60">
    <cfRule type="expression" dxfId="100" priority="92">
      <formula>LEN($A5)=4</formula>
    </cfRule>
  </conditionalFormatting>
  <conditionalFormatting sqref="A61:F61 H61">
    <cfRule type="expression" dxfId="99" priority="432">
      <formula>LEN(#REF!)=4</formula>
    </cfRule>
  </conditionalFormatting>
  <conditionalFormatting sqref="D30:F30 H30:I30">
    <cfRule type="expression" dxfId="98" priority="18" stopIfTrue="1">
      <formula>AND(NOT(#REF!=""),#REF!=1)</formula>
    </cfRule>
  </conditionalFormatting>
  <conditionalFormatting sqref="A32:F51 C54:F57 C59:F60 A20:F29 B10:F19 A6:A19 H10:I29 H59:I60 H54:I57 H32:I51">
    <cfRule type="expression" dxfId="97" priority="17">
      <formula>LEN($A6)=4</formula>
    </cfRule>
  </conditionalFormatting>
  <conditionalFormatting sqref="A53:F53 C52:F52 A58:F58 A54:B56 A59:A60 A57 H58:I58 H52:I53">
    <cfRule type="expression" dxfId="96" priority="16">
      <formula>LEN($A52)=4</formula>
    </cfRule>
  </conditionalFormatting>
  <conditionalFormatting sqref="B59:B60">
    <cfRule type="expression" dxfId="95" priority="15">
      <formula>LEN($A59)=4</formula>
    </cfRule>
  </conditionalFormatting>
  <conditionalFormatting sqref="B57">
    <cfRule type="expression" dxfId="94" priority="14">
      <formula>LEN($A57)=4</formula>
    </cfRule>
  </conditionalFormatting>
  <conditionalFormatting sqref="B4">
    <cfRule type="expression" dxfId="93" priority="13">
      <formula>LEN($A4)=4</formula>
    </cfRule>
  </conditionalFormatting>
  <conditionalFormatting sqref="B6:F9 H6:I9">
    <cfRule type="expression" dxfId="92" priority="19">
      <formula>LEN($A5)=4</formula>
    </cfRule>
  </conditionalFormatting>
  <conditionalFormatting sqref="B5">
    <cfRule type="expression" dxfId="91" priority="20">
      <formula>LEN(#REF!)=4</formula>
    </cfRule>
  </conditionalFormatting>
  <conditionalFormatting sqref="J5:J9">
    <cfRule type="expression" dxfId="90" priority="12">
      <formula>LEN($A5)=4</formula>
    </cfRule>
  </conditionalFormatting>
  <conditionalFormatting sqref="B59:B60 B57">
    <cfRule type="expression" dxfId="89" priority="21">
      <formula>AND(NOT(#REF!=""),#REF!=1)</formula>
    </cfRule>
    <cfRule type="expression" dxfId="88" priority="22">
      <formula>LEN($A57)=2</formula>
    </cfRule>
  </conditionalFormatting>
  <conditionalFormatting sqref="A5:F60 H5:J60">
    <cfRule type="expression" dxfId="87" priority="9">
      <formula>AND(NOT($J5=""),$J$1=1)</formula>
    </cfRule>
    <cfRule type="expression" dxfId="86" priority="11">
      <formula>LEN($A5)=2</formula>
    </cfRule>
  </conditionalFormatting>
  <conditionalFormatting sqref="G5:G60">
    <cfRule type="expression" dxfId="85" priority="7">
      <formula>LEN($A5)=4</formula>
    </cfRule>
  </conditionalFormatting>
  <conditionalFormatting sqref="G61">
    <cfRule type="expression" dxfId="84" priority="8">
      <formula>LEN(#REF!)=4</formula>
    </cfRule>
  </conditionalFormatting>
  <conditionalFormatting sqref="G30">
    <cfRule type="expression" dxfId="83" priority="5" stopIfTrue="1">
      <formula>AND(NOT(#REF!=""),#REF!=1)</formula>
    </cfRule>
  </conditionalFormatting>
  <conditionalFormatting sqref="G32:G51 G54:G57 G59:G60 G10:G29">
    <cfRule type="expression" dxfId="82" priority="4">
      <formula>LEN($A10)=4</formula>
    </cfRule>
  </conditionalFormatting>
  <conditionalFormatting sqref="G52:G53 G58">
    <cfRule type="expression" dxfId="81" priority="3">
      <formula>LEN($A52)=4</formula>
    </cfRule>
  </conditionalFormatting>
  <conditionalFormatting sqref="G6:G9">
    <cfRule type="expression" dxfId="80" priority="6">
      <formula>LEN($A5)=4</formula>
    </cfRule>
  </conditionalFormatting>
  <conditionalFormatting sqref="G5:G60">
    <cfRule type="expression" dxfId="79" priority="1">
      <formula>AND(NOT($J5=""),$J$1=1)</formula>
    </cfRule>
    <cfRule type="expression" dxfId="78" priority="2">
      <formula>LEN($A5)=2</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r:id="rId1"/>
  <headerFooter alignWithMargins="0">
    <oddHeader>&amp;C&amp;"Times New Roman,Normal"&amp;12&amp;A</oddHeader>
    <oddFooter>&amp;C&amp;"Times New Roman,Normal"&amp;12Page &amp;P</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indexed="47"/>
  </sheetPr>
  <dimension ref="A1:BT407"/>
  <sheetViews>
    <sheetView zoomScale="114" workbookViewId="0">
      <pane xSplit="3" ySplit="4" topLeftCell="D17" activePane="bottomRight" state="frozenSplit"/>
      <selection activeCell="A2" sqref="A2"/>
      <selection pane="topRight" activeCell="A2" sqref="A2"/>
      <selection pane="bottomLeft" activeCell="A2" sqref="A2"/>
      <selection pane="bottomRight" activeCell="O17" sqref="O17"/>
    </sheetView>
  </sheetViews>
  <sheetFormatPr baseColWidth="10" defaultColWidth="11.44140625" defaultRowHeight="12" customHeight="1" outlineLevelRow="1" outlineLevelCol="1" x14ac:dyDescent="0.25"/>
  <cols>
    <col min="1" max="1" width="3.33203125" style="295" customWidth="1"/>
    <col min="2" max="2" width="6" style="248" customWidth="1"/>
    <col min="3" max="3" width="62.88671875" style="249" customWidth="1"/>
    <col min="4" max="4" width="18.5546875" style="228" customWidth="1"/>
    <col min="5" max="5" width="9.44140625" style="378" hidden="1" customWidth="1" outlineLevel="1"/>
    <col min="6" max="6" width="10.33203125" style="229" hidden="1" customWidth="1" outlineLevel="1"/>
    <col min="7" max="7" width="11.5546875" style="229" customWidth="1" collapsed="1"/>
    <col min="8" max="12" width="11.44140625" style="229" hidden="1" customWidth="1" outlineLevel="1"/>
    <col min="13" max="13" width="4.5546875" style="229" customWidth="1" collapsed="1"/>
    <col min="14" max="14" width="5.6640625" style="229" customWidth="1"/>
    <col min="15" max="15" width="36" style="229" customWidth="1"/>
    <col min="16" max="16" width="18.5546875" style="228" customWidth="1"/>
    <col min="17" max="19" width="11.44140625" style="229"/>
    <col min="20" max="20" width="8.6640625" style="229" hidden="1" customWidth="1"/>
    <col min="21" max="21" width="9" style="229" hidden="1" customWidth="1"/>
    <col min="22" max="22" width="9.109375" style="229" hidden="1" customWidth="1"/>
    <col min="23" max="33" width="11.44140625" style="229"/>
    <col min="34" max="16384" width="11.44140625" style="50"/>
  </cols>
  <sheetData>
    <row r="1" spans="1:33" ht="24.9" customHeight="1" x14ac:dyDescent="0.25">
      <c r="A1" s="258" t="s">
        <v>2134</v>
      </c>
      <c r="B1" s="258"/>
      <c r="C1" s="259"/>
    </row>
    <row r="2" spans="1:33" ht="15.75" customHeight="1" x14ac:dyDescent="0.25">
      <c r="A2" s="260" t="s">
        <v>279</v>
      </c>
      <c r="B2" s="261"/>
      <c r="C2" s="262"/>
    </row>
    <row r="3" spans="1:33" ht="48.75" customHeight="1" x14ac:dyDescent="0.25">
      <c r="A3" s="263"/>
      <c r="B3" s="264" t="s">
        <v>280</v>
      </c>
      <c r="C3" s="265"/>
      <c r="D3" s="384" t="s">
        <v>1954</v>
      </c>
      <c r="E3" s="415" t="s">
        <v>2133</v>
      </c>
      <c r="F3" s="280" t="s">
        <v>6284</v>
      </c>
      <c r="G3" s="384" t="s">
        <v>3112</v>
      </c>
      <c r="H3" s="384" t="s">
        <v>6839</v>
      </c>
      <c r="I3" s="384" t="s">
        <v>6840</v>
      </c>
      <c r="J3" s="384" t="s">
        <v>6841</v>
      </c>
      <c r="K3" s="280" t="s">
        <v>6842</v>
      </c>
      <c r="L3" s="384" t="s">
        <v>6843</v>
      </c>
      <c r="P3" s="384"/>
      <c r="T3" s="311" t="s">
        <v>1514</v>
      </c>
      <c r="U3" s="311" t="s">
        <v>1949</v>
      </c>
      <c r="V3" s="311" t="s">
        <v>1541</v>
      </c>
    </row>
    <row r="4" spans="1:33" ht="18.75" customHeight="1" x14ac:dyDescent="0.25">
      <c r="A4" s="266"/>
      <c r="B4" s="267"/>
      <c r="C4" s="268" t="s">
        <v>281</v>
      </c>
    </row>
    <row r="5" spans="1:33" ht="15" customHeight="1" x14ac:dyDescent="0.25">
      <c r="A5" s="269" t="s">
        <v>1515</v>
      </c>
      <c r="B5" s="230" t="s">
        <v>1516</v>
      </c>
      <c r="C5" s="1055"/>
      <c r="M5" s="269"/>
      <c r="N5" s="230"/>
      <c r="O5" s="231"/>
    </row>
    <row r="6" spans="1:33" s="34" customFormat="1" ht="12" customHeight="1" outlineLevel="1" x14ac:dyDescent="0.25">
      <c r="A6" s="270"/>
      <c r="B6" s="271" t="s">
        <v>2239</v>
      </c>
      <c r="C6" s="39"/>
      <c r="D6"/>
      <c r="E6"/>
      <c r="F6" s="693" t="str">
        <f>IF(LEN(B6)=4,1,"")</f>
        <v/>
      </c>
      <c r="G6" s="16" t="str">
        <f>IF(AND(LEN(B6)=4,NOT(D6="")),1,"")</f>
        <v/>
      </c>
      <c r="I6" s="234"/>
      <c r="J6" s="234"/>
      <c r="K6" s="234"/>
      <c r="L6" s="234"/>
      <c r="M6" s="270"/>
      <c r="N6" s="271"/>
      <c r="O6" s="39"/>
      <c r="P6"/>
      <c r="Q6" s="234"/>
      <c r="R6" s="234"/>
      <c r="S6" s="234"/>
      <c r="T6" s="234"/>
      <c r="U6" s="234"/>
      <c r="V6" s="234"/>
      <c r="W6" s="234"/>
      <c r="X6" s="234"/>
      <c r="Y6" s="234"/>
      <c r="Z6" s="234"/>
      <c r="AA6" s="234"/>
      <c r="AB6" s="234"/>
      <c r="AC6" s="234"/>
      <c r="AD6" s="234"/>
      <c r="AE6" s="234"/>
      <c r="AF6" s="234"/>
      <c r="AG6" s="234"/>
    </row>
    <row r="7" spans="1:33" s="34" customFormat="1" ht="12" customHeight="1" outlineLevel="1" x14ac:dyDescent="0.25">
      <c r="A7" s="272"/>
      <c r="B7" s="273" t="s">
        <v>653</v>
      </c>
      <c r="C7" s="141" t="s">
        <v>80</v>
      </c>
      <c r="D7"/>
      <c r="E7"/>
      <c r="F7" s="693">
        <f t="shared" ref="F7:F71" si="0">IF(LEN(B7)=4,1,"")</f>
        <v>1</v>
      </c>
      <c r="G7" s="16" t="str">
        <f t="shared" ref="G7:G70" si="1">IF(AND(LEN(B7)=4,NOT(D7="")),1,"")</f>
        <v/>
      </c>
      <c r="H7" s="234">
        <v>1</v>
      </c>
      <c r="I7" s="234">
        <f>IF(AND(D7="",H7=1),1,0)</f>
        <v>1</v>
      </c>
      <c r="J7" s="234">
        <f>IF(AND(NOT(D7=""),H7=0),1,0)</f>
        <v>0</v>
      </c>
      <c r="K7" s="234">
        <f>IF(AND(NOT(D7=""),H7=1),1,0)</f>
        <v>0</v>
      </c>
      <c r="L7" s="234">
        <f>IF(AND(D7="",H7=0,LEN(B7)=4),1,0)</f>
        <v>0</v>
      </c>
      <c r="M7" s="272"/>
      <c r="N7" s="273"/>
      <c r="O7" s="141"/>
      <c r="P7"/>
      <c r="Q7" s="234"/>
      <c r="R7" s="234"/>
      <c r="S7" s="234"/>
      <c r="T7" s="234">
        <v>7</v>
      </c>
      <c r="U7" s="234">
        <v>7</v>
      </c>
      <c r="V7" s="234">
        <v>0</v>
      </c>
      <c r="W7" s="234"/>
      <c r="X7" s="234"/>
      <c r="Y7" s="234"/>
      <c r="Z7" s="234"/>
      <c r="AA7" s="234"/>
      <c r="AB7" s="234"/>
      <c r="AC7" s="234"/>
      <c r="AD7" s="234"/>
      <c r="AE7" s="234"/>
      <c r="AF7" s="234"/>
      <c r="AG7" s="234"/>
    </row>
    <row r="8" spans="1:33" s="34" customFormat="1" ht="12" customHeight="1" outlineLevel="1" x14ac:dyDescent="0.25">
      <c r="A8" s="272"/>
      <c r="B8" s="273" t="s">
        <v>655</v>
      </c>
      <c r="C8" s="274" t="s">
        <v>657</v>
      </c>
      <c r="D8"/>
      <c r="E8"/>
      <c r="F8" s="693">
        <f t="shared" si="0"/>
        <v>1</v>
      </c>
      <c r="G8" s="16" t="str">
        <f t="shared" si="1"/>
        <v/>
      </c>
      <c r="H8" s="234">
        <v>1</v>
      </c>
      <c r="I8" s="234">
        <f t="shared" ref="I8:I18" si="2">IF(AND(D8="",H8=1),1,0)</f>
        <v>1</v>
      </c>
      <c r="J8" s="234">
        <f t="shared" ref="J8:J18" si="3">IF(AND(NOT(D8=""),H8=0),1,0)</f>
        <v>0</v>
      </c>
      <c r="K8" s="234">
        <f t="shared" ref="K8:K18" si="4">IF(AND(NOT(D8=""),H8=1),1,0)</f>
        <v>0</v>
      </c>
      <c r="L8" s="234">
        <f t="shared" ref="L8:L18" si="5">IF(AND(D8="",H8=0,LEN(B8)=4),1,0)</f>
        <v>0</v>
      </c>
      <c r="M8" s="272"/>
      <c r="N8" s="273"/>
      <c r="O8" s="274"/>
      <c r="P8"/>
      <c r="Q8" s="234"/>
      <c r="R8" s="234"/>
      <c r="S8" s="234"/>
      <c r="T8" s="234">
        <v>2</v>
      </c>
      <c r="U8" s="234">
        <v>2</v>
      </c>
      <c r="V8" s="234">
        <v>0</v>
      </c>
      <c r="W8" s="234"/>
      <c r="X8" s="234"/>
      <c r="Y8" s="234"/>
      <c r="Z8" s="234"/>
      <c r="AA8" s="234"/>
      <c r="AB8" s="234"/>
      <c r="AC8" s="234"/>
      <c r="AD8" s="234"/>
      <c r="AE8" s="234"/>
      <c r="AF8" s="234"/>
      <c r="AG8" s="234"/>
    </row>
    <row r="9" spans="1:33" s="34" customFormat="1" ht="12" customHeight="1" outlineLevel="1" x14ac:dyDescent="0.25">
      <c r="A9" s="37"/>
      <c r="B9" s="35" t="s">
        <v>658</v>
      </c>
      <c r="C9" s="37"/>
      <c r="D9"/>
      <c r="E9"/>
      <c r="F9" s="693" t="str">
        <f t="shared" si="0"/>
        <v/>
      </c>
      <c r="G9" s="16" t="str">
        <f t="shared" si="1"/>
        <v/>
      </c>
      <c r="H9" s="234"/>
      <c r="I9" s="234">
        <f t="shared" si="2"/>
        <v>0</v>
      </c>
      <c r="J9" s="234">
        <f t="shared" si="3"/>
        <v>0</v>
      </c>
      <c r="K9" s="234">
        <f t="shared" si="4"/>
        <v>0</v>
      </c>
      <c r="L9" s="234">
        <f t="shared" si="5"/>
        <v>0</v>
      </c>
      <c r="M9" s="37"/>
      <c r="N9" s="35"/>
      <c r="O9" s="37"/>
      <c r="P9"/>
      <c r="Q9" s="234"/>
      <c r="R9" s="234"/>
      <c r="S9" s="234"/>
      <c r="T9" s="234"/>
      <c r="U9" s="234"/>
      <c r="V9" s="234"/>
      <c r="W9" s="234"/>
      <c r="X9" s="234"/>
      <c r="Y9" s="234"/>
      <c r="Z9" s="234"/>
      <c r="AA9" s="234"/>
      <c r="AB9" s="234"/>
      <c r="AC9" s="234"/>
      <c r="AD9" s="234"/>
      <c r="AE9" s="234"/>
      <c r="AF9" s="234"/>
      <c r="AG9" s="234"/>
    </row>
    <row r="10" spans="1:33" s="34" customFormat="1" ht="11.25" customHeight="1" outlineLevel="1" x14ac:dyDescent="0.25">
      <c r="A10" s="37"/>
      <c r="B10" s="273" t="s">
        <v>659</v>
      </c>
      <c r="C10" s="36" t="s">
        <v>1429</v>
      </c>
      <c r="D10"/>
      <c r="E10"/>
      <c r="F10" s="693">
        <f t="shared" si="0"/>
        <v>1</v>
      </c>
      <c r="G10" s="16" t="str">
        <f t="shared" si="1"/>
        <v/>
      </c>
      <c r="H10" s="234">
        <v>1</v>
      </c>
      <c r="I10" s="234">
        <f t="shared" si="2"/>
        <v>1</v>
      </c>
      <c r="J10" s="234">
        <f t="shared" si="3"/>
        <v>0</v>
      </c>
      <c r="K10" s="234">
        <f t="shared" si="4"/>
        <v>0</v>
      </c>
      <c r="L10" s="234">
        <f t="shared" si="5"/>
        <v>0</v>
      </c>
      <c r="M10" s="37"/>
      <c r="N10" s="273"/>
      <c r="O10" s="36"/>
      <c r="P10"/>
      <c r="Q10" s="234"/>
      <c r="R10" s="234"/>
      <c r="S10" s="234"/>
      <c r="T10" s="234">
        <v>8</v>
      </c>
      <c r="U10" s="234">
        <v>8</v>
      </c>
      <c r="V10" s="234">
        <v>0</v>
      </c>
      <c r="W10" s="234"/>
      <c r="X10" s="234"/>
      <c r="Y10" s="234"/>
      <c r="Z10" s="234"/>
      <c r="AA10" s="234"/>
      <c r="AB10" s="234"/>
      <c r="AC10" s="234"/>
      <c r="AD10" s="234"/>
      <c r="AE10" s="234"/>
      <c r="AF10" s="234"/>
      <c r="AG10" s="234"/>
    </row>
    <row r="11" spans="1:33" s="34" customFormat="1" ht="12" customHeight="1" outlineLevel="1" x14ac:dyDescent="0.25">
      <c r="A11" s="39"/>
      <c r="B11" s="273" t="s">
        <v>660</v>
      </c>
      <c r="C11" s="36" t="s">
        <v>1502</v>
      </c>
      <c r="D11"/>
      <c r="E11"/>
      <c r="F11" s="693">
        <f t="shared" si="0"/>
        <v>1</v>
      </c>
      <c r="G11" s="16" t="str">
        <f t="shared" si="1"/>
        <v/>
      </c>
      <c r="H11" s="234">
        <v>1</v>
      </c>
      <c r="I11" s="234">
        <f t="shared" si="2"/>
        <v>1</v>
      </c>
      <c r="J11" s="234">
        <f t="shared" si="3"/>
        <v>0</v>
      </c>
      <c r="K11" s="234">
        <f t="shared" si="4"/>
        <v>0</v>
      </c>
      <c r="L11" s="234">
        <f t="shared" si="5"/>
        <v>0</v>
      </c>
      <c r="M11" s="39"/>
      <c r="N11" s="273"/>
      <c r="O11" s="36"/>
      <c r="P11"/>
      <c r="Q11" s="234"/>
      <c r="R11" s="234"/>
      <c r="S11" s="234"/>
      <c r="T11" s="234">
        <v>2</v>
      </c>
      <c r="U11" s="234">
        <v>2</v>
      </c>
      <c r="V11" s="234">
        <v>0</v>
      </c>
      <c r="W11" s="234"/>
      <c r="X11" s="234"/>
      <c r="Y11" s="234"/>
      <c r="Z11" s="234"/>
      <c r="AA11" s="234"/>
      <c r="AB11" s="234"/>
      <c r="AC11" s="234"/>
      <c r="AD11" s="234"/>
      <c r="AE11" s="234"/>
      <c r="AF11" s="234"/>
      <c r="AG11" s="234"/>
    </row>
    <row r="12" spans="1:33" s="34" customFormat="1" ht="12" customHeight="1" outlineLevel="1" x14ac:dyDescent="0.25">
      <c r="A12" s="39"/>
      <c r="B12" s="273" t="s">
        <v>662</v>
      </c>
      <c r="C12" s="36" t="s">
        <v>663</v>
      </c>
      <c r="D12"/>
      <c r="E12"/>
      <c r="F12" s="693">
        <f t="shared" si="0"/>
        <v>1</v>
      </c>
      <c r="G12" s="16" t="str">
        <f t="shared" si="1"/>
        <v/>
      </c>
      <c r="H12" s="234">
        <v>1</v>
      </c>
      <c r="I12" s="234">
        <f t="shared" si="2"/>
        <v>1</v>
      </c>
      <c r="J12" s="234">
        <f t="shared" si="3"/>
        <v>0</v>
      </c>
      <c r="K12" s="234">
        <f t="shared" si="4"/>
        <v>0</v>
      </c>
      <c r="L12" s="234">
        <f t="shared" si="5"/>
        <v>0</v>
      </c>
      <c r="M12" s="39"/>
      <c r="N12" s="273"/>
      <c r="O12" s="36"/>
      <c r="P12"/>
      <c r="Q12" s="234"/>
      <c r="R12" s="234"/>
      <c r="S12" s="234"/>
      <c r="T12" s="234">
        <v>3</v>
      </c>
      <c r="U12" s="234">
        <v>3</v>
      </c>
      <c r="V12" s="234">
        <v>0</v>
      </c>
      <c r="W12" s="234"/>
      <c r="X12" s="234"/>
      <c r="Y12" s="234"/>
      <c r="Z12" s="234"/>
      <c r="AA12" s="234"/>
      <c r="AB12" s="234"/>
      <c r="AC12" s="234"/>
      <c r="AD12" s="234"/>
      <c r="AE12" s="234"/>
      <c r="AF12" s="234"/>
      <c r="AG12" s="234"/>
    </row>
    <row r="13" spans="1:33" s="34" customFormat="1" ht="12" customHeight="1" outlineLevel="1" x14ac:dyDescent="0.25">
      <c r="A13" s="39"/>
      <c r="B13" s="273" t="s">
        <v>664</v>
      </c>
      <c r="C13" s="36" t="s">
        <v>129</v>
      </c>
      <c r="D13"/>
      <c r="E13"/>
      <c r="F13" s="693">
        <f t="shared" si="0"/>
        <v>1</v>
      </c>
      <c r="G13" s="16" t="str">
        <f t="shared" si="1"/>
        <v/>
      </c>
      <c r="H13" s="234">
        <v>1</v>
      </c>
      <c r="I13" s="234">
        <f t="shared" si="2"/>
        <v>1</v>
      </c>
      <c r="J13" s="234">
        <f t="shared" si="3"/>
        <v>0</v>
      </c>
      <c r="K13" s="234">
        <f t="shared" si="4"/>
        <v>0</v>
      </c>
      <c r="L13" s="234">
        <f t="shared" si="5"/>
        <v>0</v>
      </c>
      <c r="M13" s="39"/>
      <c r="N13" s="273"/>
      <c r="O13" s="36"/>
      <c r="P13"/>
      <c r="Q13" s="234"/>
      <c r="R13" s="234"/>
      <c r="S13" s="234"/>
      <c r="T13" s="234">
        <v>3</v>
      </c>
      <c r="U13" s="234">
        <v>3</v>
      </c>
      <c r="V13" s="234">
        <v>0</v>
      </c>
      <c r="W13" s="234"/>
      <c r="X13" s="234"/>
      <c r="Y13" s="234"/>
      <c r="Z13" s="234"/>
      <c r="AA13" s="234"/>
      <c r="AB13" s="234"/>
      <c r="AC13" s="234"/>
      <c r="AD13" s="234"/>
      <c r="AE13" s="234"/>
      <c r="AF13" s="234"/>
      <c r="AG13" s="234"/>
    </row>
    <row r="14" spans="1:33" s="34" customFormat="1" ht="12" customHeight="1" outlineLevel="1" x14ac:dyDescent="0.25">
      <c r="A14" s="39"/>
      <c r="B14" s="273" t="s">
        <v>665</v>
      </c>
      <c r="C14" s="36" t="s">
        <v>45</v>
      </c>
      <c r="D14"/>
      <c r="E14"/>
      <c r="F14" s="693">
        <f t="shared" si="0"/>
        <v>1</v>
      </c>
      <c r="G14" s="16" t="str">
        <f t="shared" si="1"/>
        <v/>
      </c>
      <c r="H14" s="234">
        <v>1</v>
      </c>
      <c r="I14" s="234">
        <f t="shared" si="2"/>
        <v>1</v>
      </c>
      <c r="J14" s="234">
        <f t="shared" si="3"/>
        <v>0</v>
      </c>
      <c r="K14" s="234">
        <f t="shared" si="4"/>
        <v>0</v>
      </c>
      <c r="L14" s="234">
        <f t="shared" si="5"/>
        <v>0</v>
      </c>
      <c r="M14" s="39"/>
      <c r="N14" s="273"/>
      <c r="O14" s="36"/>
      <c r="P14"/>
      <c r="Q14" s="234"/>
      <c r="R14" s="234"/>
      <c r="S14" s="234"/>
      <c r="T14" s="234">
        <v>2</v>
      </c>
      <c r="U14" s="234">
        <v>2</v>
      </c>
      <c r="V14" s="234">
        <v>0</v>
      </c>
      <c r="W14" s="234"/>
      <c r="X14" s="234"/>
      <c r="Y14" s="234"/>
      <c r="Z14" s="234"/>
      <c r="AA14" s="234"/>
      <c r="AB14" s="234"/>
      <c r="AC14" s="234"/>
      <c r="AD14" s="234"/>
      <c r="AE14" s="234"/>
      <c r="AF14" s="234"/>
      <c r="AG14" s="234"/>
    </row>
    <row r="15" spans="1:33" s="34" customFormat="1" ht="12" customHeight="1" outlineLevel="1" x14ac:dyDescent="0.25">
      <c r="A15" s="39"/>
      <c r="B15" s="273" t="s">
        <v>666</v>
      </c>
      <c r="C15" s="36" t="s">
        <v>667</v>
      </c>
      <c r="D15"/>
      <c r="E15"/>
      <c r="F15" s="693">
        <f t="shared" si="0"/>
        <v>1</v>
      </c>
      <c r="G15" s="16" t="str">
        <f t="shared" si="1"/>
        <v/>
      </c>
      <c r="H15" s="234">
        <v>1</v>
      </c>
      <c r="I15" s="234">
        <f t="shared" si="2"/>
        <v>1</v>
      </c>
      <c r="J15" s="234">
        <f t="shared" si="3"/>
        <v>0</v>
      </c>
      <c r="K15" s="234">
        <f t="shared" si="4"/>
        <v>0</v>
      </c>
      <c r="L15" s="234">
        <f t="shared" si="5"/>
        <v>0</v>
      </c>
      <c r="M15" s="39"/>
      <c r="N15" s="273"/>
      <c r="O15" s="36"/>
      <c r="P15"/>
      <c r="Q15" s="234"/>
      <c r="R15" s="234"/>
      <c r="S15" s="234"/>
      <c r="T15" s="234">
        <v>1</v>
      </c>
      <c r="U15" s="234">
        <v>1</v>
      </c>
      <c r="V15" s="234">
        <v>0</v>
      </c>
      <c r="W15" s="234"/>
      <c r="X15" s="234"/>
      <c r="Y15" s="234"/>
      <c r="Z15" s="234"/>
      <c r="AA15" s="234"/>
      <c r="AB15" s="234"/>
      <c r="AC15" s="234"/>
      <c r="AD15" s="234"/>
      <c r="AE15" s="234"/>
      <c r="AF15" s="234"/>
      <c r="AG15" s="234"/>
    </row>
    <row r="16" spans="1:33" s="34" customFormat="1" ht="12" customHeight="1" outlineLevel="1" x14ac:dyDescent="0.25">
      <c r="A16" s="39"/>
      <c r="B16" s="273" t="s">
        <v>668</v>
      </c>
      <c r="C16" s="36" t="s">
        <v>6906</v>
      </c>
      <c r="D16"/>
      <c r="E16"/>
      <c r="F16" s="693">
        <f t="shared" si="0"/>
        <v>1</v>
      </c>
      <c r="G16" s="16" t="str">
        <f t="shared" si="1"/>
        <v/>
      </c>
      <c r="H16" s="234">
        <v>1</v>
      </c>
      <c r="I16" s="234">
        <f t="shared" si="2"/>
        <v>1</v>
      </c>
      <c r="J16" s="234">
        <f t="shared" si="3"/>
        <v>0</v>
      </c>
      <c r="K16" s="234">
        <f t="shared" si="4"/>
        <v>0</v>
      </c>
      <c r="L16" s="234">
        <f t="shared" si="5"/>
        <v>0</v>
      </c>
      <c r="M16" s="39"/>
      <c r="N16" s="273"/>
      <c r="O16" s="36"/>
      <c r="P16"/>
      <c r="Q16" s="234"/>
      <c r="R16" s="234"/>
      <c r="S16" s="234"/>
      <c r="T16" s="234">
        <v>1</v>
      </c>
      <c r="U16" s="234">
        <v>1</v>
      </c>
      <c r="V16" s="234">
        <v>0</v>
      </c>
      <c r="W16" s="234"/>
      <c r="X16" s="234"/>
      <c r="Y16" s="234"/>
      <c r="Z16" s="234"/>
      <c r="AA16" s="234"/>
      <c r="AB16" s="234"/>
      <c r="AC16" s="234"/>
      <c r="AD16" s="234"/>
      <c r="AE16" s="234"/>
      <c r="AF16" s="234"/>
      <c r="AG16" s="234"/>
    </row>
    <row r="17" spans="1:33" s="34" customFormat="1" ht="12" customHeight="1" outlineLevel="1" x14ac:dyDescent="0.25">
      <c r="A17" s="39"/>
      <c r="B17" s="273" t="s">
        <v>670</v>
      </c>
      <c r="C17" s="36" t="s">
        <v>6912</v>
      </c>
      <c r="D17"/>
      <c r="E17"/>
      <c r="F17" s="693">
        <f t="shared" si="0"/>
        <v>1</v>
      </c>
      <c r="G17" s="16" t="str">
        <f t="shared" si="1"/>
        <v/>
      </c>
      <c r="H17" s="234">
        <v>1</v>
      </c>
      <c r="I17" s="234">
        <f t="shared" si="2"/>
        <v>1</v>
      </c>
      <c r="J17" s="234">
        <f t="shared" si="3"/>
        <v>0</v>
      </c>
      <c r="K17" s="234">
        <f t="shared" si="4"/>
        <v>0</v>
      </c>
      <c r="L17" s="234">
        <f t="shared" si="5"/>
        <v>0</v>
      </c>
      <c r="M17" s="39"/>
      <c r="N17" s="273"/>
      <c r="O17" s="36"/>
      <c r="P17"/>
      <c r="Q17" s="234"/>
      <c r="R17" s="234"/>
      <c r="S17" s="234"/>
      <c r="T17" s="234">
        <v>4</v>
      </c>
      <c r="U17" s="234">
        <v>4</v>
      </c>
      <c r="V17" s="234">
        <v>0</v>
      </c>
      <c r="W17" s="234"/>
      <c r="X17" s="234"/>
      <c r="Y17" s="234"/>
      <c r="Z17" s="234"/>
      <c r="AA17" s="234"/>
      <c r="AB17" s="234"/>
      <c r="AC17" s="234"/>
      <c r="AD17" s="234"/>
      <c r="AE17" s="234"/>
      <c r="AF17" s="234"/>
      <c r="AG17" s="234"/>
    </row>
    <row r="18" spans="1:33" s="34" customFormat="1" ht="12" customHeight="1" outlineLevel="1" x14ac:dyDescent="0.25">
      <c r="A18" s="39"/>
      <c r="B18" s="273" t="s">
        <v>672</v>
      </c>
      <c r="C18" s="36" t="s">
        <v>1452</v>
      </c>
      <c r="D18"/>
      <c r="E18"/>
      <c r="F18" s="693">
        <f t="shared" si="0"/>
        <v>1</v>
      </c>
      <c r="G18" s="16" t="str">
        <f t="shared" si="1"/>
        <v/>
      </c>
      <c r="H18" s="234">
        <v>1</v>
      </c>
      <c r="I18" s="234">
        <f t="shared" si="2"/>
        <v>1</v>
      </c>
      <c r="J18" s="234">
        <f t="shared" si="3"/>
        <v>0</v>
      </c>
      <c r="K18" s="234">
        <f t="shared" si="4"/>
        <v>0</v>
      </c>
      <c r="L18" s="234">
        <f t="shared" si="5"/>
        <v>0</v>
      </c>
      <c r="M18" s="39"/>
      <c r="N18" s="273"/>
      <c r="O18" s="36"/>
      <c r="P18"/>
      <c r="Q18" s="234"/>
      <c r="R18" s="234"/>
      <c r="S18" s="234"/>
      <c r="T18" s="234">
        <v>3</v>
      </c>
      <c r="U18" s="234">
        <v>3</v>
      </c>
      <c r="V18" s="234">
        <v>0</v>
      </c>
      <c r="W18" s="234"/>
      <c r="X18" s="234"/>
      <c r="Y18" s="234"/>
      <c r="Z18" s="234"/>
      <c r="AA18" s="234"/>
      <c r="AB18" s="234"/>
      <c r="AC18" s="234"/>
      <c r="AD18" s="234"/>
      <c r="AE18" s="234"/>
      <c r="AF18" s="234"/>
      <c r="AG18" s="234"/>
    </row>
    <row r="19" spans="1:33" s="34" customFormat="1" ht="12" customHeight="1" outlineLevel="1" x14ac:dyDescent="0.25">
      <c r="A19" s="39"/>
      <c r="B19" s="273"/>
      <c r="C19" s="36"/>
      <c r="D19"/>
      <c r="E19"/>
      <c r="F19" s="693"/>
      <c r="G19" s="16" t="str">
        <f t="shared" si="1"/>
        <v/>
      </c>
      <c r="H19" s="234"/>
      <c r="I19" s="234">
        <f t="shared" ref="I19:I24" si="6">IF(AND(D20="",H19=1),1,0)</f>
        <v>0</v>
      </c>
      <c r="J19" s="234">
        <f t="shared" ref="J19:J24" si="7">IF(AND(NOT(D20=""),H19=0),1,0)</f>
        <v>0</v>
      </c>
      <c r="K19" s="234">
        <f t="shared" ref="K19:K24" si="8">IF(AND(NOT(D20=""),H19=1),1,0)</f>
        <v>0</v>
      </c>
      <c r="L19" s="234">
        <f t="shared" ref="L19:L24" si="9">IF(AND(D20="",H19=0,LEN(B20)=4),1,0)</f>
        <v>0</v>
      </c>
      <c r="M19" s="39"/>
      <c r="N19" s="273"/>
      <c r="O19" s="36"/>
      <c r="P19"/>
      <c r="Q19" s="234"/>
      <c r="R19" s="234"/>
      <c r="S19" s="234"/>
      <c r="T19" s="234">
        <v>7</v>
      </c>
      <c r="U19" s="234">
        <v>0</v>
      </c>
      <c r="V19" s="234">
        <v>0</v>
      </c>
      <c r="W19" s="234"/>
      <c r="X19" s="234"/>
      <c r="Y19" s="234"/>
      <c r="Z19" s="234"/>
      <c r="AA19" s="234"/>
      <c r="AB19" s="234"/>
      <c r="AC19" s="234"/>
      <c r="AD19" s="234"/>
      <c r="AE19" s="234"/>
      <c r="AF19" s="234"/>
      <c r="AG19" s="234"/>
    </row>
    <row r="20" spans="1:33" s="34" customFormat="1" ht="12" customHeight="1" outlineLevel="1" x14ac:dyDescent="0.25">
      <c r="A20" s="39"/>
      <c r="B20" s="35" t="s">
        <v>504</v>
      </c>
      <c r="C20" s="37"/>
      <c r="D20"/>
      <c r="E20"/>
      <c r="F20" s="693" t="str">
        <f t="shared" si="0"/>
        <v/>
      </c>
      <c r="G20" s="16" t="str">
        <f t="shared" si="1"/>
        <v/>
      </c>
      <c r="H20" s="234"/>
      <c r="I20" s="234">
        <f t="shared" si="6"/>
        <v>0</v>
      </c>
      <c r="J20" s="234">
        <f t="shared" si="7"/>
        <v>0</v>
      </c>
      <c r="K20" s="234">
        <f t="shared" si="8"/>
        <v>0</v>
      </c>
      <c r="L20" s="234">
        <f t="shared" si="9"/>
        <v>1</v>
      </c>
      <c r="M20" s="39"/>
      <c r="N20" s="35"/>
      <c r="O20" s="37"/>
      <c r="P20"/>
      <c r="Q20" s="234"/>
      <c r="R20" s="234"/>
      <c r="S20" s="234"/>
      <c r="T20" s="234"/>
      <c r="U20" s="234"/>
      <c r="V20" s="234"/>
      <c r="W20" s="234"/>
      <c r="X20" s="234"/>
      <c r="Y20" s="234"/>
      <c r="Z20" s="234"/>
      <c r="AA20" s="234"/>
      <c r="AB20" s="234"/>
      <c r="AC20" s="234"/>
      <c r="AD20" s="234"/>
      <c r="AE20" s="234"/>
      <c r="AF20" s="234"/>
      <c r="AG20" s="234"/>
    </row>
    <row r="21" spans="1:33" s="34" customFormat="1" ht="12" customHeight="1" outlineLevel="1" x14ac:dyDescent="0.25">
      <c r="A21" s="39"/>
      <c r="B21" s="202" t="s">
        <v>679</v>
      </c>
      <c r="C21" s="36" t="s">
        <v>556</v>
      </c>
      <c r="D21"/>
      <c r="E21"/>
      <c r="F21" s="693">
        <f t="shared" si="0"/>
        <v>1</v>
      </c>
      <c r="G21" s="16" t="str">
        <f t="shared" si="1"/>
        <v/>
      </c>
      <c r="H21" s="234">
        <v>1</v>
      </c>
      <c r="I21" s="234">
        <f t="shared" si="6"/>
        <v>1</v>
      </c>
      <c r="J21" s="234">
        <f t="shared" si="7"/>
        <v>0</v>
      </c>
      <c r="K21" s="234">
        <f t="shared" si="8"/>
        <v>0</v>
      </c>
      <c r="L21" s="234">
        <f t="shared" si="9"/>
        <v>0</v>
      </c>
      <c r="M21" s="39"/>
      <c r="N21" s="202"/>
      <c r="O21" s="36"/>
      <c r="P21"/>
      <c r="Q21" s="234"/>
      <c r="R21" s="234"/>
      <c r="S21" s="234"/>
      <c r="T21" s="234">
        <v>7</v>
      </c>
      <c r="U21" s="234">
        <v>7</v>
      </c>
      <c r="V21" s="234">
        <v>0</v>
      </c>
      <c r="W21" s="234"/>
      <c r="X21" s="234"/>
      <c r="Y21" s="234"/>
      <c r="Z21" s="234"/>
      <c r="AA21" s="234"/>
      <c r="AB21" s="234"/>
      <c r="AC21" s="234"/>
      <c r="AD21" s="234"/>
      <c r="AE21" s="234"/>
      <c r="AF21" s="234"/>
      <c r="AG21" s="234"/>
    </row>
    <row r="22" spans="1:33" s="34" customFormat="1" ht="13.5" customHeight="1" outlineLevel="1" x14ac:dyDescent="0.25">
      <c r="A22" s="39"/>
      <c r="B22" s="202" t="s">
        <v>680</v>
      </c>
      <c r="C22" s="126" t="s">
        <v>6789</v>
      </c>
      <c r="D22"/>
      <c r="E22"/>
      <c r="F22" s="693">
        <f t="shared" si="0"/>
        <v>1</v>
      </c>
      <c r="G22" s="16" t="str">
        <f t="shared" si="1"/>
        <v/>
      </c>
      <c r="H22" s="234">
        <v>1</v>
      </c>
      <c r="I22" s="234">
        <f t="shared" si="6"/>
        <v>1</v>
      </c>
      <c r="J22" s="234">
        <f t="shared" si="7"/>
        <v>0</v>
      </c>
      <c r="K22" s="234">
        <f t="shared" si="8"/>
        <v>0</v>
      </c>
      <c r="L22" s="234">
        <f t="shared" si="9"/>
        <v>0</v>
      </c>
      <c r="M22" s="39"/>
      <c r="N22" s="202"/>
      <c r="O22" s="126"/>
      <c r="P22"/>
      <c r="Q22" s="234"/>
      <c r="R22" s="234"/>
      <c r="S22" s="234"/>
      <c r="T22" s="234">
        <v>1</v>
      </c>
      <c r="U22" s="234">
        <v>1</v>
      </c>
      <c r="V22" s="234">
        <v>0</v>
      </c>
      <c r="W22" s="234"/>
      <c r="X22" s="234"/>
      <c r="Y22" s="234"/>
      <c r="Z22" s="234"/>
      <c r="AA22" s="234"/>
      <c r="AB22" s="234"/>
      <c r="AC22" s="234"/>
      <c r="AD22" s="234"/>
      <c r="AE22" s="234"/>
      <c r="AF22" s="234"/>
      <c r="AG22" s="234"/>
    </row>
    <row r="23" spans="1:33" s="34" customFormat="1" ht="12" customHeight="1" outlineLevel="1" x14ac:dyDescent="0.25">
      <c r="A23" s="39"/>
      <c r="B23" s="202" t="s">
        <v>681</v>
      </c>
      <c r="C23" s="36" t="s">
        <v>557</v>
      </c>
      <c r="D23"/>
      <c r="E23"/>
      <c r="F23" s="693">
        <f t="shared" si="0"/>
        <v>1</v>
      </c>
      <c r="G23" s="16" t="str">
        <f t="shared" si="1"/>
        <v/>
      </c>
      <c r="H23" s="234">
        <v>1</v>
      </c>
      <c r="I23" s="234">
        <f t="shared" si="6"/>
        <v>1</v>
      </c>
      <c r="J23" s="234">
        <f t="shared" si="7"/>
        <v>0</v>
      </c>
      <c r="K23" s="234">
        <f t="shared" si="8"/>
        <v>0</v>
      </c>
      <c r="L23" s="234">
        <f t="shared" si="9"/>
        <v>0</v>
      </c>
      <c r="M23" s="39"/>
      <c r="N23" s="202"/>
      <c r="O23" s="36"/>
      <c r="P23"/>
      <c r="Q23" s="234"/>
      <c r="R23" s="234"/>
      <c r="S23" s="234"/>
      <c r="T23" s="234">
        <v>7</v>
      </c>
      <c r="U23" s="234">
        <v>7</v>
      </c>
      <c r="V23" s="234">
        <v>0</v>
      </c>
      <c r="W23" s="234"/>
      <c r="X23" s="234"/>
      <c r="Y23" s="234"/>
      <c r="Z23" s="234"/>
      <c r="AA23" s="234"/>
      <c r="AB23" s="234"/>
      <c r="AC23" s="234"/>
      <c r="AD23" s="234"/>
      <c r="AE23" s="234"/>
      <c r="AF23" s="234"/>
      <c r="AG23" s="234"/>
    </row>
    <row r="24" spans="1:33" s="34" customFormat="1" ht="12" customHeight="1" outlineLevel="1" x14ac:dyDescent="0.25">
      <c r="A24" s="39"/>
      <c r="B24" s="202" t="s">
        <v>682</v>
      </c>
      <c r="C24" s="36" t="s">
        <v>125</v>
      </c>
      <c r="D24"/>
      <c r="E24"/>
      <c r="F24" s="693">
        <f t="shared" si="0"/>
        <v>1</v>
      </c>
      <c r="G24" s="16" t="str">
        <f t="shared" si="1"/>
        <v/>
      </c>
      <c r="H24" s="234">
        <v>1</v>
      </c>
      <c r="I24" s="234">
        <f t="shared" si="6"/>
        <v>1</v>
      </c>
      <c r="J24" s="234">
        <f t="shared" si="7"/>
        <v>0</v>
      </c>
      <c r="K24" s="234">
        <f t="shared" si="8"/>
        <v>0</v>
      </c>
      <c r="L24" s="234">
        <f t="shared" si="9"/>
        <v>0</v>
      </c>
      <c r="M24" s="39"/>
      <c r="N24" s="202"/>
      <c r="O24" s="36"/>
      <c r="P24"/>
      <c r="Q24" s="234"/>
      <c r="R24" s="234"/>
      <c r="S24" s="234"/>
      <c r="T24" s="234">
        <v>1</v>
      </c>
      <c r="U24" s="234">
        <v>1</v>
      </c>
      <c r="V24" s="234">
        <v>0</v>
      </c>
      <c r="W24" s="234"/>
      <c r="X24" s="234"/>
      <c r="Y24" s="234"/>
      <c r="Z24" s="234"/>
      <c r="AA24" s="234"/>
      <c r="AB24" s="234"/>
      <c r="AC24" s="234"/>
      <c r="AD24" s="234"/>
      <c r="AE24" s="234"/>
      <c r="AF24" s="234"/>
      <c r="AG24" s="234"/>
    </row>
    <row r="25" spans="1:33" s="34" customFormat="1" ht="12" customHeight="1" outlineLevel="1" x14ac:dyDescent="0.25">
      <c r="A25" s="39"/>
      <c r="B25" s="202" t="s">
        <v>683</v>
      </c>
      <c r="C25" s="36" t="s">
        <v>684</v>
      </c>
      <c r="D25"/>
      <c r="E25"/>
      <c r="F25" s="693">
        <f t="shared" si="0"/>
        <v>1</v>
      </c>
      <c r="G25" s="16" t="str">
        <f t="shared" si="1"/>
        <v/>
      </c>
      <c r="H25" s="234">
        <v>1</v>
      </c>
      <c r="I25" s="234" t="e">
        <f>IF(AND(#REF!="",H25=1),1,0)</f>
        <v>#REF!</v>
      </c>
      <c r="J25" s="234" t="e">
        <f>IF(AND(NOT(#REF!=""),H25=0),1,0)</f>
        <v>#REF!</v>
      </c>
      <c r="K25" s="234" t="e">
        <f>IF(AND(NOT(#REF!=""),H25=1),1,0)</f>
        <v>#REF!</v>
      </c>
      <c r="L25" s="234" t="e">
        <f>IF(AND(#REF!="",H25=0,LEN(B26)=4),1,0)</f>
        <v>#REF!</v>
      </c>
      <c r="M25" s="39"/>
      <c r="N25" s="202"/>
      <c r="O25" s="36"/>
      <c r="P25"/>
      <c r="Q25" s="234"/>
      <c r="R25" s="234"/>
      <c r="S25" s="234"/>
      <c r="T25" s="234">
        <v>3</v>
      </c>
      <c r="U25" s="234">
        <v>3</v>
      </c>
      <c r="V25" s="234">
        <v>0</v>
      </c>
      <c r="W25" s="234"/>
      <c r="X25" s="234"/>
      <c r="Y25" s="234"/>
      <c r="Z25" s="234"/>
      <c r="AA25" s="234"/>
      <c r="AB25" s="234"/>
      <c r="AC25" s="234"/>
      <c r="AD25" s="234"/>
      <c r="AE25" s="234"/>
      <c r="AF25" s="234"/>
      <c r="AG25" s="234"/>
    </row>
    <row r="26" spans="1:33" s="34" customFormat="1" ht="12" customHeight="1" outlineLevel="1" x14ac:dyDescent="0.25">
      <c r="A26" s="39"/>
      <c r="B26" s="202" t="s">
        <v>3247</v>
      </c>
      <c r="C26" s="40" t="s">
        <v>4817</v>
      </c>
      <c r="D26" t="s">
        <v>2023</v>
      </c>
      <c r="E26">
        <v>4</v>
      </c>
      <c r="F26" s="693">
        <f t="shared" si="0"/>
        <v>1</v>
      </c>
      <c r="G26" s="16">
        <f t="shared" si="1"/>
        <v>1</v>
      </c>
      <c r="H26" s="234"/>
      <c r="I26" s="234">
        <f t="shared" ref="I26:I57" si="10">IF(AND(D26="",H26=1),1,0)</f>
        <v>0</v>
      </c>
      <c r="J26" s="234">
        <f t="shared" ref="J26:J57" si="11">IF(AND(NOT(D26=""),H26=0),1,0)</f>
        <v>1</v>
      </c>
      <c r="K26" s="234">
        <f t="shared" ref="K26:K57" si="12">IF(AND(NOT(D26=""),H26=1),1,0)</f>
        <v>0</v>
      </c>
      <c r="L26" s="234">
        <f t="shared" ref="L26:L57" si="13">IF(AND(D26="",H26=0,LEN(B27)=4),1,0)</f>
        <v>0</v>
      </c>
      <c r="M26" s="39"/>
      <c r="N26" s="202"/>
      <c r="O26" s="40"/>
      <c r="P26"/>
      <c r="Q26" s="234"/>
      <c r="R26" s="234"/>
      <c r="S26" s="234"/>
      <c r="T26" s="234"/>
      <c r="U26" s="234"/>
      <c r="V26" s="234"/>
      <c r="W26" s="234"/>
      <c r="X26" s="234"/>
      <c r="Y26" s="234"/>
      <c r="Z26" s="234"/>
      <c r="AA26" s="234"/>
      <c r="AB26" s="234"/>
      <c r="AC26" s="234"/>
      <c r="AD26" s="234"/>
      <c r="AE26" s="234"/>
      <c r="AF26" s="234"/>
      <c r="AG26" s="234"/>
    </row>
    <row r="27" spans="1:33" s="34" customFormat="1" ht="12" customHeight="1" outlineLevel="1" x14ac:dyDescent="0.25">
      <c r="A27" s="39"/>
      <c r="B27" s="35" t="s">
        <v>675</v>
      </c>
      <c r="C27" s="39"/>
      <c r="D27"/>
      <c r="E27"/>
      <c r="F27" s="693" t="str">
        <f t="shared" si="0"/>
        <v/>
      </c>
      <c r="G27" s="16" t="str">
        <f t="shared" si="1"/>
        <v/>
      </c>
      <c r="H27" s="234"/>
      <c r="I27" s="234">
        <f t="shared" si="10"/>
        <v>0</v>
      </c>
      <c r="J27" s="234">
        <f t="shared" si="11"/>
        <v>0</v>
      </c>
      <c r="K27" s="234">
        <f t="shared" si="12"/>
        <v>0</v>
      </c>
      <c r="L27" s="234">
        <f t="shared" si="13"/>
        <v>1</v>
      </c>
      <c r="M27" s="39"/>
      <c r="N27" s="35"/>
      <c r="O27" s="39"/>
      <c r="P27"/>
      <c r="Q27" s="234"/>
      <c r="R27" s="234"/>
      <c r="S27" s="234"/>
      <c r="T27" s="234">
        <v>6</v>
      </c>
      <c r="U27" s="234">
        <v>6</v>
      </c>
      <c r="V27" s="234">
        <v>0</v>
      </c>
      <c r="W27" s="234"/>
      <c r="X27" s="234"/>
      <c r="Y27" s="234"/>
      <c r="Z27" s="234"/>
      <c r="AA27" s="234"/>
      <c r="AB27" s="234"/>
      <c r="AC27" s="234"/>
      <c r="AD27" s="234"/>
      <c r="AE27" s="234"/>
      <c r="AF27" s="234"/>
      <c r="AG27" s="234"/>
    </row>
    <row r="28" spans="1:33" s="34" customFormat="1" ht="12" customHeight="1" outlineLevel="1" x14ac:dyDescent="0.25">
      <c r="A28" s="39"/>
      <c r="B28" s="202" t="s">
        <v>678</v>
      </c>
      <c r="C28" s="36" t="s">
        <v>503</v>
      </c>
      <c r="D28"/>
      <c r="E28"/>
      <c r="F28" s="693">
        <f t="shared" si="0"/>
        <v>1</v>
      </c>
      <c r="G28" s="16" t="str">
        <f t="shared" si="1"/>
        <v/>
      </c>
      <c r="H28" s="234">
        <v>1</v>
      </c>
      <c r="I28" s="234">
        <f t="shared" si="10"/>
        <v>1</v>
      </c>
      <c r="J28" s="234">
        <f t="shared" si="11"/>
        <v>0</v>
      </c>
      <c r="K28" s="234">
        <f t="shared" si="12"/>
        <v>0</v>
      </c>
      <c r="L28" s="234">
        <f t="shared" si="13"/>
        <v>0</v>
      </c>
      <c r="M28" s="39"/>
      <c r="N28" s="202"/>
      <c r="O28" s="36"/>
      <c r="P28"/>
      <c r="Q28" s="234"/>
      <c r="R28" s="234"/>
      <c r="S28" s="234"/>
      <c r="T28" s="234">
        <v>4</v>
      </c>
      <c r="U28" s="234">
        <v>4</v>
      </c>
      <c r="V28" s="234">
        <v>0</v>
      </c>
      <c r="W28" s="234"/>
      <c r="X28" s="234"/>
      <c r="Y28" s="234"/>
      <c r="Z28" s="234"/>
      <c r="AA28" s="234"/>
      <c r="AB28" s="234"/>
      <c r="AC28" s="234"/>
      <c r="AD28" s="234"/>
      <c r="AE28" s="234"/>
      <c r="AF28" s="234"/>
      <c r="AG28" s="234"/>
    </row>
    <row r="29" spans="1:33" s="34" customFormat="1" ht="12" customHeight="1" outlineLevel="1" x14ac:dyDescent="0.25">
      <c r="A29" s="39"/>
      <c r="B29" s="202" t="s">
        <v>676</v>
      </c>
      <c r="C29" s="36" t="s">
        <v>1511</v>
      </c>
      <c r="D29"/>
      <c r="E29"/>
      <c r="F29" s="693">
        <f t="shared" si="0"/>
        <v>1</v>
      </c>
      <c r="G29" s="16" t="str">
        <f t="shared" si="1"/>
        <v/>
      </c>
      <c r="H29" s="234">
        <v>1</v>
      </c>
      <c r="I29" s="234">
        <f t="shared" si="10"/>
        <v>1</v>
      </c>
      <c r="J29" s="234">
        <f t="shared" si="11"/>
        <v>0</v>
      </c>
      <c r="K29" s="234">
        <f t="shared" si="12"/>
        <v>0</v>
      </c>
      <c r="L29" s="234">
        <f t="shared" si="13"/>
        <v>0</v>
      </c>
      <c r="M29" s="39"/>
      <c r="N29" s="202"/>
      <c r="O29" s="36"/>
      <c r="P29"/>
      <c r="Q29" s="234"/>
      <c r="R29" s="234"/>
      <c r="S29" s="234"/>
      <c r="T29" s="234"/>
      <c r="U29" s="234"/>
      <c r="V29" s="234"/>
      <c r="W29" s="234"/>
      <c r="X29" s="234"/>
      <c r="Y29" s="234"/>
      <c r="Z29" s="234"/>
      <c r="AA29" s="234"/>
      <c r="AB29" s="234"/>
      <c r="AC29" s="234"/>
      <c r="AD29" s="234"/>
      <c r="AE29" s="234"/>
      <c r="AF29" s="234"/>
      <c r="AG29" s="234"/>
    </row>
    <row r="30" spans="1:33" s="34" customFormat="1" ht="12" customHeight="1" outlineLevel="1" x14ac:dyDescent="0.25">
      <c r="A30" s="39"/>
      <c r="B30" s="35" t="s">
        <v>1392</v>
      </c>
      <c r="C30" s="37"/>
      <c r="D30"/>
      <c r="E30"/>
      <c r="F30" s="693" t="str">
        <f t="shared" si="0"/>
        <v/>
      </c>
      <c r="G30" s="16" t="str">
        <f t="shared" si="1"/>
        <v/>
      </c>
      <c r="H30" s="234"/>
      <c r="I30" s="234">
        <f t="shared" si="10"/>
        <v>0</v>
      </c>
      <c r="J30" s="234">
        <f t="shared" si="11"/>
        <v>0</v>
      </c>
      <c r="K30" s="234">
        <f t="shared" si="12"/>
        <v>0</v>
      </c>
      <c r="L30" s="234">
        <f t="shared" si="13"/>
        <v>1</v>
      </c>
      <c r="M30" s="39"/>
      <c r="N30" s="35"/>
      <c r="O30" s="37"/>
      <c r="P30"/>
      <c r="Q30" s="234"/>
      <c r="R30" s="234"/>
      <c r="S30" s="234"/>
      <c r="T30" s="234">
        <v>13</v>
      </c>
      <c r="U30" s="234">
        <v>13</v>
      </c>
      <c r="V30" s="234">
        <v>3</v>
      </c>
      <c r="W30" s="234"/>
      <c r="X30" s="234"/>
      <c r="Y30" s="234"/>
      <c r="Z30" s="234"/>
      <c r="AA30" s="234"/>
      <c r="AB30" s="234"/>
      <c r="AC30" s="234"/>
      <c r="AD30" s="234"/>
      <c r="AE30" s="234"/>
      <c r="AF30" s="234"/>
      <c r="AG30" s="234"/>
    </row>
    <row r="31" spans="1:33" s="34" customFormat="1" ht="12" customHeight="1" outlineLevel="1" x14ac:dyDescent="0.25">
      <c r="A31" s="39"/>
      <c r="B31" s="38" t="s">
        <v>697</v>
      </c>
      <c r="C31" s="36" t="s">
        <v>288</v>
      </c>
      <c r="D31" t="s">
        <v>2022</v>
      </c>
      <c r="E31">
        <v>3</v>
      </c>
      <c r="F31" s="693">
        <f t="shared" si="0"/>
        <v>1</v>
      </c>
      <c r="G31" s="16">
        <f t="shared" si="1"/>
        <v>1</v>
      </c>
      <c r="H31" s="234">
        <v>1</v>
      </c>
      <c r="I31" s="234">
        <f t="shared" si="10"/>
        <v>0</v>
      </c>
      <c r="J31" s="234">
        <f t="shared" si="11"/>
        <v>0</v>
      </c>
      <c r="K31" s="234">
        <f t="shared" si="12"/>
        <v>1</v>
      </c>
      <c r="L31" s="234">
        <f t="shared" si="13"/>
        <v>0</v>
      </c>
      <c r="M31" s="39"/>
      <c r="N31" s="38"/>
      <c r="O31" s="36"/>
      <c r="P31"/>
      <c r="Q31" s="234"/>
      <c r="R31" s="234"/>
      <c r="S31" s="234"/>
      <c r="T31" s="234">
        <v>7</v>
      </c>
      <c r="U31" s="234">
        <v>7</v>
      </c>
      <c r="V31" s="234">
        <v>4</v>
      </c>
      <c r="W31" s="234"/>
      <c r="X31" s="234"/>
      <c r="Y31" s="234"/>
      <c r="Z31" s="234"/>
      <c r="AA31" s="234"/>
      <c r="AB31" s="234"/>
      <c r="AC31" s="234"/>
      <c r="AD31" s="234"/>
      <c r="AE31" s="234"/>
      <c r="AF31" s="234"/>
      <c r="AG31" s="234"/>
    </row>
    <row r="32" spans="1:33" s="34" customFormat="1" ht="12" customHeight="1" x14ac:dyDescent="0.25">
      <c r="A32" s="39"/>
      <c r="B32" s="38" t="s">
        <v>699</v>
      </c>
      <c r="C32" s="36" t="s">
        <v>6790</v>
      </c>
      <c r="D32" t="s">
        <v>2021</v>
      </c>
      <c r="E32">
        <v>3</v>
      </c>
      <c r="F32" s="693">
        <f t="shared" si="0"/>
        <v>1</v>
      </c>
      <c r="G32" s="16">
        <f t="shared" si="1"/>
        <v>1</v>
      </c>
      <c r="H32" s="234">
        <v>1</v>
      </c>
      <c r="I32" s="234">
        <f t="shared" si="10"/>
        <v>0</v>
      </c>
      <c r="J32" s="234">
        <f t="shared" si="11"/>
        <v>0</v>
      </c>
      <c r="K32" s="234">
        <f t="shared" si="12"/>
        <v>1</v>
      </c>
      <c r="L32" s="234">
        <f t="shared" si="13"/>
        <v>0</v>
      </c>
      <c r="M32" s="39"/>
      <c r="N32" s="38"/>
      <c r="O32" s="36"/>
      <c r="P32"/>
      <c r="Q32" s="234"/>
      <c r="R32" s="234"/>
      <c r="S32" s="234"/>
      <c r="T32" s="234">
        <v>8</v>
      </c>
      <c r="U32" s="234">
        <v>0</v>
      </c>
      <c r="V32" s="234">
        <v>1</v>
      </c>
      <c r="W32" s="234"/>
      <c r="X32" s="234"/>
      <c r="Y32" s="234"/>
      <c r="Z32" s="234"/>
      <c r="AA32" s="234"/>
      <c r="AB32" s="234"/>
      <c r="AC32" s="234"/>
      <c r="AD32" s="234"/>
      <c r="AE32" s="234"/>
      <c r="AF32" s="234"/>
      <c r="AG32" s="234"/>
    </row>
    <row r="33" spans="1:33" s="34" customFormat="1" ht="12" customHeight="1" outlineLevel="1" x14ac:dyDescent="0.25">
      <c r="A33" s="39"/>
      <c r="B33" s="38" t="s">
        <v>701</v>
      </c>
      <c r="C33" s="327" t="s">
        <v>103</v>
      </c>
      <c r="D33" t="s">
        <v>2015</v>
      </c>
      <c r="E33">
        <v>3</v>
      </c>
      <c r="F33" s="693">
        <f t="shared" si="0"/>
        <v>1</v>
      </c>
      <c r="G33" s="16">
        <f t="shared" si="1"/>
        <v>1</v>
      </c>
      <c r="H33" s="234"/>
      <c r="I33" s="234">
        <f t="shared" si="10"/>
        <v>0</v>
      </c>
      <c r="J33" s="234">
        <f t="shared" si="11"/>
        <v>1</v>
      </c>
      <c r="K33" s="234">
        <f t="shared" si="12"/>
        <v>0</v>
      </c>
      <c r="L33" s="234">
        <f t="shared" si="13"/>
        <v>0</v>
      </c>
      <c r="M33" s="39"/>
      <c r="N33" s="38"/>
      <c r="O33" s="327"/>
      <c r="P33"/>
      <c r="Q33" s="234"/>
      <c r="R33" s="234"/>
      <c r="S33" s="234"/>
      <c r="T33" s="234"/>
      <c r="U33" s="234"/>
      <c r="V33" s="234"/>
      <c r="W33" s="234"/>
      <c r="X33" s="234"/>
      <c r="Y33" s="234"/>
      <c r="Z33" s="234"/>
      <c r="AA33" s="234"/>
      <c r="AB33" s="234"/>
      <c r="AC33" s="234"/>
      <c r="AD33" s="234"/>
      <c r="AE33" s="234"/>
      <c r="AF33" s="234"/>
      <c r="AG33" s="234"/>
    </row>
    <row r="34" spans="1:33" s="34" customFormat="1" ht="12" customHeight="1" outlineLevel="1" x14ac:dyDescent="0.25">
      <c r="A34" s="39"/>
      <c r="B34" s="35" t="s">
        <v>686</v>
      </c>
      <c r="D34"/>
      <c r="E34"/>
      <c r="F34" s="693" t="str">
        <f t="shared" si="0"/>
        <v/>
      </c>
      <c r="G34" s="16" t="str">
        <f t="shared" si="1"/>
        <v/>
      </c>
      <c r="H34" s="234"/>
      <c r="I34" s="234">
        <f t="shared" si="10"/>
        <v>0</v>
      </c>
      <c r="J34" s="234">
        <f t="shared" si="11"/>
        <v>0</v>
      </c>
      <c r="K34" s="234">
        <f t="shared" si="12"/>
        <v>0</v>
      </c>
      <c r="L34" s="234">
        <f t="shared" si="13"/>
        <v>1</v>
      </c>
      <c r="M34" s="39"/>
      <c r="N34" s="35"/>
      <c r="P34"/>
      <c r="Q34" s="234"/>
      <c r="R34" s="234"/>
      <c r="S34" s="234"/>
      <c r="T34" s="234">
        <v>2</v>
      </c>
      <c r="U34" s="234">
        <v>2</v>
      </c>
      <c r="V34" s="234">
        <v>0</v>
      </c>
      <c r="W34" s="234"/>
      <c r="X34" s="234"/>
      <c r="Y34" s="234"/>
      <c r="Z34" s="234"/>
      <c r="AA34" s="234"/>
      <c r="AB34" s="234"/>
      <c r="AC34" s="234"/>
      <c r="AD34" s="234"/>
      <c r="AE34" s="234"/>
      <c r="AF34" s="234"/>
      <c r="AG34" s="234"/>
    </row>
    <row r="35" spans="1:33" s="34" customFormat="1" ht="12" customHeight="1" outlineLevel="1" x14ac:dyDescent="0.25">
      <c r="A35" s="39"/>
      <c r="B35" s="202" t="s">
        <v>687</v>
      </c>
      <c r="C35" s="36" t="s">
        <v>688</v>
      </c>
      <c r="D35"/>
      <c r="E35"/>
      <c r="F35" s="693">
        <f t="shared" si="0"/>
        <v>1</v>
      </c>
      <c r="G35" s="16" t="str">
        <f t="shared" si="1"/>
        <v/>
      </c>
      <c r="H35" s="234">
        <v>1</v>
      </c>
      <c r="I35" s="234">
        <f t="shared" si="10"/>
        <v>1</v>
      </c>
      <c r="J35" s="234">
        <f t="shared" si="11"/>
        <v>0</v>
      </c>
      <c r="K35" s="234">
        <f t="shared" si="12"/>
        <v>0</v>
      </c>
      <c r="L35" s="234">
        <f t="shared" si="13"/>
        <v>0</v>
      </c>
      <c r="M35" s="39"/>
      <c r="N35" s="202"/>
      <c r="O35" s="36"/>
      <c r="P35"/>
      <c r="Q35" s="234"/>
      <c r="R35" s="234"/>
      <c r="S35" s="234"/>
      <c r="T35" s="234">
        <v>1</v>
      </c>
      <c r="U35" s="234">
        <v>1</v>
      </c>
      <c r="V35" s="234">
        <v>0</v>
      </c>
      <c r="W35" s="234"/>
      <c r="X35" s="234"/>
      <c r="Y35" s="234"/>
      <c r="Z35" s="234"/>
      <c r="AA35" s="234"/>
      <c r="AB35" s="234"/>
      <c r="AC35" s="234"/>
      <c r="AD35" s="234"/>
      <c r="AE35" s="234"/>
      <c r="AF35" s="234"/>
      <c r="AG35" s="234"/>
    </row>
    <row r="36" spans="1:33" s="34" customFormat="1" ht="12" customHeight="1" outlineLevel="1" x14ac:dyDescent="0.25">
      <c r="A36" s="39"/>
      <c r="B36" s="202" t="s">
        <v>689</v>
      </c>
      <c r="C36" s="36" t="s">
        <v>6786</v>
      </c>
      <c r="D36"/>
      <c r="E36"/>
      <c r="F36" s="693">
        <f t="shared" si="0"/>
        <v>1</v>
      </c>
      <c r="G36" s="16" t="str">
        <f t="shared" si="1"/>
        <v/>
      </c>
      <c r="H36" s="234">
        <v>1</v>
      </c>
      <c r="I36" s="234">
        <f t="shared" si="10"/>
        <v>1</v>
      </c>
      <c r="J36" s="234">
        <f t="shared" si="11"/>
        <v>0</v>
      </c>
      <c r="K36" s="234">
        <f t="shared" si="12"/>
        <v>0</v>
      </c>
      <c r="L36" s="234">
        <f t="shared" si="13"/>
        <v>0</v>
      </c>
      <c r="M36" s="39"/>
      <c r="N36" s="202"/>
      <c r="O36" s="36"/>
      <c r="P36"/>
      <c r="Q36" s="234"/>
      <c r="R36" s="234"/>
      <c r="S36" s="234"/>
      <c r="T36" s="234">
        <v>2</v>
      </c>
      <c r="U36" s="234">
        <v>2</v>
      </c>
      <c r="V36" s="234">
        <v>0</v>
      </c>
      <c r="W36" s="234"/>
      <c r="X36" s="234"/>
      <c r="Y36" s="234"/>
      <c r="Z36" s="234"/>
      <c r="AA36" s="234"/>
      <c r="AB36" s="234"/>
      <c r="AC36" s="234"/>
      <c r="AD36" s="234"/>
      <c r="AE36" s="234"/>
      <c r="AF36" s="234"/>
      <c r="AG36" s="234"/>
    </row>
    <row r="37" spans="1:33" s="34" customFormat="1" ht="12" customHeight="1" outlineLevel="1" x14ac:dyDescent="0.25">
      <c r="A37" s="39"/>
      <c r="B37" s="202" t="s">
        <v>691</v>
      </c>
      <c r="C37" s="36" t="s">
        <v>692</v>
      </c>
      <c r="D37"/>
      <c r="E37"/>
      <c r="F37" s="693">
        <f t="shared" si="0"/>
        <v>1</v>
      </c>
      <c r="G37" s="16" t="str">
        <f t="shared" si="1"/>
        <v/>
      </c>
      <c r="H37" s="234">
        <v>1</v>
      </c>
      <c r="I37" s="234">
        <f t="shared" si="10"/>
        <v>1</v>
      </c>
      <c r="J37" s="234">
        <f t="shared" si="11"/>
        <v>0</v>
      </c>
      <c r="K37" s="234">
        <f t="shared" si="12"/>
        <v>0</v>
      </c>
      <c r="L37" s="234">
        <f t="shared" si="13"/>
        <v>0</v>
      </c>
      <c r="M37" s="39"/>
      <c r="N37" s="202"/>
      <c r="O37" s="36"/>
      <c r="P37"/>
      <c r="Q37" s="234"/>
      <c r="R37" s="234"/>
      <c r="S37" s="234"/>
      <c r="T37" s="234">
        <v>4</v>
      </c>
      <c r="U37" s="234">
        <v>4</v>
      </c>
      <c r="V37" s="234">
        <v>0</v>
      </c>
      <c r="W37" s="234"/>
      <c r="X37" s="234"/>
      <c r="Y37" s="234"/>
      <c r="Z37" s="234"/>
      <c r="AA37" s="234"/>
      <c r="AB37" s="234"/>
      <c r="AC37" s="234"/>
      <c r="AD37" s="234"/>
      <c r="AE37" s="234"/>
      <c r="AF37" s="234"/>
      <c r="AG37" s="234"/>
    </row>
    <row r="38" spans="1:33" s="34" customFormat="1" ht="12" customHeight="1" outlineLevel="1" x14ac:dyDescent="0.25">
      <c r="A38" s="39"/>
      <c r="B38" s="202" t="s">
        <v>693</v>
      </c>
      <c r="C38" s="36" t="s">
        <v>6787</v>
      </c>
      <c r="D38"/>
      <c r="E38"/>
      <c r="F38" s="693">
        <f t="shared" si="0"/>
        <v>1</v>
      </c>
      <c r="G38" s="16" t="str">
        <f t="shared" si="1"/>
        <v/>
      </c>
      <c r="H38" s="234">
        <v>1</v>
      </c>
      <c r="I38" s="234">
        <f t="shared" si="10"/>
        <v>1</v>
      </c>
      <c r="J38" s="234">
        <f t="shared" si="11"/>
        <v>0</v>
      </c>
      <c r="K38" s="234">
        <f t="shared" si="12"/>
        <v>0</v>
      </c>
      <c r="L38" s="234">
        <f t="shared" si="13"/>
        <v>0</v>
      </c>
      <c r="M38" s="39"/>
      <c r="N38" s="202"/>
      <c r="O38" s="36"/>
      <c r="P38"/>
      <c r="Q38" s="234"/>
      <c r="R38" s="234"/>
      <c r="S38" s="234"/>
      <c r="T38" s="234">
        <v>2</v>
      </c>
      <c r="U38" s="234">
        <v>2</v>
      </c>
      <c r="V38" s="234">
        <v>0</v>
      </c>
      <c r="W38" s="234"/>
      <c r="X38" s="234"/>
      <c r="Y38" s="234"/>
      <c r="Z38" s="234"/>
      <c r="AA38" s="234"/>
      <c r="AB38" s="234"/>
      <c r="AC38" s="234"/>
      <c r="AD38" s="234"/>
      <c r="AE38" s="234"/>
      <c r="AF38" s="234"/>
      <c r="AG38" s="234"/>
    </row>
    <row r="39" spans="1:33" ht="15" customHeight="1" x14ac:dyDescent="0.25">
      <c r="A39" s="39"/>
      <c r="B39" s="202" t="s">
        <v>695</v>
      </c>
      <c r="C39" s="36" t="s">
        <v>6788</v>
      </c>
      <c r="D39"/>
      <c r="E39"/>
      <c r="F39" s="693">
        <f t="shared" si="0"/>
        <v>1</v>
      </c>
      <c r="G39" s="16" t="str">
        <f t="shared" si="1"/>
        <v/>
      </c>
      <c r="H39" s="234">
        <v>1</v>
      </c>
      <c r="I39" s="234">
        <f t="shared" si="10"/>
        <v>1</v>
      </c>
      <c r="J39" s="234">
        <f t="shared" si="11"/>
        <v>0</v>
      </c>
      <c r="K39" s="234">
        <f t="shared" si="12"/>
        <v>0</v>
      </c>
      <c r="L39" s="234">
        <f t="shared" si="13"/>
        <v>0</v>
      </c>
      <c r="M39" s="39"/>
      <c r="N39" s="202"/>
      <c r="O39" s="36"/>
      <c r="P39"/>
    </row>
    <row r="40" spans="1:33" s="34" customFormat="1" ht="12" customHeight="1" outlineLevel="1" x14ac:dyDescent="0.25">
      <c r="A40" s="269" t="s">
        <v>933</v>
      </c>
      <c r="B40" s="230" t="s">
        <v>1517</v>
      </c>
      <c r="C40" s="1055"/>
      <c r="D40"/>
      <c r="E40"/>
      <c r="F40" s="693" t="str">
        <f t="shared" si="0"/>
        <v/>
      </c>
      <c r="G40" s="16" t="str">
        <f t="shared" si="1"/>
        <v/>
      </c>
      <c r="H40" s="234"/>
      <c r="I40" s="234">
        <f t="shared" si="10"/>
        <v>0</v>
      </c>
      <c r="J40" s="234">
        <f t="shared" si="11"/>
        <v>0</v>
      </c>
      <c r="K40" s="234">
        <f t="shared" si="12"/>
        <v>0</v>
      </c>
      <c r="L40" s="234">
        <f t="shared" si="13"/>
        <v>0</v>
      </c>
      <c r="M40" s="269"/>
      <c r="N40" s="230"/>
      <c r="O40" s="231"/>
      <c r="P40"/>
      <c r="Q40" s="234"/>
      <c r="R40" s="234"/>
      <c r="S40" s="234"/>
      <c r="T40" s="234"/>
      <c r="U40" s="234"/>
      <c r="V40" s="234"/>
      <c r="W40" s="234"/>
      <c r="X40" s="234"/>
      <c r="Y40" s="234"/>
      <c r="Z40" s="234"/>
      <c r="AA40" s="234"/>
      <c r="AB40" s="234"/>
      <c r="AC40" s="234"/>
      <c r="AD40" s="234"/>
      <c r="AE40" s="234"/>
      <c r="AF40" s="234"/>
      <c r="AG40" s="234"/>
    </row>
    <row r="41" spans="1:33" s="240" customFormat="1" ht="10.5" customHeight="1" outlineLevel="1" x14ac:dyDescent="0.25">
      <c r="A41" s="270"/>
      <c r="B41" s="275" t="s">
        <v>703</v>
      </c>
      <c r="C41" s="39"/>
      <c r="D41"/>
      <c r="E41"/>
      <c r="F41" s="693" t="str">
        <f t="shared" si="0"/>
        <v/>
      </c>
      <c r="G41" s="16" t="str">
        <f t="shared" si="1"/>
        <v/>
      </c>
      <c r="H41" s="239"/>
      <c r="I41" s="234">
        <f t="shared" si="10"/>
        <v>0</v>
      </c>
      <c r="J41" s="234">
        <f t="shared" si="11"/>
        <v>0</v>
      </c>
      <c r="K41" s="234">
        <f t="shared" si="12"/>
        <v>0</v>
      </c>
      <c r="L41" s="234">
        <f t="shared" si="13"/>
        <v>1</v>
      </c>
      <c r="M41" s="270"/>
      <c r="N41" s="275"/>
      <c r="O41" s="39"/>
      <c r="P41"/>
      <c r="Q41" s="239"/>
      <c r="R41" s="239"/>
      <c r="S41" s="239"/>
      <c r="T41" s="239">
        <v>11</v>
      </c>
      <c r="U41" s="239">
        <v>3</v>
      </c>
      <c r="V41" s="239">
        <v>1</v>
      </c>
      <c r="W41" s="239"/>
      <c r="X41" s="239"/>
      <c r="Y41" s="239"/>
      <c r="Z41" s="239"/>
      <c r="AA41" s="239"/>
      <c r="AB41" s="239"/>
      <c r="AC41" s="239"/>
      <c r="AD41" s="239"/>
      <c r="AE41" s="239"/>
      <c r="AF41" s="239"/>
      <c r="AG41" s="239"/>
    </row>
    <row r="42" spans="1:33" s="34" customFormat="1" ht="12" customHeight="1" outlineLevel="1" x14ac:dyDescent="0.25">
      <c r="A42" s="270"/>
      <c r="B42" s="51" t="s">
        <v>704</v>
      </c>
      <c r="C42" s="168" t="s">
        <v>7158</v>
      </c>
      <c r="D42"/>
      <c r="E42"/>
      <c r="F42" s="693">
        <f t="shared" si="0"/>
        <v>1</v>
      </c>
      <c r="G42" s="16" t="str">
        <f t="shared" si="1"/>
        <v/>
      </c>
      <c r="H42" s="234">
        <v>1</v>
      </c>
      <c r="I42" s="234">
        <f t="shared" si="10"/>
        <v>1</v>
      </c>
      <c r="J42" s="234">
        <f t="shared" si="11"/>
        <v>0</v>
      </c>
      <c r="K42" s="234">
        <f t="shared" si="12"/>
        <v>0</v>
      </c>
      <c r="L42" s="234">
        <f t="shared" si="13"/>
        <v>0</v>
      </c>
      <c r="M42" s="270"/>
      <c r="N42" s="51"/>
      <c r="O42" s="168"/>
      <c r="P42"/>
      <c r="Q42" s="234"/>
      <c r="R42" s="234"/>
      <c r="S42" s="234"/>
      <c r="T42" s="234">
        <v>7</v>
      </c>
      <c r="U42" s="234">
        <v>2</v>
      </c>
      <c r="V42" s="234">
        <v>2</v>
      </c>
      <c r="W42" s="234"/>
      <c r="X42" s="234"/>
      <c r="Y42" s="234"/>
      <c r="Z42" s="234"/>
      <c r="AA42" s="234"/>
      <c r="AB42" s="234"/>
      <c r="AC42" s="234"/>
      <c r="AD42" s="234"/>
      <c r="AE42" s="234"/>
      <c r="AF42" s="234"/>
      <c r="AG42" s="234"/>
    </row>
    <row r="43" spans="1:33" s="240" customFormat="1" ht="12" customHeight="1" outlineLevel="1" x14ac:dyDescent="0.25">
      <c r="A43" s="272"/>
      <c r="B43" s="208" t="s">
        <v>706</v>
      </c>
      <c r="C43" s="52" t="s">
        <v>7162</v>
      </c>
      <c r="D43"/>
      <c r="E43"/>
      <c r="F43" s="693">
        <f t="shared" si="0"/>
        <v>1</v>
      </c>
      <c r="G43" s="16" t="str">
        <f t="shared" si="1"/>
        <v/>
      </c>
      <c r="H43" s="234">
        <v>1</v>
      </c>
      <c r="I43" s="234">
        <f t="shared" si="10"/>
        <v>1</v>
      </c>
      <c r="J43" s="234">
        <f t="shared" si="11"/>
        <v>0</v>
      </c>
      <c r="K43" s="234">
        <f t="shared" si="12"/>
        <v>0</v>
      </c>
      <c r="L43" s="234">
        <f t="shared" si="13"/>
        <v>0</v>
      </c>
      <c r="M43" s="272"/>
      <c r="N43" s="208"/>
      <c r="O43" s="52"/>
      <c r="P43"/>
      <c r="Q43" s="239"/>
      <c r="R43" s="239"/>
      <c r="S43" s="239"/>
      <c r="T43" s="239">
        <v>8</v>
      </c>
      <c r="U43" s="239">
        <v>3</v>
      </c>
      <c r="V43" s="239">
        <v>13</v>
      </c>
      <c r="W43" s="239"/>
      <c r="X43" s="239"/>
      <c r="Y43" s="239"/>
      <c r="Z43" s="239"/>
      <c r="AA43" s="239"/>
      <c r="AB43" s="239"/>
      <c r="AC43" s="239"/>
      <c r="AD43" s="239"/>
      <c r="AE43" s="239"/>
      <c r="AF43" s="239"/>
      <c r="AG43" s="239"/>
    </row>
    <row r="44" spans="1:33" s="34" customFormat="1" ht="12" customHeight="1" outlineLevel="1" x14ac:dyDescent="0.25">
      <c r="A44" s="270"/>
      <c r="B44" s="43" t="s">
        <v>632</v>
      </c>
      <c r="C44" s="141" t="s">
        <v>7165</v>
      </c>
      <c r="D44" t="s">
        <v>2024</v>
      </c>
      <c r="E44">
        <v>4</v>
      </c>
      <c r="F44" s="693">
        <f t="shared" si="0"/>
        <v>1</v>
      </c>
      <c r="G44" s="16">
        <f t="shared" si="1"/>
        <v>1</v>
      </c>
      <c r="H44" s="234">
        <v>1</v>
      </c>
      <c r="I44" s="234">
        <f t="shared" si="10"/>
        <v>0</v>
      </c>
      <c r="J44" s="234">
        <f t="shared" si="11"/>
        <v>0</v>
      </c>
      <c r="K44" s="234">
        <f t="shared" si="12"/>
        <v>1</v>
      </c>
      <c r="L44" s="234">
        <f t="shared" si="13"/>
        <v>0</v>
      </c>
      <c r="M44" s="270"/>
      <c r="N44" s="43"/>
      <c r="O44" s="141"/>
      <c r="P44"/>
      <c r="Q44" s="234"/>
      <c r="R44" s="234"/>
      <c r="S44" s="234"/>
      <c r="T44" s="234">
        <v>3</v>
      </c>
      <c r="U44" s="234">
        <v>3</v>
      </c>
      <c r="V44" s="234">
        <v>0</v>
      </c>
      <c r="W44" s="234"/>
      <c r="X44" s="234"/>
      <c r="Y44" s="234"/>
      <c r="Z44" s="234"/>
      <c r="AA44" s="234"/>
      <c r="AB44" s="234"/>
      <c r="AC44" s="234"/>
      <c r="AD44" s="234"/>
      <c r="AE44" s="234"/>
      <c r="AF44" s="234"/>
      <c r="AG44" s="234"/>
    </row>
    <row r="45" spans="1:33" s="34" customFormat="1" ht="12" customHeight="1" outlineLevel="1" x14ac:dyDescent="0.25">
      <c r="A45" s="37"/>
      <c r="B45" s="246" t="s">
        <v>1713</v>
      </c>
      <c r="C45" s="37"/>
      <c r="D45"/>
      <c r="E45"/>
      <c r="F45" s="693" t="str">
        <f t="shared" si="0"/>
        <v/>
      </c>
      <c r="G45" s="16" t="str">
        <f t="shared" si="1"/>
        <v/>
      </c>
      <c r="H45" s="234">
        <v>1</v>
      </c>
      <c r="I45" s="234">
        <f t="shared" si="10"/>
        <v>1</v>
      </c>
      <c r="J45" s="234">
        <f t="shared" si="11"/>
        <v>0</v>
      </c>
      <c r="K45" s="234">
        <f t="shared" si="12"/>
        <v>0</v>
      </c>
      <c r="L45" s="234">
        <f t="shared" si="13"/>
        <v>0</v>
      </c>
      <c r="M45" s="272"/>
      <c r="N45" s="246"/>
      <c r="O45" s="37"/>
      <c r="P45"/>
      <c r="Q45" s="234"/>
      <c r="R45" s="234"/>
      <c r="S45" s="234"/>
      <c r="T45" s="234"/>
      <c r="U45" s="234"/>
      <c r="V45" s="234"/>
      <c r="W45" s="234"/>
      <c r="X45" s="234"/>
      <c r="Y45" s="234"/>
      <c r="Z45" s="234"/>
      <c r="AA45" s="234"/>
      <c r="AB45" s="234"/>
      <c r="AC45" s="234"/>
      <c r="AD45" s="234"/>
      <c r="AE45" s="234"/>
      <c r="AF45" s="234"/>
      <c r="AG45" s="234"/>
    </row>
    <row r="46" spans="1:33" s="240" customFormat="1" ht="12.75" customHeight="1" outlineLevel="1" x14ac:dyDescent="0.25">
      <c r="A46" s="276"/>
      <c r="B46" s="42" t="s">
        <v>724</v>
      </c>
      <c r="C46" s="36" t="s">
        <v>360</v>
      </c>
      <c r="D46" t="s">
        <v>2102</v>
      </c>
      <c r="E46">
        <v>4</v>
      </c>
      <c r="F46" s="693">
        <f t="shared" si="0"/>
        <v>1</v>
      </c>
      <c r="G46" s="16">
        <f t="shared" si="1"/>
        <v>1</v>
      </c>
      <c r="H46" s="239"/>
      <c r="I46" s="234">
        <f t="shared" si="10"/>
        <v>0</v>
      </c>
      <c r="J46" s="234">
        <f t="shared" si="11"/>
        <v>1</v>
      </c>
      <c r="K46" s="234">
        <f t="shared" si="12"/>
        <v>0</v>
      </c>
      <c r="L46" s="234">
        <f t="shared" si="13"/>
        <v>0</v>
      </c>
      <c r="M46" s="37"/>
      <c r="N46" s="42"/>
      <c r="O46" s="36"/>
      <c r="P46"/>
      <c r="Q46" s="239"/>
      <c r="R46" s="239"/>
      <c r="S46" s="239"/>
      <c r="T46" s="239">
        <v>12</v>
      </c>
      <c r="U46" s="239">
        <v>2</v>
      </c>
      <c r="V46" s="239">
        <v>5</v>
      </c>
      <c r="W46" s="239"/>
      <c r="X46" s="239"/>
      <c r="Y46" s="239"/>
      <c r="Z46" s="239"/>
      <c r="AA46" s="239"/>
      <c r="AB46" s="239"/>
      <c r="AC46" s="239"/>
      <c r="AD46" s="239"/>
      <c r="AE46" s="239"/>
      <c r="AF46" s="239"/>
      <c r="AG46" s="239"/>
    </row>
    <row r="47" spans="1:33" s="34" customFormat="1" ht="12" customHeight="1" x14ac:dyDescent="0.25">
      <c r="A47" s="37"/>
      <c r="B47" s="42" t="s">
        <v>617</v>
      </c>
      <c r="C47" s="36" t="s">
        <v>495</v>
      </c>
      <c r="D47" t="s">
        <v>2102</v>
      </c>
      <c r="E47">
        <v>4</v>
      </c>
      <c r="F47" s="693">
        <f t="shared" si="0"/>
        <v>1</v>
      </c>
      <c r="G47" s="16">
        <f t="shared" si="1"/>
        <v>1</v>
      </c>
      <c r="H47" s="234">
        <v>1</v>
      </c>
      <c r="I47" s="234">
        <f t="shared" si="10"/>
        <v>0</v>
      </c>
      <c r="J47" s="234">
        <f t="shared" si="11"/>
        <v>0</v>
      </c>
      <c r="K47" s="234">
        <f t="shared" si="12"/>
        <v>1</v>
      </c>
      <c r="L47" s="234">
        <f t="shared" si="13"/>
        <v>0</v>
      </c>
      <c r="M47" s="276"/>
      <c r="N47" s="42"/>
      <c r="O47" s="36"/>
      <c r="P47"/>
      <c r="Q47" s="234"/>
      <c r="R47" s="234"/>
      <c r="S47" s="234"/>
      <c r="T47" s="234">
        <v>9</v>
      </c>
      <c r="U47" s="234">
        <v>0</v>
      </c>
      <c r="V47" s="234">
        <v>5</v>
      </c>
      <c r="W47" s="234"/>
      <c r="X47" s="234"/>
      <c r="Y47" s="234"/>
      <c r="Z47" s="234"/>
      <c r="AA47" s="234"/>
      <c r="AB47" s="234"/>
      <c r="AC47" s="234"/>
      <c r="AD47" s="234"/>
      <c r="AE47" s="234"/>
      <c r="AF47" s="234"/>
      <c r="AG47" s="234"/>
    </row>
    <row r="48" spans="1:33" s="34" customFormat="1" ht="12" customHeight="1" x14ac:dyDescent="0.25">
      <c r="A48" s="37"/>
      <c r="B48" s="47" t="s">
        <v>618</v>
      </c>
      <c r="C48" s="49" t="s">
        <v>547</v>
      </c>
      <c r="D48" t="s">
        <v>6563</v>
      </c>
      <c r="E48">
        <v>4</v>
      </c>
      <c r="F48" s="693">
        <f t="shared" si="0"/>
        <v>1</v>
      </c>
      <c r="G48" s="16">
        <f t="shared" si="1"/>
        <v>1</v>
      </c>
      <c r="H48" s="234"/>
      <c r="I48" s="234">
        <f t="shared" si="10"/>
        <v>0</v>
      </c>
      <c r="J48" s="234">
        <f t="shared" si="11"/>
        <v>1</v>
      </c>
      <c r="K48" s="234">
        <f t="shared" si="12"/>
        <v>0</v>
      </c>
      <c r="L48" s="234">
        <f t="shared" si="13"/>
        <v>0</v>
      </c>
      <c r="M48" s="37"/>
      <c r="N48" s="47"/>
      <c r="O48" s="49"/>
      <c r="P48"/>
      <c r="Q48" s="234"/>
      <c r="R48" s="234"/>
      <c r="S48" s="234"/>
      <c r="T48" s="234">
        <v>7</v>
      </c>
      <c r="U48" s="234">
        <v>0</v>
      </c>
      <c r="V48" s="234">
        <v>5</v>
      </c>
      <c r="W48" s="234"/>
      <c r="X48" s="234"/>
      <c r="Y48" s="234"/>
      <c r="Z48" s="234"/>
      <c r="AA48" s="234"/>
      <c r="AB48" s="234"/>
      <c r="AC48" s="234"/>
      <c r="AD48" s="234"/>
      <c r="AE48" s="234"/>
      <c r="AF48" s="234"/>
      <c r="AG48" s="234"/>
    </row>
    <row r="49" spans="1:33" s="34" customFormat="1" ht="12" customHeight="1" outlineLevel="1" x14ac:dyDescent="0.25">
      <c r="A49" s="37"/>
      <c r="B49" s="47" t="s">
        <v>725</v>
      </c>
      <c r="C49" s="36" t="s">
        <v>7060</v>
      </c>
      <c r="D49"/>
      <c r="E49"/>
      <c r="F49" s="693">
        <f t="shared" si="0"/>
        <v>1</v>
      </c>
      <c r="G49" s="16" t="str">
        <f t="shared" si="1"/>
        <v/>
      </c>
      <c r="H49" s="234"/>
      <c r="I49" s="234">
        <f t="shared" si="10"/>
        <v>0</v>
      </c>
      <c r="J49" s="234">
        <f t="shared" si="11"/>
        <v>0</v>
      </c>
      <c r="K49" s="234">
        <f t="shared" si="12"/>
        <v>0</v>
      </c>
      <c r="L49" s="234">
        <f t="shared" si="13"/>
        <v>1</v>
      </c>
      <c r="M49" s="37"/>
      <c r="N49" s="47"/>
      <c r="O49" s="36"/>
      <c r="P49"/>
      <c r="Q49" s="234"/>
      <c r="R49" s="234"/>
      <c r="S49" s="234"/>
      <c r="T49" s="234">
        <v>3</v>
      </c>
      <c r="U49" s="234">
        <v>3</v>
      </c>
      <c r="V49" s="234">
        <v>0</v>
      </c>
      <c r="W49" s="234"/>
      <c r="X49" s="234"/>
      <c r="Y49" s="234"/>
      <c r="Z49" s="234"/>
      <c r="AA49" s="234"/>
      <c r="AB49" s="234"/>
      <c r="AC49" s="234"/>
      <c r="AD49" s="234"/>
      <c r="AE49" s="234"/>
      <c r="AF49" s="234"/>
      <c r="AG49" s="234"/>
    </row>
    <row r="50" spans="1:33" s="34" customFormat="1" ht="12" customHeight="1" outlineLevel="1" x14ac:dyDescent="0.25">
      <c r="A50" s="37"/>
      <c r="B50" s="47" t="s">
        <v>1619</v>
      </c>
      <c r="C50" s="36" t="s">
        <v>7069</v>
      </c>
      <c r="D50"/>
      <c r="E50"/>
      <c r="F50" s="693">
        <f t="shared" si="0"/>
        <v>1</v>
      </c>
      <c r="G50" s="16" t="str">
        <f t="shared" si="1"/>
        <v/>
      </c>
      <c r="H50" s="234">
        <v>1</v>
      </c>
      <c r="I50" s="234">
        <f t="shared" si="10"/>
        <v>1</v>
      </c>
      <c r="J50" s="234">
        <f t="shared" si="11"/>
        <v>0</v>
      </c>
      <c r="K50" s="234">
        <f t="shared" si="12"/>
        <v>0</v>
      </c>
      <c r="L50" s="234">
        <f t="shared" si="13"/>
        <v>0</v>
      </c>
      <c r="M50" s="37"/>
      <c r="N50" s="47"/>
      <c r="O50" s="36"/>
      <c r="P50"/>
      <c r="Q50" s="234"/>
      <c r="R50" s="234"/>
      <c r="S50" s="234"/>
      <c r="T50" s="234">
        <v>4</v>
      </c>
      <c r="U50" s="234">
        <v>4</v>
      </c>
      <c r="V50" s="234">
        <v>0</v>
      </c>
      <c r="W50" s="234"/>
      <c r="X50" s="234"/>
      <c r="Y50" s="234"/>
      <c r="Z50" s="234"/>
      <c r="AA50" s="234"/>
      <c r="AB50" s="234"/>
      <c r="AC50" s="234"/>
      <c r="AD50" s="234"/>
      <c r="AE50" s="234"/>
      <c r="AF50" s="234"/>
      <c r="AG50" s="234"/>
    </row>
    <row r="51" spans="1:33" s="34" customFormat="1" ht="12" customHeight="1" outlineLevel="1" x14ac:dyDescent="0.25">
      <c r="A51" s="37"/>
      <c r="B51" s="47" t="s">
        <v>7175</v>
      </c>
      <c r="C51" s="36" t="s">
        <v>7063</v>
      </c>
      <c r="D51"/>
      <c r="E51"/>
      <c r="F51" s="693">
        <f t="shared" si="0"/>
        <v>1</v>
      </c>
      <c r="G51" s="16" t="str">
        <f t="shared" si="1"/>
        <v/>
      </c>
      <c r="H51" s="234">
        <v>1</v>
      </c>
      <c r="I51" s="234">
        <f t="shared" si="10"/>
        <v>1</v>
      </c>
      <c r="J51" s="234">
        <f t="shared" si="11"/>
        <v>0</v>
      </c>
      <c r="K51" s="234">
        <f t="shared" si="12"/>
        <v>0</v>
      </c>
      <c r="L51" s="234">
        <f t="shared" si="13"/>
        <v>0</v>
      </c>
      <c r="M51" s="37"/>
      <c r="N51" s="1160"/>
      <c r="O51" s="36"/>
      <c r="P51"/>
      <c r="Q51" s="234"/>
      <c r="R51" s="234"/>
      <c r="S51" s="234"/>
      <c r="T51" s="234"/>
      <c r="U51" s="234"/>
      <c r="V51" s="234"/>
      <c r="W51" s="234"/>
      <c r="X51" s="234"/>
      <c r="Y51" s="234"/>
      <c r="Z51" s="234"/>
      <c r="AA51" s="234"/>
      <c r="AB51" s="234"/>
      <c r="AC51" s="234"/>
      <c r="AD51" s="234"/>
      <c r="AE51" s="234"/>
      <c r="AF51" s="234"/>
      <c r="AG51" s="234"/>
    </row>
    <row r="52" spans="1:33" s="34" customFormat="1" ht="12" customHeight="1" outlineLevel="1" x14ac:dyDescent="0.25">
      <c r="A52" s="37"/>
      <c r="B52" s="275" t="s">
        <v>719</v>
      </c>
      <c r="C52" s="37"/>
      <c r="D52"/>
      <c r="E52"/>
      <c r="F52" s="693" t="str">
        <f t="shared" si="0"/>
        <v/>
      </c>
      <c r="G52" s="16" t="str">
        <f t="shared" si="1"/>
        <v/>
      </c>
      <c r="H52" s="234"/>
      <c r="I52" s="234">
        <f t="shared" si="10"/>
        <v>0</v>
      </c>
      <c r="J52" s="234">
        <f t="shared" si="11"/>
        <v>0</v>
      </c>
      <c r="K52" s="234">
        <f t="shared" si="12"/>
        <v>0</v>
      </c>
      <c r="L52" s="234">
        <f t="shared" si="13"/>
        <v>1</v>
      </c>
      <c r="M52" s="37"/>
      <c r="N52" s="275"/>
      <c r="O52" s="37"/>
      <c r="P52"/>
      <c r="Q52" s="234"/>
      <c r="R52" s="234"/>
      <c r="S52" s="234"/>
      <c r="T52" s="234">
        <v>3</v>
      </c>
      <c r="U52" s="234">
        <v>3</v>
      </c>
      <c r="V52" s="234">
        <v>0</v>
      </c>
      <c r="W52" s="234"/>
      <c r="X52" s="234"/>
      <c r="Y52" s="234"/>
      <c r="Z52" s="234"/>
      <c r="AA52" s="234"/>
      <c r="AB52" s="234"/>
      <c r="AC52" s="234"/>
      <c r="AD52" s="234"/>
      <c r="AE52" s="234"/>
      <c r="AF52" s="234"/>
      <c r="AG52" s="234"/>
    </row>
    <row r="53" spans="1:33" s="34" customFormat="1" ht="12" customHeight="1" outlineLevel="1" x14ac:dyDescent="0.25">
      <c r="A53" s="37"/>
      <c r="B53" s="277" t="s">
        <v>714</v>
      </c>
      <c r="C53" s="37" t="s">
        <v>7075</v>
      </c>
      <c r="D53"/>
      <c r="E53"/>
      <c r="F53" s="693">
        <f t="shared" si="0"/>
        <v>1</v>
      </c>
      <c r="G53" s="16" t="str">
        <f t="shared" si="1"/>
        <v/>
      </c>
      <c r="H53" s="234">
        <v>1</v>
      </c>
      <c r="I53" s="234">
        <f t="shared" si="10"/>
        <v>1</v>
      </c>
      <c r="J53" s="234">
        <f t="shared" si="11"/>
        <v>0</v>
      </c>
      <c r="K53" s="234">
        <f t="shared" si="12"/>
        <v>0</v>
      </c>
      <c r="L53" s="234">
        <f t="shared" si="13"/>
        <v>0</v>
      </c>
      <c r="M53" s="37"/>
      <c r="N53" s="277"/>
      <c r="O53" s="37"/>
      <c r="P53"/>
      <c r="Q53" s="234"/>
      <c r="R53" s="234"/>
      <c r="S53" s="234"/>
      <c r="T53" s="234">
        <v>8</v>
      </c>
      <c r="U53" s="234">
        <v>4</v>
      </c>
      <c r="V53" s="234">
        <v>1</v>
      </c>
      <c r="W53" s="234"/>
      <c r="X53" s="234"/>
      <c r="Y53" s="234"/>
      <c r="Z53" s="234"/>
      <c r="AA53" s="234"/>
      <c r="AB53" s="234"/>
      <c r="AC53" s="234"/>
      <c r="AD53" s="234"/>
      <c r="AE53" s="234"/>
      <c r="AF53" s="234"/>
      <c r="AG53" s="234"/>
    </row>
    <row r="54" spans="1:33" s="34" customFormat="1" ht="12" customHeight="1" outlineLevel="1" x14ac:dyDescent="0.25">
      <c r="A54" s="37"/>
      <c r="B54" s="277" t="s">
        <v>615</v>
      </c>
      <c r="C54" s="37" t="s">
        <v>576</v>
      </c>
      <c r="D54" t="s">
        <v>2105</v>
      </c>
      <c r="E54">
        <v>3</v>
      </c>
      <c r="F54" s="693">
        <f t="shared" si="0"/>
        <v>1</v>
      </c>
      <c r="G54" s="16">
        <f t="shared" si="1"/>
        <v>1</v>
      </c>
      <c r="H54" s="234">
        <v>1</v>
      </c>
      <c r="I54" s="234">
        <f t="shared" si="10"/>
        <v>0</v>
      </c>
      <c r="J54" s="234">
        <f t="shared" si="11"/>
        <v>0</v>
      </c>
      <c r="K54" s="234">
        <f t="shared" si="12"/>
        <v>1</v>
      </c>
      <c r="L54" s="234">
        <f t="shared" si="13"/>
        <v>0</v>
      </c>
      <c r="M54" s="37"/>
      <c r="N54" s="277"/>
      <c r="O54" s="37"/>
      <c r="P54"/>
      <c r="Q54" s="234"/>
      <c r="R54" s="234"/>
      <c r="S54" s="234"/>
      <c r="T54" s="234">
        <v>7</v>
      </c>
      <c r="U54" s="234">
        <v>5</v>
      </c>
      <c r="V54" s="234">
        <v>0</v>
      </c>
      <c r="W54" s="234"/>
      <c r="X54" s="234"/>
      <c r="Y54" s="234"/>
      <c r="Z54" s="234"/>
      <c r="AA54" s="234"/>
      <c r="AB54" s="234"/>
      <c r="AC54" s="234"/>
      <c r="AD54" s="234"/>
      <c r="AE54" s="234"/>
      <c r="AF54" s="234"/>
      <c r="AG54" s="234"/>
    </row>
    <row r="55" spans="1:33" s="34" customFormat="1" ht="12" customHeight="1" x14ac:dyDescent="0.25">
      <c r="A55" s="37"/>
      <c r="B55" s="277" t="s">
        <v>721</v>
      </c>
      <c r="C55" s="37" t="s">
        <v>127</v>
      </c>
      <c r="D55"/>
      <c r="E55"/>
      <c r="F55" s="693">
        <f t="shared" si="0"/>
        <v>1</v>
      </c>
      <c r="G55" s="16" t="str">
        <f t="shared" si="1"/>
        <v/>
      </c>
      <c r="H55" s="234">
        <v>1</v>
      </c>
      <c r="I55" s="234">
        <f t="shared" si="10"/>
        <v>1</v>
      </c>
      <c r="J55" s="234">
        <f t="shared" si="11"/>
        <v>0</v>
      </c>
      <c r="K55" s="234">
        <f t="shared" si="12"/>
        <v>0</v>
      </c>
      <c r="L55" s="234">
        <f t="shared" si="13"/>
        <v>0</v>
      </c>
      <c r="M55" s="37"/>
      <c r="N55" s="277"/>
      <c r="O55" s="37"/>
      <c r="P55"/>
      <c r="Q55" s="234"/>
      <c r="R55" s="234"/>
      <c r="S55" s="234"/>
      <c r="T55" s="234">
        <v>5</v>
      </c>
      <c r="U55" s="234">
        <v>0</v>
      </c>
      <c r="V55" s="234">
        <v>2</v>
      </c>
      <c r="W55" s="234"/>
      <c r="X55" s="234"/>
      <c r="Y55" s="234"/>
      <c r="Z55" s="234"/>
      <c r="AA55" s="234"/>
      <c r="AB55" s="234"/>
      <c r="AC55" s="234"/>
      <c r="AD55" s="234"/>
      <c r="AE55" s="234"/>
      <c r="AF55" s="234"/>
      <c r="AG55" s="234"/>
    </row>
    <row r="56" spans="1:33" s="34" customFormat="1" ht="12" customHeight="1" outlineLevel="1" x14ac:dyDescent="0.25">
      <c r="A56" s="37"/>
      <c r="B56" s="38" t="s">
        <v>616</v>
      </c>
      <c r="C56" s="36" t="s">
        <v>489</v>
      </c>
      <c r="D56" t="s">
        <v>2105</v>
      </c>
      <c r="E56">
        <v>3</v>
      </c>
      <c r="F56" s="693">
        <f t="shared" si="0"/>
        <v>1</v>
      </c>
      <c r="G56" s="16">
        <f t="shared" si="1"/>
        <v>1</v>
      </c>
      <c r="H56" s="234"/>
      <c r="I56" s="234">
        <f t="shared" si="10"/>
        <v>0</v>
      </c>
      <c r="J56" s="234">
        <f t="shared" si="11"/>
        <v>1</v>
      </c>
      <c r="K56" s="234">
        <f t="shared" si="12"/>
        <v>0</v>
      </c>
      <c r="L56" s="234">
        <f t="shared" si="13"/>
        <v>0</v>
      </c>
      <c r="M56" s="37"/>
      <c r="N56" s="38"/>
      <c r="O56" s="36"/>
      <c r="P56"/>
      <c r="Q56" s="234"/>
      <c r="R56" s="234"/>
      <c r="S56" s="234"/>
      <c r="T56" s="234">
        <v>3</v>
      </c>
      <c r="U56" s="234">
        <v>3</v>
      </c>
      <c r="V56" s="234">
        <v>0</v>
      </c>
      <c r="W56" s="234"/>
      <c r="X56" s="234"/>
      <c r="Y56" s="234"/>
      <c r="Z56" s="234"/>
      <c r="AA56" s="234"/>
      <c r="AB56" s="234"/>
      <c r="AC56" s="234"/>
      <c r="AD56" s="234"/>
      <c r="AE56" s="234"/>
      <c r="AF56" s="234"/>
      <c r="AG56" s="234"/>
    </row>
    <row r="57" spans="1:33" s="34" customFormat="1" ht="12" customHeight="1" outlineLevel="1" x14ac:dyDescent="0.25">
      <c r="A57" s="37"/>
      <c r="B57" s="38" t="s">
        <v>722</v>
      </c>
      <c r="C57" s="203" t="s">
        <v>7078</v>
      </c>
      <c r="D57"/>
      <c r="E57"/>
      <c r="F57" s="693">
        <f t="shared" si="0"/>
        <v>1</v>
      </c>
      <c r="G57" s="16" t="str">
        <f t="shared" si="1"/>
        <v/>
      </c>
      <c r="H57" s="234">
        <v>1</v>
      </c>
      <c r="I57" s="234">
        <f t="shared" si="10"/>
        <v>1</v>
      </c>
      <c r="J57" s="234">
        <f t="shared" si="11"/>
        <v>0</v>
      </c>
      <c r="K57" s="234">
        <f t="shared" si="12"/>
        <v>0</v>
      </c>
      <c r="L57" s="234">
        <f t="shared" si="13"/>
        <v>0</v>
      </c>
      <c r="M57" s="37"/>
      <c r="N57" s="38"/>
      <c r="O57" s="203"/>
      <c r="P57"/>
      <c r="Q57" s="234"/>
      <c r="R57" s="234"/>
      <c r="S57" s="234"/>
      <c r="T57" s="234"/>
      <c r="U57" s="234"/>
      <c r="V57" s="234"/>
      <c r="W57" s="234"/>
      <c r="X57" s="234"/>
      <c r="Y57" s="234"/>
      <c r="Z57" s="234"/>
      <c r="AA57" s="234"/>
      <c r="AB57" s="234"/>
      <c r="AC57" s="234"/>
      <c r="AD57" s="234"/>
      <c r="AE57" s="234"/>
      <c r="AF57" s="234"/>
      <c r="AG57" s="234"/>
    </row>
    <row r="58" spans="1:33" s="34" customFormat="1" ht="11.25" customHeight="1" x14ac:dyDescent="0.25">
      <c r="A58" s="37"/>
      <c r="B58" s="38" t="s">
        <v>7184</v>
      </c>
      <c r="C58" s="203" t="s">
        <v>7080</v>
      </c>
      <c r="D58"/>
      <c r="E58"/>
      <c r="F58" s="693">
        <f t="shared" si="0"/>
        <v>1</v>
      </c>
      <c r="G58" s="16" t="str">
        <f t="shared" si="1"/>
        <v/>
      </c>
      <c r="H58" s="234"/>
      <c r="I58" s="234">
        <f t="shared" ref="I58:I89" si="14">IF(AND(D62="",H58=1),1,0)</f>
        <v>0</v>
      </c>
      <c r="J58" s="234">
        <f t="shared" ref="J58:J89" si="15">IF(AND(NOT(D62=""),H58=0),1,0)</f>
        <v>0</v>
      </c>
      <c r="K58" s="234">
        <f t="shared" ref="K58:K89" si="16">IF(AND(NOT(D62=""),H58=1),1,0)</f>
        <v>0</v>
      </c>
      <c r="L58" s="234">
        <f t="shared" ref="L58:L89" si="17">IF(AND(D62="",H58=0,LEN(B59)=4),1,0)</f>
        <v>1</v>
      </c>
      <c r="M58" s="37"/>
      <c r="N58" s="38"/>
      <c r="O58" s="203"/>
      <c r="P58"/>
      <c r="Q58" s="234"/>
      <c r="R58" s="234"/>
      <c r="S58" s="234"/>
      <c r="T58" s="234">
        <v>16</v>
      </c>
      <c r="U58" s="234">
        <v>0</v>
      </c>
      <c r="V58" s="234">
        <v>7</v>
      </c>
      <c r="W58" s="234"/>
      <c r="X58" s="234"/>
      <c r="Y58" s="234"/>
      <c r="Z58" s="234"/>
      <c r="AA58" s="234"/>
      <c r="AB58" s="234"/>
      <c r="AC58" s="234"/>
      <c r="AD58" s="234"/>
      <c r="AE58" s="234"/>
      <c r="AF58" s="234"/>
      <c r="AG58" s="234"/>
    </row>
    <row r="59" spans="1:33" s="34" customFormat="1" ht="12" customHeight="1" x14ac:dyDescent="0.25">
      <c r="A59" s="37"/>
      <c r="B59" s="38" t="s">
        <v>7189</v>
      </c>
      <c r="C59" s="203" t="s">
        <v>7083</v>
      </c>
      <c r="D59"/>
      <c r="E59"/>
      <c r="F59" s="693">
        <f t="shared" si="0"/>
        <v>1</v>
      </c>
      <c r="G59" s="16" t="str">
        <f t="shared" si="1"/>
        <v/>
      </c>
      <c r="H59" s="234"/>
      <c r="I59" s="234">
        <f t="shared" si="14"/>
        <v>0</v>
      </c>
      <c r="J59" s="234">
        <f t="shared" si="15"/>
        <v>1</v>
      </c>
      <c r="K59" s="234">
        <f t="shared" si="16"/>
        <v>0</v>
      </c>
      <c r="L59" s="234">
        <f t="shared" si="17"/>
        <v>0</v>
      </c>
      <c r="M59" s="37"/>
      <c r="N59" s="38"/>
      <c r="O59" s="203"/>
      <c r="P59"/>
      <c r="Q59" s="234"/>
      <c r="R59" s="234"/>
      <c r="S59" s="234"/>
      <c r="T59" s="234">
        <v>8</v>
      </c>
      <c r="U59" s="234">
        <v>0</v>
      </c>
      <c r="V59" s="234">
        <v>4</v>
      </c>
      <c r="W59" s="234"/>
      <c r="X59" s="234"/>
      <c r="Y59" s="234"/>
      <c r="Z59" s="234"/>
      <c r="AA59" s="234"/>
      <c r="AB59" s="234"/>
      <c r="AC59" s="234"/>
      <c r="AD59" s="234"/>
      <c r="AE59" s="234"/>
      <c r="AF59" s="234"/>
      <c r="AG59" s="234"/>
    </row>
    <row r="60" spans="1:33" s="34" customFormat="1" ht="12" customHeight="1" x14ac:dyDescent="0.25">
      <c r="A60" s="37"/>
      <c r="B60" s="38" t="s">
        <v>7194</v>
      </c>
      <c r="C60" s="203" t="s">
        <v>7087</v>
      </c>
      <c r="D60"/>
      <c r="E60"/>
      <c r="F60" s="693">
        <f t="shared" si="0"/>
        <v>1</v>
      </c>
      <c r="G60" s="16" t="str">
        <f t="shared" si="1"/>
        <v/>
      </c>
      <c r="H60" s="234"/>
      <c r="I60" s="234">
        <f t="shared" si="14"/>
        <v>0</v>
      </c>
      <c r="J60" s="234">
        <f t="shared" si="15"/>
        <v>1</v>
      </c>
      <c r="K60" s="234">
        <f t="shared" si="16"/>
        <v>0</v>
      </c>
      <c r="L60" s="234">
        <f t="shared" si="17"/>
        <v>0</v>
      </c>
      <c r="M60" s="37"/>
      <c r="N60" s="38"/>
      <c r="O60" s="203"/>
      <c r="P60"/>
      <c r="Q60" s="234"/>
      <c r="R60" s="234"/>
      <c r="S60" s="234"/>
      <c r="T60" s="234">
        <v>7</v>
      </c>
      <c r="U60" s="234">
        <v>0</v>
      </c>
      <c r="V60" s="234">
        <v>11</v>
      </c>
      <c r="W60" s="234"/>
      <c r="X60" s="234"/>
      <c r="Y60" s="234"/>
      <c r="Z60" s="234"/>
      <c r="AA60" s="234"/>
      <c r="AB60" s="234"/>
      <c r="AC60" s="234"/>
      <c r="AD60" s="234"/>
      <c r="AE60" s="234"/>
      <c r="AF60" s="234"/>
      <c r="AG60" s="234"/>
    </row>
    <row r="61" spans="1:33" s="34" customFormat="1" ht="12.6" customHeight="1" outlineLevel="1" x14ac:dyDescent="0.25">
      <c r="A61" s="37"/>
      <c r="B61" s="38" t="s">
        <v>7199</v>
      </c>
      <c r="C61" s="203" t="s">
        <v>7089</v>
      </c>
      <c r="D61"/>
      <c r="E61"/>
      <c r="F61" s="693">
        <f t="shared" si="0"/>
        <v>1</v>
      </c>
      <c r="G61" s="16" t="str">
        <f t="shared" si="1"/>
        <v/>
      </c>
      <c r="H61" s="234"/>
      <c r="I61" s="234">
        <f t="shared" si="14"/>
        <v>0</v>
      </c>
      <c r="J61" s="234">
        <f t="shared" si="15"/>
        <v>1</v>
      </c>
      <c r="K61" s="234">
        <f t="shared" si="16"/>
        <v>0</v>
      </c>
      <c r="L61" s="234">
        <f t="shared" si="17"/>
        <v>0</v>
      </c>
      <c r="M61" s="37"/>
      <c r="N61" s="38"/>
      <c r="O61" s="203"/>
      <c r="P61"/>
      <c r="Q61" s="234"/>
      <c r="R61" s="234"/>
      <c r="S61" s="234"/>
      <c r="T61" s="234">
        <v>8</v>
      </c>
      <c r="U61" s="234">
        <v>4</v>
      </c>
      <c r="V61" s="234">
        <v>5</v>
      </c>
      <c r="W61" s="234"/>
      <c r="X61" s="234"/>
      <c r="Y61" s="234"/>
      <c r="Z61" s="234"/>
      <c r="AA61" s="234"/>
      <c r="AB61" s="234"/>
      <c r="AC61" s="234"/>
      <c r="AD61" s="234"/>
      <c r="AE61" s="234"/>
      <c r="AF61" s="234"/>
      <c r="AG61" s="234"/>
    </row>
    <row r="62" spans="1:33" s="34" customFormat="1" ht="12" customHeight="1" outlineLevel="1" x14ac:dyDescent="0.25">
      <c r="A62" s="37"/>
      <c r="B62" s="35" t="s">
        <v>708</v>
      </c>
      <c r="C62" s="37"/>
      <c r="D62"/>
      <c r="E62"/>
      <c r="F62" s="379" t="str">
        <f t="shared" si="0"/>
        <v/>
      </c>
      <c r="G62" s="16" t="str">
        <f t="shared" si="1"/>
        <v/>
      </c>
      <c r="H62" s="234">
        <v>1</v>
      </c>
      <c r="I62" s="234">
        <f t="shared" si="14"/>
        <v>0</v>
      </c>
      <c r="J62" s="234">
        <f t="shared" si="15"/>
        <v>0</v>
      </c>
      <c r="K62" s="234">
        <f t="shared" si="16"/>
        <v>1</v>
      </c>
      <c r="L62" s="234">
        <f t="shared" si="17"/>
        <v>0</v>
      </c>
      <c r="M62" s="37"/>
      <c r="N62" s="35"/>
      <c r="O62" s="37"/>
      <c r="P62"/>
      <c r="Q62" s="234"/>
      <c r="R62" s="234"/>
      <c r="S62" s="234"/>
      <c r="T62" s="234"/>
      <c r="U62" s="234"/>
      <c r="V62" s="234"/>
      <c r="W62" s="234"/>
      <c r="X62" s="234"/>
      <c r="Y62" s="234"/>
      <c r="Z62" s="234"/>
      <c r="AA62" s="234"/>
      <c r="AB62" s="234"/>
      <c r="AC62" s="234"/>
      <c r="AD62" s="234"/>
      <c r="AE62" s="234"/>
      <c r="AF62" s="234"/>
      <c r="AG62" s="234"/>
    </row>
    <row r="63" spans="1:33" s="240" customFormat="1" ht="14.4" customHeight="1" x14ac:dyDescent="0.25">
      <c r="A63" s="37"/>
      <c r="B63" s="47" t="s">
        <v>709</v>
      </c>
      <c r="C63" s="36" t="s">
        <v>710</v>
      </c>
      <c r="D63" t="s">
        <v>2099</v>
      </c>
      <c r="E63">
        <v>3</v>
      </c>
      <c r="F63" s="379">
        <f t="shared" si="0"/>
        <v>1</v>
      </c>
      <c r="G63" s="16">
        <f t="shared" si="1"/>
        <v>1</v>
      </c>
      <c r="H63" s="239"/>
      <c r="I63" s="234">
        <f t="shared" si="14"/>
        <v>0</v>
      </c>
      <c r="J63" s="234">
        <f t="shared" si="15"/>
        <v>1</v>
      </c>
      <c r="K63" s="234">
        <f t="shared" si="16"/>
        <v>0</v>
      </c>
      <c r="L63" s="234">
        <f t="shared" si="17"/>
        <v>0</v>
      </c>
      <c r="M63" s="37"/>
      <c r="N63" s="47"/>
      <c r="O63" s="36"/>
      <c r="P63"/>
      <c r="Q63" s="239"/>
      <c r="R63" s="239"/>
      <c r="S63" s="239"/>
      <c r="T63" s="239">
        <v>7</v>
      </c>
      <c r="U63" s="239">
        <v>0</v>
      </c>
      <c r="V63" s="239">
        <v>14</v>
      </c>
      <c r="W63" s="239"/>
      <c r="X63" s="239"/>
      <c r="Y63" s="239"/>
      <c r="Z63" s="239"/>
      <c r="AA63" s="239"/>
      <c r="AB63" s="239"/>
      <c r="AC63" s="239"/>
      <c r="AD63" s="239"/>
      <c r="AE63" s="239"/>
      <c r="AF63" s="239"/>
      <c r="AG63" s="239"/>
    </row>
    <row r="64" spans="1:33" s="34" customFormat="1" ht="12" customHeight="1" x14ac:dyDescent="0.25">
      <c r="A64" s="37"/>
      <c r="B64" s="47" t="s">
        <v>711</v>
      </c>
      <c r="C64" s="36" t="s">
        <v>372</v>
      </c>
      <c r="D64" t="s">
        <v>2099</v>
      </c>
      <c r="E64" s="639">
        <v>3</v>
      </c>
      <c r="F64" s="379">
        <f t="shared" si="0"/>
        <v>1</v>
      </c>
      <c r="G64" s="16">
        <f t="shared" si="1"/>
        <v>1</v>
      </c>
      <c r="H64" s="234"/>
      <c r="I64" s="234">
        <f t="shared" si="14"/>
        <v>0</v>
      </c>
      <c r="J64" s="234">
        <f t="shared" si="15"/>
        <v>0</v>
      </c>
      <c r="K64" s="234">
        <f t="shared" si="16"/>
        <v>0</v>
      </c>
      <c r="L64" s="234">
        <f t="shared" si="17"/>
        <v>1</v>
      </c>
      <c r="M64" s="37"/>
      <c r="N64" s="47"/>
      <c r="O64" s="36"/>
      <c r="P64"/>
      <c r="Q64" s="234"/>
      <c r="R64" s="234"/>
      <c r="S64" s="234"/>
      <c r="T64" s="234">
        <v>6</v>
      </c>
      <c r="U64" s="234">
        <v>0</v>
      </c>
      <c r="V64" s="234">
        <v>1</v>
      </c>
      <c r="W64" s="234"/>
      <c r="X64" s="234"/>
      <c r="Y64" s="234"/>
      <c r="Z64" s="234"/>
      <c r="AA64" s="234"/>
      <c r="AB64" s="234"/>
      <c r="AC64" s="234"/>
      <c r="AD64" s="234"/>
      <c r="AE64" s="234"/>
      <c r="AF64" s="234"/>
      <c r="AG64" s="234"/>
    </row>
    <row r="65" spans="1:64" s="34" customFormat="1" ht="12" customHeight="1" outlineLevel="1" x14ac:dyDescent="0.25">
      <c r="A65" s="37"/>
      <c r="B65" s="47" t="s">
        <v>614</v>
      </c>
      <c r="C65" s="36" t="s">
        <v>373</v>
      </c>
      <c r="D65" t="s">
        <v>6562</v>
      </c>
      <c r="E65">
        <v>3</v>
      </c>
      <c r="F65" s="693">
        <f t="shared" si="0"/>
        <v>1</v>
      </c>
      <c r="G65" s="16">
        <f t="shared" si="1"/>
        <v>1</v>
      </c>
      <c r="H65" s="234"/>
      <c r="I65" s="234">
        <f t="shared" si="14"/>
        <v>0</v>
      </c>
      <c r="J65" s="234">
        <f t="shared" si="15"/>
        <v>1</v>
      </c>
      <c r="K65" s="234">
        <f t="shared" si="16"/>
        <v>0</v>
      </c>
      <c r="L65" s="234">
        <f t="shared" si="17"/>
        <v>0</v>
      </c>
      <c r="M65" s="37"/>
      <c r="N65" s="47"/>
      <c r="O65" s="36"/>
      <c r="P65"/>
      <c r="Q65" s="234"/>
      <c r="R65" s="234"/>
      <c r="S65" s="234"/>
      <c r="T65" s="234">
        <v>4</v>
      </c>
      <c r="U65" s="234">
        <v>3</v>
      </c>
      <c r="V65" s="234">
        <v>0</v>
      </c>
      <c r="W65" s="234"/>
      <c r="X65" s="234"/>
      <c r="Y65" s="234"/>
      <c r="Z65" s="234"/>
      <c r="AA65" s="234"/>
      <c r="AB65" s="234"/>
      <c r="AC65" s="234"/>
      <c r="AD65" s="234"/>
      <c r="AE65" s="234"/>
      <c r="AF65" s="234"/>
      <c r="AG65" s="234"/>
    </row>
    <row r="66" spans="1:64" s="34" customFormat="1" ht="12" customHeight="1" x14ac:dyDescent="0.25">
      <c r="A66" s="37"/>
      <c r="B66" s="47" t="s">
        <v>712</v>
      </c>
      <c r="C66" s="36" t="s">
        <v>7217</v>
      </c>
      <c r="D66" t="s">
        <v>2099</v>
      </c>
      <c r="E66">
        <v>3</v>
      </c>
      <c r="F66" s="693">
        <f t="shared" si="0"/>
        <v>1</v>
      </c>
      <c r="G66" s="16">
        <f t="shared" si="1"/>
        <v>1</v>
      </c>
      <c r="H66" s="234"/>
      <c r="I66" s="234">
        <f t="shared" si="14"/>
        <v>0</v>
      </c>
      <c r="J66" s="234">
        <f t="shared" si="15"/>
        <v>1</v>
      </c>
      <c r="K66" s="234">
        <f t="shared" si="16"/>
        <v>0</v>
      </c>
      <c r="L66" s="234">
        <f t="shared" si="17"/>
        <v>0</v>
      </c>
      <c r="M66" s="37"/>
      <c r="N66" s="47"/>
      <c r="O66" s="36"/>
      <c r="P66"/>
      <c r="Q66" s="234"/>
      <c r="R66" s="234"/>
      <c r="S66" s="234"/>
      <c r="T66" s="234">
        <v>15</v>
      </c>
      <c r="U66" s="234">
        <v>0</v>
      </c>
      <c r="V66" s="234">
        <v>0</v>
      </c>
      <c r="W66" s="234"/>
      <c r="X66" s="234"/>
      <c r="Y66" s="234"/>
      <c r="Z66" s="234"/>
      <c r="AA66" s="234"/>
      <c r="AB66" s="234"/>
      <c r="AC66" s="234"/>
      <c r="AD66" s="234"/>
      <c r="AE66" s="234"/>
      <c r="AF66" s="234"/>
      <c r="AG66" s="234"/>
    </row>
    <row r="67" spans="1:64" ht="15" customHeight="1" x14ac:dyDescent="0.25">
      <c r="A67" s="37"/>
      <c r="B67" s="1054" t="s">
        <v>4459</v>
      </c>
      <c r="C67" s="446" t="s">
        <v>6750</v>
      </c>
      <c r="D67" s="639" t="s">
        <v>6283</v>
      </c>
      <c r="E67">
        <v>4</v>
      </c>
      <c r="F67" s="693">
        <f t="shared" si="0"/>
        <v>1</v>
      </c>
      <c r="G67" s="16">
        <f t="shared" si="1"/>
        <v>1</v>
      </c>
      <c r="H67" s="229">
        <v>1</v>
      </c>
      <c r="I67" s="234">
        <f t="shared" si="14"/>
        <v>1</v>
      </c>
      <c r="J67" s="234">
        <f t="shared" si="15"/>
        <v>0</v>
      </c>
      <c r="K67" s="234">
        <f t="shared" si="16"/>
        <v>0</v>
      </c>
      <c r="L67" s="234">
        <f t="shared" si="17"/>
        <v>0</v>
      </c>
      <c r="M67" s="37"/>
      <c r="N67" s="1054"/>
      <c r="O67" s="446"/>
      <c r="P67" s="639"/>
    </row>
    <row r="68" spans="1:64" ht="12" customHeight="1" outlineLevel="1" x14ac:dyDescent="0.25">
      <c r="A68" s="37"/>
      <c r="B68" s="35" t="s">
        <v>3241</v>
      </c>
      <c r="C68" s="48"/>
      <c r="D68"/>
      <c r="E68"/>
      <c r="F68" s="693" t="str">
        <f t="shared" si="0"/>
        <v/>
      </c>
      <c r="G68" s="16" t="str">
        <f t="shared" si="1"/>
        <v/>
      </c>
      <c r="I68" s="234">
        <f t="shared" si="14"/>
        <v>0</v>
      </c>
      <c r="J68" s="234">
        <f t="shared" si="15"/>
        <v>1</v>
      </c>
      <c r="K68" s="234">
        <f t="shared" si="16"/>
        <v>0</v>
      </c>
      <c r="L68" s="234">
        <f t="shared" si="17"/>
        <v>0</v>
      </c>
      <c r="M68" s="37"/>
      <c r="N68" s="35"/>
      <c r="O68" s="48"/>
      <c r="P68"/>
    </row>
    <row r="69" spans="1:64" s="281" customFormat="1" ht="11.25" customHeight="1" outlineLevel="1" x14ac:dyDescent="0.25">
      <c r="A69" s="276"/>
      <c r="B69" s="38" t="s">
        <v>652</v>
      </c>
      <c r="C69" s="49" t="s">
        <v>6578</v>
      </c>
      <c r="D69" t="s">
        <v>2037</v>
      </c>
      <c r="E69">
        <v>4</v>
      </c>
      <c r="F69" s="693">
        <f t="shared" si="0"/>
        <v>1</v>
      </c>
      <c r="G69" s="16">
        <f t="shared" si="1"/>
        <v>1</v>
      </c>
      <c r="H69" s="280"/>
      <c r="I69" s="234">
        <f t="shared" si="14"/>
        <v>0</v>
      </c>
      <c r="J69" s="234">
        <f t="shared" si="15"/>
        <v>1</v>
      </c>
      <c r="K69" s="234">
        <f t="shared" si="16"/>
        <v>0</v>
      </c>
      <c r="L69" s="234">
        <f t="shared" si="17"/>
        <v>0</v>
      </c>
      <c r="M69" s="276"/>
      <c r="N69" s="38"/>
      <c r="O69" s="49"/>
      <c r="P69"/>
      <c r="Q69" s="280"/>
      <c r="R69" s="280"/>
      <c r="S69" s="280"/>
      <c r="T69" s="280">
        <v>5</v>
      </c>
      <c r="U69" s="280">
        <v>5</v>
      </c>
      <c r="V69" s="280">
        <v>0</v>
      </c>
      <c r="W69" s="280"/>
      <c r="X69" s="280"/>
      <c r="Y69" s="280"/>
      <c r="Z69" s="280"/>
      <c r="AA69" s="280"/>
      <c r="AB69" s="280"/>
      <c r="AC69" s="280"/>
      <c r="AD69" s="280"/>
      <c r="AE69" s="280"/>
      <c r="AF69" s="280"/>
      <c r="AG69" s="280"/>
      <c r="BL69" s="281">
        <f>IF(INDEX(Tab_actions,17,1)=1,INDEX(Tab_actions,17,4),0)</f>
        <v>0</v>
      </c>
    </row>
    <row r="70" spans="1:64" s="281" customFormat="1" ht="13.5" customHeight="1" outlineLevel="1" x14ac:dyDescent="0.25">
      <c r="A70" s="37"/>
      <c r="B70" s="38" t="s">
        <v>715</v>
      </c>
      <c r="C70" s="49" t="s">
        <v>374</v>
      </c>
      <c r="D70" t="s">
        <v>2037</v>
      </c>
      <c r="E70">
        <v>4</v>
      </c>
      <c r="F70" s="693">
        <f t="shared" si="0"/>
        <v>1</v>
      </c>
      <c r="G70" s="16">
        <f t="shared" si="1"/>
        <v>1</v>
      </c>
      <c r="H70" s="280"/>
      <c r="I70" s="234">
        <f t="shared" si="14"/>
        <v>0</v>
      </c>
      <c r="J70" s="234">
        <f t="shared" si="15"/>
        <v>0</v>
      </c>
      <c r="K70" s="234">
        <f t="shared" si="16"/>
        <v>0</v>
      </c>
      <c r="L70" s="234">
        <f t="shared" si="17"/>
        <v>1</v>
      </c>
      <c r="M70" s="37"/>
      <c r="N70" s="38"/>
      <c r="O70" s="49"/>
      <c r="P70"/>
      <c r="Q70" s="280"/>
      <c r="R70" s="280"/>
      <c r="S70" s="280"/>
      <c r="T70" s="280">
        <v>10</v>
      </c>
      <c r="U70" s="280">
        <v>10</v>
      </c>
      <c r="V70" s="280">
        <v>10</v>
      </c>
      <c r="W70" s="280"/>
      <c r="X70" s="280"/>
      <c r="Y70" s="280"/>
      <c r="Z70" s="280"/>
      <c r="AA70" s="280"/>
      <c r="AB70" s="280"/>
      <c r="AC70" s="280"/>
      <c r="AD70" s="280"/>
      <c r="AE70" s="280"/>
      <c r="AF70" s="280"/>
      <c r="AG70" s="280"/>
    </row>
    <row r="71" spans="1:64" ht="12" customHeight="1" outlineLevel="1" x14ac:dyDescent="0.25">
      <c r="A71" s="37"/>
      <c r="B71" s="36" t="s">
        <v>716</v>
      </c>
      <c r="C71" s="36" t="s">
        <v>2300</v>
      </c>
      <c r="D71"/>
      <c r="E71"/>
      <c r="F71" s="693">
        <f t="shared" si="0"/>
        <v>1</v>
      </c>
      <c r="G71" s="16" t="str">
        <f t="shared" ref="G71:G134" si="18">IF(AND(LEN(B71)=4,NOT(D71="")),1,"")</f>
        <v/>
      </c>
      <c r="I71" s="234">
        <f t="shared" si="14"/>
        <v>0</v>
      </c>
      <c r="J71" s="234">
        <f t="shared" si="15"/>
        <v>0</v>
      </c>
      <c r="K71" s="234">
        <f t="shared" si="16"/>
        <v>0</v>
      </c>
      <c r="L71" s="234">
        <f t="shared" si="17"/>
        <v>1</v>
      </c>
      <c r="M71" s="37"/>
      <c r="N71" s="36"/>
      <c r="O71" s="36"/>
      <c r="P71"/>
      <c r="T71" s="229">
        <v>4</v>
      </c>
      <c r="U71" s="229">
        <v>4</v>
      </c>
      <c r="V71" s="229">
        <v>0</v>
      </c>
    </row>
    <row r="72" spans="1:64" ht="12.75" customHeight="1" outlineLevel="1" x14ac:dyDescent="0.25">
      <c r="A72" s="37"/>
      <c r="B72" s="36" t="s">
        <v>718</v>
      </c>
      <c r="C72" s="36" t="s">
        <v>276</v>
      </c>
      <c r="D72" t="s">
        <v>6733</v>
      </c>
      <c r="E72">
        <v>4</v>
      </c>
      <c r="F72" s="693">
        <f t="shared" ref="F72:F136" si="19">IF(LEN(B72)=4,1,"")</f>
        <v>1</v>
      </c>
      <c r="G72" s="16">
        <f t="shared" si="18"/>
        <v>1</v>
      </c>
      <c r="H72" s="229">
        <v>1</v>
      </c>
      <c r="I72" s="234">
        <f t="shared" si="14"/>
        <v>1</v>
      </c>
      <c r="J72" s="234">
        <f t="shared" si="15"/>
        <v>0</v>
      </c>
      <c r="K72" s="234">
        <f t="shared" si="16"/>
        <v>0</v>
      </c>
      <c r="L72" s="234">
        <f t="shared" si="17"/>
        <v>0</v>
      </c>
      <c r="M72" s="37"/>
      <c r="N72" s="36"/>
      <c r="O72" s="36"/>
      <c r="P72"/>
      <c r="T72" s="229">
        <v>23</v>
      </c>
      <c r="U72" s="229">
        <v>15</v>
      </c>
      <c r="V72" s="229">
        <v>17</v>
      </c>
    </row>
    <row r="73" spans="1:64" ht="14.4" customHeight="1" outlineLevel="1" x14ac:dyDescent="0.25">
      <c r="A73" s="39"/>
      <c r="B73" s="569" t="s">
        <v>4368</v>
      </c>
      <c r="C73" s="36" t="s">
        <v>4651</v>
      </c>
      <c r="D73" t="s">
        <v>6282</v>
      </c>
      <c r="E73">
        <v>4</v>
      </c>
      <c r="F73" s="693">
        <f t="shared" si="19"/>
        <v>1</v>
      </c>
      <c r="G73" s="16">
        <f t="shared" si="18"/>
        <v>1</v>
      </c>
      <c r="H73" s="229">
        <v>1</v>
      </c>
      <c r="I73" s="234">
        <f t="shared" si="14"/>
        <v>0</v>
      </c>
      <c r="J73" s="234">
        <f t="shared" si="15"/>
        <v>0</v>
      </c>
      <c r="K73" s="234">
        <f t="shared" si="16"/>
        <v>1</v>
      </c>
      <c r="L73" s="234">
        <f t="shared" si="17"/>
        <v>0</v>
      </c>
      <c r="M73" s="39"/>
      <c r="N73" s="36"/>
      <c r="O73" s="36"/>
      <c r="P73"/>
      <c r="T73" s="229">
        <v>8</v>
      </c>
      <c r="U73" s="229">
        <v>0</v>
      </c>
      <c r="V73" s="229">
        <v>1</v>
      </c>
    </row>
    <row r="74" spans="1:64" ht="12.75" customHeight="1" outlineLevel="1" x14ac:dyDescent="0.25">
      <c r="A74" s="269" t="s">
        <v>600</v>
      </c>
      <c r="B74" s="230" t="s">
        <v>1393</v>
      </c>
      <c r="C74" s="1055"/>
      <c r="D74"/>
      <c r="E74"/>
      <c r="F74" s="693" t="str">
        <f t="shared" si="19"/>
        <v/>
      </c>
      <c r="G74" s="16" t="str">
        <f t="shared" si="18"/>
        <v/>
      </c>
      <c r="H74" s="229">
        <v>1</v>
      </c>
      <c r="I74" s="234">
        <f t="shared" si="14"/>
        <v>1</v>
      </c>
      <c r="J74" s="234">
        <f t="shared" si="15"/>
        <v>0</v>
      </c>
      <c r="K74" s="234">
        <f t="shared" si="16"/>
        <v>0</v>
      </c>
      <c r="L74" s="234">
        <f t="shared" si="17"/>
        <v>0</v>
      </c>
      <c r="M74" s="269"/>
      <c r="N74" s="230"/>
      <c r="O74" s="231"/>
      <c r="P74"/>
      <c r="T74" s="229">
        <v>8</v>
      </c>
      <c r="U74" s="229">
        <v>8</v>
      </c>
      <c r="V74" s="229">
        <v>11</v>
      </c>
    </row>
    <row r="75" spans="1:64" ht="12.75" customHeight="1" x14ac:dyDescent="0.25">
      <c r="A75" s="278"/>
      <c r="B75" s="35" t="s">
        <v>269</v>
      </c>
      <c r="C75" s="37"/>
      <c r="D75"/>
      <c r="E75"/>
      <c r="F75" s="693" t="str">
        <f t="shared" si="19"/>
        <v/>
      </c>
      <c r="G75" s="16" t="str">
        <f t="shared" si="18"/>
        <v/>
      </c>
      <c r="H75" s="229">
        <v>1</v>
      </c>
      <c r="I75" s="234">
        <f t="shared" si="14"/>
        <v>0</v>
      </c>
      <c r="J75" s="234">
        <f t="shared" si="15"/>
        <v>0</v>
      </c>
      <c r="K75" s="234">
        <f t="shared" si="16"/>
        <v>1</v>
      </c>
      <c r="L75" s="234">
        <f t="shared" si="17"/>
        <v>0</v>
      </c>
      <c r="M75" s="278"/>
      <c r="N75" s="35"/>
      <c r="O75" s="37"/>
      <c r="P75"/>
      <c r="T75" s="229">
        <v>4</v>
      </c>
      <c r="U75" s="229">
        <v>0</v>
      </c>
      <c r="V75" s="229">
        <v>33</v>
      </c>
    </row>
    <row r="76" spans="1:64" ht="12.75" customHeight="1" outlineLevel="1" x14ac:dyDescent="0.25">
      <c r="A76" s="279"/>
      <c r="B76" s="38" t="s">
        <v>728</v>
      </c>
      <c r="C76" s="36" t="s">
        <v>7</v>
      </c>
      <c r="D76"/>
      <c r="E76"/>
      <c r="F76" s="693">
        <f t="shared" si="19"/>
        <v>1</v>
      </c>
      <c r="G76" s="16" t="str">
        <f t="shared" si="18"/>
        <v/>
      </c>
      <c r="I76" s="234">
        <f t="shared" si="14"/>
        <v>0</v>
      </c>
      <c r="J76" s="234">
        <f t="shared" si="15"/>
        <v>0</v>
      </c>
      <c r="K76" s="234">
        <f t="shared" si="16"/>
        <v>0</v>
      </c>
      <c r="L76" s="234">
        <f t="shared" si="17"/>
        <v>1</v>
      </c>
      <c r="M76" s="279"/>
      <c r="N76" s="38"/>
      <c r="O76" s="36"/>
      <c r="P76"/>
      <c r="T76" s="229">
        <v>9</v>
      </c>
      <c r="U76" s="229">
        <v>2</v>
      </c>
      <c r="V76" s="229">
        <v>22</v>
      </c>
    </row>
    <row r="77" spans="1:64" ht="12.75" customHeight="1" x14ac:dyDescent="0.25">
      <c r="A77" s="279"/>
      <c r="B77" s="38" t="s">
        <v>629</v>
      </c>
      <c r="C77" s="52" t="s">
        <v>832</v>
      </c>
      <c r="D77" t="s">
        <v>1996</v>
      </c>
      <c r="E77">
        <v>4</v>
      </c>
      <c r="F77" s="693">
        <f>IF(LEN(B77)=4,1,"")</f>
        <v>1</v>
      </c>
      <c r="G77" s="16">
        <f t="shared" si="18"/>
        <v>1</v>
      </c>
      <c r="H77" s="229">
        <v>1</v>
      </c>
      <c r="I77" s="234">
        <f t="shared" si="14"/>
        <v>0</v>
      </c>
      <c r="J77" s="234">
        <f t="shared" si="15"/>
        <v>0</v>
      </c>
      <c r="K77" s="234">
        <f t="shared" si="16"/>
        <v>1</v>
      </c>
      <c r="L77" s="234">
        <f t="shared" si="17"/>
        <v>0</v>
      </c>
      <c r="M77" s="279"/>
      <c r="N77" s="38"/>
      <c r="O77" s="52"/>
      <c r="P77"/>
      <c r="T77" s="229">
        <v>9</v>
      </c>
      <c r="U77" s="229">
        <v>2</v>
      </c>
      <c r="V77" s="229">
        <v>22</v>
      </c>
    </row>
    <row r="78" spans="1:64" ht="12" customHeight="1" outlineLevel="1" x14ac:dyDescent="0.25">
      <c r="A78" s="279"/>
      <c r="B78" s="38" t="s">
        <v>729</v>
      </c>
      <c r="C78" s="52" t="s">
        <v>7003</v>
      </c>
      <c r="D78"/>
      <c r="E78"/>
      <c r="F78" s="693">
        <f>IF(LEN(B78)=4,1,"")</f>
        <v>1</v>
      </c>
      <c r="G78" s="16" t="str">
        <f t="shared" si="18"/>
        <v/>
      </c>
      <c r="I78" s="234">
        <f t="shared" si="14"/>
        <v>0</v>
      </c>
      <c r="J78" s="234">
        <f t="shared" si="15"/>
        <v>1</v>
      </c>
      <c r="K78" s="234">
        <f t="shared" si="16"/>
        <v>0</v>
      </c>
      <c r="L78" s="234">
        <f t="shared" si="17"/>
        <v>0</v>
      </c>
      <c r="M78" s="279"/>
      <c r="N78" s="38"/>
      <c r="O78" s="52"/>
      <c r="P78"/>
    </row>
    <row r="79" spans="1:64" s="281" customFormat="1" ht="11.25" customHeight="1" outlineLevel="1" x14ac:dyDescent="0.25">
      <c r="A79" s="279"/>
      <c r="B79" s="38" t="s">
        <v>628</v>
      </c>
      <c r="C79" s="36" t="s">
        <v>848</v>
      </c>
      <c r="D79" t="s">
        <v>1996</v>
      </c>
      <c r="E79">
        <v>4</v>
      </c>
      <c r="F79" s="693">
        <f t="shared" si="19"/>
        <v>1</v>
      </c>
      <c r="G79" s="16">
        <f t="shared" si="18"/>
        <v>1</v>
      </c>
      <c r="H79" s="280">
        <v>1</v>
      </c>
      <c r="I79" s="234">
        <f t="shared" si="14"/>
        <v>0</v>
      </c>
      <c r="J79" s="234">
        <f t="shared" si="15"/>
        <v>0</v>
      </c>
      <c r="K79" s="234">
        <f t="shared" si="16"/>
        <v>1</v>
      </c>
      <c r="L79" s="234">
        <f t="shared" si="17"/>
        <v>0</v>
      </c>
      <c r="M79" s="279"/>
      <c r="N79" s="38"/>
      <c r="O79" s="36"/>
      <c r="P79"/>
      <c r="Q79" s="280"/>
      <c r="R79" s="280"/>
      <c r="S79" s="280"/>
      <c r="T79" s="280">
        <v>7</v>
      </c>
      <c r="U79" s="280">
        <v>7</v>
      </c>
      <c r="V79" s="280">
        <v>2</v>
      </c>
      <c r="W79" s="280"/>
      <c r="X79" s="280"/>
      <c r="Y79" s="280"/>
      <c r="Z79" s="280"/>
      <c r="AA79" s="280"/>
      <c r="AB79" s="280"/>
      <c r="AC79" s="280"/>
      <c r="AD79" s="280"/>
      <c r="AE79" s="280"/>
      <c r="AF79" s="280"/>
      <c r="AG79" s="280"/>
    </row>
    <row r="80" spans="1:64" s="281" customFormat="1" ht="11.25" customHeight="1" outlineLevel="1" x14ac:dyDescent="0.25">
      <c r="A80" s="279"/>
      <c r="B80" s="38" t="s">
        <v>732</v>
      </c>
      <c r="C80" s="135" t="s">
        <v>878</v>
      </c>
      <c r="D80"/>
      <c r="E80"/>
      <c r="F80" s="693">
        <f t="shared" si="19"/>
        <v>1</v>
      </c>
      <c r="G80" s="16" t="str">
        <f t="shared" si="18"/>
        <v/>
      </c>
      <c r="H80" s="280"/>
      <c r="I80" s="234">
        <f t="shared" si="14"/>
        <v>0</v>
      </c>
      <c r="J80" s="234">
        <f t="shared" si="15"/>
        <v>1</v>
      </c>
      <c r="K80" s="234">
        <f t="shared" si="16"/>
        <v>0</v>
      </c>
      <c r="L80" s="234">
        <f t="shared" si="17"/>
        <v>0</v>
      </c>
      <c r="M80" s="279"/>
      <c r="N80" s="38"/>
      <c r="O80" s="135"/>
      <c r="P80"/>
      <c r="Q80" s="280"/>
      <c r="R80" s="280"/>
      <c r="S80" s="280"/>
      <c r="T80" s="280"/>
      <c r="U80" s="280"/>
      <c r="V80" s="280"/>
      <c r="W80" s="280"/>
      <c r="X80" s="280"/>
      <c r="Y80" s="280"/>
      <c r="Z80" s="280"/>
      <c r="AA80" s="280"/>
      <c r="AB80" s="280"/>
      <c r="AC80" s="280"/>
      <c r="AD80" s="280"/>
      <c r="AE80" s="280"/>
      <c r="AF80" s="280"/>
      <c r="AG80" s="280"/>
    </row>
    <row r="81" spans="1:64" s="281" customFormat="1" ht="11.25" customHeight="1" outlineLevel="1" x14ac:dyDescent="0.25">
      <c r="A81" s="279"/>
      <c r="B81" s="38" t="s">
        <v>733</v>
      </c>
      <c r="C81" s="135" t="s">
        <v>890</v>
      </c>
      <c r="D81" t="s">
        <v>1996</v>
      </c>
      <c r="E81">
        <v>4</v>
      </c>
      <c r="F81" s="693">
        <f t="shared" si="19"/>
        <v>1</v>
      </c>
      <c r="G81" s="16">
        <f t="shared" si="18"/>
        <v>1</v>
      </c>
      <c r="H81" s="280"/>
      <c r="I81" s="234">
        <f t="shared" si="14"/>
        <v>0</v>
      </c>
      <c r="J81" s="234">
        <f t="shared" si="15"/>
        <v>0</v>
      </c>
      <c r="K81" s="234">
        <f t="shared" si="16"/>
        <v>0</v>
      </c>
      <c r="L81" s="234">
        <f t="shared" si="17"/>
        <v>1</v>
      </c>
      <c r="M81" s="279"/>
      <c r="N81" s="38"/>
      <c r="O81" s="135"/>
      <c r="P81"/>
      <c r="Q81" s="280"/>
      <c r="R81" s="280"/>
      <c r="S81" s="280"/>
      <c r="T81" s="280">
        <v>4</v>
      </c>
      <c r="U81" s="280">
        <v>4</v>
      </c>
      <c r="V81" s="280">
        <v>3</v>
      </c>
      <c r="W81" s="280"/>
      <c r="X81" s="280"/>
      <c r="Y81" s="280"/>
      <c r="Z81" s="280"/>
      <c r="AA81" s="280"/>
      <c r="AB81" s="280"/>
      <c r="AC81" s="280"/>
      <c r="AD81" s="280"/>
      <c r="AE81" s="280"/>
      <c r="AF81" s="280"/>
      <c r="AG81" s="280"/>
    </row>
    <row r="82" spans="1:64" ht="15" customHeight="1" x14ac:dyDescent="0.25">
      <c r="A82" s="279"/>
      <c r="B82" s="38" t="s">
        <v>819</v>
      </c>
      <c r="C82" s="135" t="s">
        <v>821</v>
      </c>
      <c r="D82" t="s">
        <v>1996</v>
      </c>
      <c r="E82">
        <v>4</v>
      </c>
      <c r="F82" s="693">
        <f t="shared" si="19"/>
        <v>1</v>
      </c>
      <c r="G82" s="16">
        <f t="shared" si="18"/>
        <v>1</v>
      </c>
      <c r="H82" s="229">
        <v>1</v>
      </c>
      <c r="I82" s="234">
        <f t="shared" si="14"/>
        <v>0</v>
      </c>
      <c r="J82" s="234">
        <f t="shared" si="15"/>
        <v>0</v>
      </c>
      <c r="K82" s="234">
        <f t="shared" si="16"/>
        <v>1</v>
      </c>
      <c r="L82" s="234">
        <f t="shared" si="17"/>
        <v>0</v>
      </c>
      <c r="M82" s="279"/>
      <c r="N82" s="38"/>
      <c r="O82" s="135"/>
      <c r="P82"/>
    </row>
    <row r="83" spans="1:64" s="34" customFormat="1" ht="12" customHeight="1" outlineLevel="1" x14ac:dyDescent="0.25">
      <c r="A83" s="279"/>
      <c r="B83" s="38" t="s">
        <v>820</v>
      </c>
      <c r="C83" s="135" t="s">
        <v>906</v>
      </c>
      <c r="D83" t="s">
        <v>6565</v>
      </c>
      <c r="E83">
        <v>4</v>
      </c>
      <c r="F83" s="693">
        <f t="shared" si="19"/>
        <v>1</v>
      </c>
      <c r="G83" s="16">
        <f t="shared" si="18"/>
        <v>1</v>
      </c>
      <c r="H83" s="234"/>
      <c r="I83" s="234">
        <f t="shared" si="14"/>
        <v>0</v>
      </c>
      <c r="J83" s="234">
        <f t="shared" si="15"/>
        <v>0</v>
      </c>
      <c r="K83" s="234">
        <f t="shared" si="16"/>
        <v>0</v>
      </c>
      <c r="L83" s="234">
        <f t="shared" si="17"/>
        <v>1</v>
      </c>
      <c r="M83" s="279"/>
      <c r="N83" s="38"/>
      <c r="O83" s="135"/>
      <c r="P83"/>
      <c r="Q83" s="234"/>
      <c r="R83" s="234"/>
      <c r="S83" s="234"/>
      <c r="T83" s="234"/>
      <c r="U83" s="234"/>
      <c r="V83" s="234"/>
      <c r="W83" s="234"/>
      <c r="X83" s="234"/>
      <c r="Y83" s="234"/>
      <c r="Z83" s="234"/>
      <c r="AA83" s="234"/>
      <c r="AB83" s="234"/>
      <c r="AC83" s="234"/>
      <c r="AD83" s="234"/>
      <c r="AE83" s="234"/>
      <c r="AF83" s="234"/>
      <c r="AG83" s="234"/>
    </row>
    <row r="84" spans="1:64" s="34" customFormat="1" ht="12" customHeight="1" outlineLevel="1" x14ac:dyDescent="0.25">
      <c r="A84" s="279"/>
      <c r="B84" s="38" t="s">
        <v>3096</v>
      </c>
      <c r="C84" s="128" t="s">
        <v>4604</v>
      </c>
      <c r="D84" t="s">
        <v>6280</v>
      </c>
      <c r="E84">
        <v>4</v>
      </c>
      <c r="F84" s="693">
        <f t="shared" si="19"/>
        <v>1</v>
      </c>
      <c r="G84" s="16">
        <f t="shared" si="18"/>
        <v>1</v>
      </c>
      <c r="H84" s="234">
        <v>1</v>
      </c>
      <c r="I84" s="234">
        <f t="shared" si="14"/>
        <v>0</v>
      </c>
      <c r="J84" s="234">
        <f t="shared" si="15"/>
        <v>0</v>
      </c>
      <c r="K84" s="234">
        <f t="shared" si="16"/>
        <v>1</v>
      </c>
      <c r="L84" s="234">
        <f t="shared" si="17"/>
        <v>0</v>
      </c>
      <c r="M84" s="279"/>
      <c r="N84" s="38"/>
      <c r="O84" s="128"/>
      <c r="P84"/>
      <c r="Q84" s="234"/>
      <c r="R84" s="234"/>
      <c r="S84" s="234"/>
      <c r="T84" s="234">
        <v>6</v>
      </c>
      <c r="U84" s="234">
        <v>6</v>
      </c>
      <c r="V84" s="234">
        <v>0</v>
      </c>
      <c r="W84" s="234"/>
      <c r="X84" s="234"/>
      <c r="Y84" s="234"/>
      <c r="Z84" s="234"/>
      <c r="AA84" s="234"/>
      <c r="AB84" s="234"/>
      <c r="AC84" s="234"/>
      <c r="AD84" s="234"/>
      <c r="AE84" s="234"/>
      <c r="AF84" s="234"/>
      <c r="AG84" s="234"/>
      <c r="BL84" s="34">
        <f>IF(INDEX(Tab_actions,70,1)=1,INDEX(Tab_actions,70,8),0)</f>
        <v>0</v>
      </c>
    </row>
    <row r="85" spans="1:64" s="237" customFormat="1" ht="11.25" customHeight="1" outlineLevel="1" x14ac:dyDescent="0.25">
      <c r="A85" s="279"/>
      <c r="B85" s="35" t="s">
        <v>1394</v>
      </c>
      <c r="C85" s="37"/>
      <c r="D85"/>
      <c r="E85"/>
      <c r="F85" s="693" t="str">
        <f t="shared" si="19"/>
        <v/>
      </c>
      <c r="G85" s="16" t="str">
        <f t="shared" si="18"/>
        <v/>
      </c>
      <c r="H85" s="236"/>
      <c r="I85" s="234">
        <f t="shared" si="14"/>
        <v>0</v>
      </c>
      <c r="J85" s="234">
        <f t="shared" si="15"/>
        <v>0</v>
      </c>
      <c r="K85" s="234">
        <f t="shared" si="16"/>
        <v>0</v>
      </c>
      <c r="L85" s="234">
        <f t="shared" si="17"/>
        <v>1</v>
      </c>
      <c r="M85" s="279"/>
      <c r="N85" s="35"/>
      <c r="O85" s="37"/>
      <c r="P85"/>
      <c r="Q85" s="236"/>
      <c r="R85" s="236"/>
      <c r="S85" s="236"/>
      <c r="T85" s="236">
        <v>8</v>
      </c>
      <c r="U85" s="236">
        <v>8</v>
      </c>
      <c r="V85" s="236">
        <v>2</v>
      </c>
      <c r="W85" s="236"/>
      <c r="X85" s="236"/>
      <c r="Y85" s="236"/>
      <c r="Z85" s="236"/>
      <c r="AA85" s="236"/>
      <c r="AB85" s="236"/>
      <c r="AC85" s="236"/>
      <c r="AD85" s="236"/>
      <c r="AE85" s="236"/>
      <c r="AF85" s="236"/>
      <c r="AG85" s="236"/>
      <c r="BL85" s="237">
        <f>IF(INDEX(Tab_actions,17,1)=1,INDEX(Tab_actions,17,12),0)</f>
        <v>0</v>
      </c>
    </row>
    <row r="86" spans="1:64" s="240" customFormat="1" ht="12" customHeight="1" outlineLevel="1" x14ac:dyDescent="0.25">
      <c r="A86" s="279"/>
      <c r="B86" s="38" t="s">
        <v>630</v>
      </c>
      <c r="C86" s="36" t="s">
        <v>379</v>
      </c>
      <c r="D86" t="s">
        <v>2105</v>
      </c>
      <c r="E86">
        <v>3</v>
      </c>
      <c r="F86" s="693">
        <f t="shared" si="19"/>
        <v>1</v>
      </c>
      <c r="G86" s="16">
        <f t="shared" si="18"/>
        <v>1</v>
      </c>
      <c r="H86" s="239"/>
      <c r="I86" s="234">
        <f t="shared" si="14"/>
        <v>0</v>
      </c>
      <c r="J86" s="234">
        <f t="shared" si="15"/>
        <v>0</v>
      </c>
      <c r="K86" s="234">
        <f t="shared" si="16"/>
        <v>0</v>
      </c>
      <c r="L86" s="234">
        <f t="shared" si="17"/>
        <v>0</v>
      </c>
      <c r="M86" s="279"/>
      <c r="N86" s="38"/>
      <c r="O86" s="36"/>
      <c r="P86"/>
      <c r="Q86" s="239"/>
      <c r="R86" s="239"/>
      <c r="S86" s="239"/>
      <c r="T86" s="239">
        <v>16</v>
      </c>
      <c r="U86" s="239">
        <v>16</v>
      </c>
      <c r="V86" s="239">
        <v>27</v>
      </c>
      <c r="W86" s="239"/>
      <c r="X86" s="239"/>
      <c r="Y86" s="239"/>
      <c r="Z86" s="239"/>
      <c r="AA86" s="239"/>
      <c r="AB86" s="239"/>
      <c r="AC86" s="239"/>
      <c r="AD86" s="239"/>
      <c r="AE86" s="239"/>
      <c r="AF86" s="239"/>
      <c r="AG86" s="239"/>
    </row>
    <row r="87" spans="1:64" s="34" customFormat="1" ht="12" customHeight="1" x14ac:dyDescent="0.25">
      <c r="A87" s="300"/>
      <c r="B87" s="35" t="s">
        <v>1612</v>
      </c>
      <c r="C87" s="37"/>
      <c r="D87"/>
      <c r="E87"/>
      <c r="F87" s="693" t="str">
        <f t="shared" si="19"/>
        <v/>
      </c>
      <c r="G87" s="16" t="str">
        <f t="shared" si="18"/>
        <v/>
      </c>
      <c r="H87" s="234">
        <v>1</v>
      </c>
      <c r="I87" s="234">
        <f t="shared" si="14"/>
        <v>1</v>
      </c>
      <c r="J87" s="234">
        <f t="shared" si="15"/>
        <v>0</v>
      </c>
      <c r="K87" s="234">
        <f t="shared" si="16"/>
        <v>0</v>
      </c>
      <c r="L87" s="234">
        <f t="shared" si="17"/>
        <v>0</v>
      </c>
      <c r="M87" s="300"/>
      <c r="N87" s="35"/>
      <c r="O87" s="37"/>
      <c r="P87"/>
      <c r="Q87" s="234"/>
      <c r="R87" s="234"/>
      <c r="S87" s="234"/>
      <c r="T87" s="234">
        <v>11</v>
      </c>
      <c r="U87" s="234">
        <v>0</v>
      </c>
      <c r="V87" s="234">
        <v>4</v>
      </c>
      <c r="W87" s="234"/>
      <c r="X87" s="234"/>
      <c r="Y87" s="234"/>
      <c r="Z87" s="234"/>
      <c r="AA87" s="234"/>
      <c r="AB87" s="234"/>
      <c r="AC87" s="234"/>
      <c r="AD87" s="234"/>
      <c r="AE87" s="234"/>
      <c r="AF87" s="234"/>
      <c r="AG87" s="234"/>
      <c r="BK87" s="34">
        <f>IF(INDEX(Tab_actions,33,1)=1,INDEX(Tab_actions,33,8),0)</f>
        <v>0</v>
      </c>
      <c r="BL87" s="34">
        <f>IF(INDEX(Tab_actions,40,1)=1,INDEX(Tab_actions,40,12),0)</f>
        <v>0</v>
      </c>
    </row>
    <row r="88" spans="1:64" s="34" customFormat="1" ht="11.25" customHeight="1" outlineLevel="1" x14ac:dyDescent="0.25">
      <c r="A88" s="300"/>
      <c r="B88" s="38" t="s">
        <v>734</v>
      </c>
      <c r="C88" s="36" t="s">
        <v>2335</v>
      </c>
      <c r="D88" t="s">
        <v>2018</v>
      </c>
      <c r="E88">
        <v>3</v>
      </c>
      <c r="F88" s="693">
        <f t="shared" si="19"/>
        <v>1</v>
      </c>
      <c r="G88" s="16">
        <f t="shared" si="18"/>
        <v>1</v>
      </c>
      <c r="H88" s="234">
        <v>1</v>
      </c>
      <c r="I88" s="234">
        <f t="shared" si="14"/>
        <v>0</v>
      </c>
      <c r="J88" s="234">
        <f t="shared" si="15"/>
        <v>0</v>
      </c>
      <c r="K88" s="234">
        <f t="shared" si="16"/>
        <v>1</v>
      </c>
      <c r="L88" s="234">
        <f t="shared" si="17"/>
        <v>0</v>
      </c>
      <c r="M88" s="300"/>
      <c r="N88" s="38"/>
      <c r="O88" s="36"/>
      <c r="P88"/>
      <c r="Q88" s="234"/>
      <c r="R88" s="234"/>
      <c r="S88" s="234"/>
      <c r="T88" s="234">
        <v>14</v>
      </c>
      <c r="U88" s="234">
        <v>14</v>
      </c>
      <c r="V88" s="234">
        <v>5</v>
      </c>
      <c r="W88" s="234"/>
      <c r="X88" s="234"/>
      <c r="Y88" s="234"/>
      <c r="Z88" s="234"/>
      <c r="AA88" s="234"/>
      <c r="AB88" s="234"/>
      <c r="AC88" s="234"/>
      <c r="AD88" s="234"/>
      <c r="AE88" s="234"/>
      <c r="AF88" s="234"/>
      <c r="AG88" s="234"/>
    </row>
    <row r="89" spans="1:64" s="34" customFormat="1" ht="12" customHeight="1" outlineLevel="1" x14ac:dyDescent="0.25">
      <c r="A89" s="269" t="s">
        <v>551</v>
      </c>
      <c r="B89" s="1280" t="s">
        <v>1395</v>
      </c>
      <c r="C89" s="1281"/>
      <c r="D89"/>
      <c r="E89"/>
      <c r="F89" s="693" t="str">
        <f t="shared" si="19"/>
        <v/>
      </c>
      <c r="G89" s="16" t="str">
        <f t="shared" si="18"/>
        <v/>
      </c>
      <c r="H89" s="234">
        <v>1</v>
      </c>
      <c r="I89" s="234">
        <f t="shared" si="14"/>
        <v>0</v>
      </c>
      <c r="J89" s="234">
        <f t="shared" si="15"/>
        <v>0</v>
      </c>
      <c r="K89" s="234">
        <f t="shared" si="16"/>
        <v>1</v>
      </c>
      <c r="L89" s="234">
        <f t="shared" si="17"/>
        <v>0</v>
      </c>
      <c r="M89" s="269"/>
      <c r="N89" s="1280"/>
      <c r="O89" s="1281"/>
      <c r="P89"/>
      <c r="Q89" s="234"/>
      <c r="R89" s="234"/>
      <c r="S89" s="234"/>
      <c r="T89" s="234">
        <v>8</v>
      </c>
      <c r="U89" s="234">
        <v>8</v>
      </c>
      <c r="V89" s="234">
        <v>3</v>
      </c>
      <c r="W89" s="234"/>
      <c r="X89" s="234"/>
      <c r="Y89" s="234"/>
      <c r="Z89" s="234"/>
      <c r="AA89" s="234"/>
      <c r="AB89" s="234"/>
      <c r="AC89" s="234"/>
      <c r="AD89" s="234"/>
      <c r="AE89" s="234"/>
      <c r="AF89" s="234"/>
      <c r="AG89" s="234"/>
    </row>
    <row r="90" spans="1:64" s="34" customFormat="1" ht="12" customHeight="1" outlineLevel="1" x14ac:dyDescent="0.25">
      <c r="A90" s="272"/>
      <c r="B90" s="35" t="s">
        <v>463</v>
      </c>
      <c r="C90" s="37"/>
      <c r="D90"/>
      <c r="E90"/>
      <c r="F90" s="693" t="str">
        <f t="shared" si="19"/>
        <v/>
      </c>
      <c r="G90" s="16" t="str">
        <f t="shared" si="18"/>
        <v/>
      </c>
      <c r="H90" s="234"/>
      <c r="I90" s="234">
        <f t="shared" ref="I90:I121" si="20">IF(AND(D94="",H90=1),1,0)</f>
        <v>0</v>
      </c>
      <c r="J90" s="234">
        <f t="shared" ref="J90:J121" si="21">IF(AND(NOT(D94=""),H90=0),1,0)</f>
        <v>1</v>
      </c>
      <c r="K90" s="234">
        <f t="shared" ref="K90:K121" si="22">IF(AND(NOT(D94=""),H90=1),1,0)</f>
        <v>0</v>
      </c>
      <c r="L90" s="234">
        <f t="shared" ref="L90:L121" si="23">IF(AND(D94="",H90=0,LEN(B91)=4),1,0)</f>
        <v>0</v>
      </c>
      <c r="M90" s="272"/>
      <c r="N90" s="35"/>
      <c r="O90" s="37"/>
      <c r="P90"/>
      <c r="Q90" s="234"/>
      <c r="R90" s="234"/>
      <c r="S90" s="234"/>
      <c r="T90" s="234">
        <v>7</v>
      </c>
      <c r="U90" s="234">
        <v>8</v>
      </c>
      <c r="V90" s="234">
        <v>0</v>
      </c>
      <c r="W90" s="234"/>
      <c r="X90" s="234"/>
      <c r="Y90" s="234"/>
      <c r="Z90" s="234"/>
      <c r="AA90" s="234"/>
      <c r="AB90" s="234"/>
      <c r="AC90" s="234"/>
      <c r="AD90" s="234"/>
      <c r="AE90" s="234"/>
      <c r="AF90" s="234"/>
      <c r="AG90" s="234"/>
    </row>
    <row r="91" spans="1:64" s="34" customFormat="1" ht="12" customHeight="1" outlineLevel="1" x14ac:dyDescent="0.25">
      <c r="A91" s="272"/>
      <c r="B91" s="42" t="s">
        <v>735</v>
      </c>
      <c r="C91" s="212" t="s">
        <v>736</v>
      </c>
      <c r="D91"/>
      <c r="E91"/>
      <c r="F91" s="693">
        <f t="shared" si="19"/>
        <v>1</v>
      </c>
      <c r="G91" s="16" t="str">
        <f t="shared" si="18"/>
        <v/>
      </c>
      <c r="H91" s="234">
        <v>1</v>
      </c>
      <c r="I91" s="234">
        <f t="shared" si="20"/>
        <v>0</v>
      </c>
      <c r="J91" s="234">
        <f t="shared" si="21"/>
        <v>0</v>
      </c>
      <c r="K91" s="234">
        <f t="shared" si="22"/>
        <v>1</v>
      </c>
      <c r="L91" s="234">
        <f t="shared" si="23"/>
        <v>0</v>
      </c>
      <c r="M91" s="272"/>
      <c r="N91" s="42"/>
      <c r="O91" s="212"/>
      <c r="P91"/>
      <c r="Q91" s="234"/>
      <c r="R91" s="234"/>
      <c r="S91" s="234"/>
      <c r="T91" s="234">
        <v>3</v>
      </c>
      <c r="U91" s="234">
        <v>3</v>
      </c>
      <c r="V91" s="234">
        <v>0</v>
      </c>
      <c r="W91" s="234"/>
      <c r="X91" s="234"/>
      <c r="Y91" s="234"/>
      <c r="Z91" s="234"/>
      <c r="AA91" s="234"/>
      <c r="AB91" s="234"/>
      <c r="AC91" s="234"/>
      <c r="AD91" s="234"/>
      <c r="AE91" s="234"/>
      <c r="AF91" s="234"/>
      <c r="AG91" s="234"/>
    </row>
    <row r="92" spans="1:64" s="240" customFormat="1" ht="10.5" customHeight="1" outlineLevel="1" x14ac:dyDescent="0.25">
      <c r="A92" s="282"/>
      <c r="B92" s="283" t="s">
        <v>650</v>
      </c>
      <c r="C92" s="284" t="s">
        <v>737</v>
      </c>
      <c r="D92" t="s">
        <v>2023</v>
      </c>
      <c r="E92">
        <v>4</v>
      </c>
      <c r="F92" s="693">
        <f t="shared" si="19"/>
        <v>1</v>
      </c>
      <c r="G92" s="16">
        <f t="shared" si="18"/>
        <v>1</v>
      </c>
      <c r="H92" s="234">
        <v>1</v>
      </c>
      <c r="I92" s="234">
        <f t="shared" si="20"/>
        <v>1</v>
      </c>
      <c r="J92" s="234">
        <f t="shared" si="21"/>
        <v>0</v>
      </c>
      <c r="K92" s="234">
        <f t="shared" si="22"/>
        <v>0</v>
      </c>
      <c r="L92" s="234">
        <f t="shared" si="23"/>
        <v>0</v>
      </c>
      <c r="M92" s="282"/>
      <c r="N92" s="283"/>
      <c r="O92" s="284"/>
      <c r="P92"/>
      <c r="Q92" s="239"/>
      <c r="R92" s="239"/>
      <c r="S92" s="239"/>
      <c r="T92" s="239">
        <v>5</v>
      </c>
      <c r="U92" s="239">
        <v>3</v>
      </c>
      <c r="V92" s="239">
        <v>4</v>
      </c>
      <c r="W92" s="239"/>
      <c r="X92" s="239"/>
      <c r="Y92" s="239"/>
      <c r="Z92" s="239"/>
      <c r="AA92" s="239"/>
      <c r="AB92" s="239"/>
      <c r="AC92" s="239"/>
      <c r="AD92" s="239"/>
      <c r="AE92" s="239"/>
      <c r="AF92" s="239"/>
      <c r="AG92" s="239"/>
    </row>
    <row r="93" spans="1:64" s="240" customFormat="1" ht="11.25" customHeight="1" x14ac:dyDescent="0.25">
      <c r="A93" s="270"/>
      <c r="B93" s="42" t="s">
        <v>622</v>
      </c>
      <c r="C93" s="285" t="s">
        <v>947</v>
      </c>
      <c r="D93" t="s">
        <v>2017</v>
      </c>
      <c r="E93">
        <v>3</v>
      </c>
      <c r="F93" s="693">
        <f t="shared" si="19"/>
        <v>1</v>
      </c>
      <c r="G93" s="16">
        <f t="shared" si="18"/>
        <v>1</v>
      </c>
      <c r="H93" s="234">
        <v>1</v>
      </c>
      <c r="I93" s="234">
        <f t="shared" si="20"/>
        <v>1</v>
      </c>
      <c r="J93" s="234">
        <f t="shared" si="21"/>
        <v>0</v>
      </c>
      <c r="K93" s="234">
        <f t="shared" si="22"/>
        <v>0</v>
      </c>
      <c r="L93" s="234">
        <f t="shared" si="23"/>
        <v>0</v>
      </c>
      <c r="M93" s="270"/>
      <c r="N93" s="42"/>
      <c r="O93" s="285"/>
      <c r="P93"/>
      <c r="Q93" s="239"/>
      <c r="R93" s="239"/>
      <c r="S93" s="239"/>
      <c r="T93" s="239">
        <v>8</v>
      </c>
      <c r="U93" s="239">
        <v>0</v>
      </c>
      <c r="V93" s="239">
        <v>1</v>
      </c>
      <c r="W93" s="239"/>
      <c r="X93" s="239"/>
      <c r="Y93" s="239"/>
      <c r="Z93" s="239"/>
      <c r="AA93" s="239"/>
      <c r="AB93" s="239"/>
      <c r="AC93" s="239"/>
      <c r="AD93" s="239"/>
      <c r="AE93" s="239"/>
      <c r="AF93" s="239"/>
      <c r="AG93" s="239"/>
    </row>
    <row r="94" spans="1:64" s="240" customFormat="1" ht="11.25" customHeight="1" outlineLevel="1" x14ac:dyDescent="0.25">
      <c r="A94" s="270"/>
      <c r="B94" s="42" t="s">
        <v>739</v>
      </c>
      <c r="C94" s="212" t="s">
        <v>6793</v>
      </c>
      <c r="D94" t="s">
        <v>2018</v>
      </c>
      <c r="E94">
        <v>3</v>
      </c>
      <c r="F94" s="693">
        <f t="shared" si="19"/>
        <v>1</v>
      </c>
      <c r="G94" s="16">
        <f t="shared" si="18"/>
        <v>1</v>
      </c>
      <c r="H94" s="234">
        <v>1</v>
      </c>
      <c r="I94" s="234">
        <f t="shared" si="20"/>
        <v>1</v>
      </c>
      <c r="J94" s="234">
        <f t="shared" si="21"/>
        <v>0</v>
      </c>
      <c r="K94" s="234">
        <f t="shared" si="22"/>
        <v>0</v>
      </c>
      <c r="L94" s="234">
        <f t="shared" si="23"/>
        <v>0</v>
      </c>
      <c r="M94" s="270"/>
      <c r="N94" s="42"/>
      <c r="O94" s="212"/>
      <c r="P94"/>
      <c r="Q94" s="239"/>
      <c r="R94" s="239"/>
      <c r="S94" s="239"/>
      <c r="T94" s="239">
        <v>12</v>
      </c>
      <c r="U94" s="239">
        <v>9</v>
      </c>
      <c r="V94" s="239">
        <v>7</v>
      </c>
      <c r="W94" s="239"/>
      <c r="X94" s="239"/>
      <c r="Y94" s="239"/>
      <c r="Z94" s="239"/>
      <c r="AA94" s="239"/>
      <c r="AB94" s="239"/>
      <c r="AC94" s="239"/>
      <c r="AD94" s="239"/>
      <c r="AE94" s="239"/>
      <c r="AF94" s="239"/>
      <c r="AG94" s="239"/>
    </row>
    <row r="95" spans="1:64" s="34" customFormat="1" ht="12" customHeight="1" outlineLevel="1" x14ac:dyDescent="0.25">
      <c r="A95" s="270"/>
      <c r="B95" s="38" t="s">
        <v>625</v>
      </c>
      <c r="C95" s="36" t="s">
        <v>3104</v>
      </c>
      <c r="D95" t="s">
        <v>6564</v>
      </c>
      <c r="E95">
        <v>4</v>
      </c>
      <c r="F95" s="693">
        <f t="shared" si="19"/>
        <v>1</v>
      </c>
      <c r="G95" s="16">
        <f t="shared" si="18"/>
        <v>1</v>
      </c>
      <c r="H95" s="234">
        <v>1</v>
      </c>
      <c r="I95" s="234">
        <f t="shared" si="20"/>
        <v>0</v>
      </c>
      <c r="J95" s="234">
        <f t="shared" si="21"/>
        <v>0</v>
      </c>
      <c r="K95" s="234">
        <f t="shared" si="22"/>
        <v>1</v>
      </c>
      <c r="L95" s="234">
        <f t="shared" si="23"/>
        <v>0</v>
      </c>
      <c r="M95" s="270"/>
      <c r="N95" s="38"/>
      <c r="O95" s="36"/>
      <c r="P95"/>
      <c r="Q95" s="234"/>
      <c r="R95" s="234"/>
      <c r="S95" s="234"/>
      <c r="T95" s="234">
        <v>10</v>
      </c>
      <c r="U95" s="234">
        <v>0</v>
      </c>
      <c r="V95" s="234">
        <v>0</v>
      </c>
      <c r="W95" s="234"/>
      <c r="X95" s="234"/>
      <c r="Y95" s="234"/>
      <c r="Z95" s="234"/>
      <c r="AA95" s="234"/>
      <c r="AB95" s="234"/>
      <c r="AC95" s="234"/>
      <c r="AD95" s="234"/>
      <c r="AE95" s="234"/>
      <c r="AF95" s="234"/>
      <c r="AG95" s="234"/>
    </row>
    <row r="96" spans="1:64" s="240" customFormat="1" ht="12" customHeight="1" outlineLevel="1" x14ac:dyDescent="0.25">
      <c r="A96" s="270"/>
      <c r="B96" s="38" t="s">
        <v>744</v>
      </c>
      <c r="C96" s="40" t="s">
        <v>47</v>
      </c>
      <c r="D96"/>
      <c r="E96"/>
      <c r="F96" s="693">
        <f t="shared" si="19"/>
        <v>1</v>
      </c>
      <c r="G96" s="16" t="str">
        <f t="shared" si="18"/>
        <v/>
      </c>
      <c r="H96" s="239"/>
      <c r="I96" s="234">
        <f t="shared" si="20"/>
        <v>0</v>
      </c>
      <c r="J96" s="234">
        <f t="shared" si="21"/>
        <v>1</v>
      </c>
      <c r="K96" s="234">
        <f t="shared" si="22"/>
        <v>0</v>
      </c>
      <c r="L96" s="234">
        <f t="shared" si="23"/>
        <v>0</v>
      </c>
      <c r="M96" s="270"/>
      <c r="N96" s="38"/>
      <c r="O96" s="40"/>
      <c r="P96"/>
      <c r="Q96" s="239"/>
      <c r="R96" s="239"/>
      <c r="S96" s="239"/>
      <c r="T96" s="239">
        <v>5</v>
      </c>
      <c r="U96" s="239">
        <v>5</v>
      </c>
      <c r="V96" s="239">
        <v>0</v>
      </c>
      <c r="W96" s="239"/>
      <c r="X96" s="239"/>
      <c r="Y96" s="239"/>
      <c r="Z96" s="239"/>
      <c r="AA96" s="239"/>
      <c r="AB96" s="239"/>
      <c r="AC96" s="239"/>
      <c r="AD96" s="239"/>
      <c r="AE96" s="239"/>
      <c r="AF96" s="239"/>
      <c r="AG96" s="239"/>
    </row>
    <row r="97" spans="1:65" s="240" customFormat="1" ht="11.25" customHeight="1" outlineLevel="1" x14ac:dyDescent="0.25">
      <c r="A97" s="270"/>
      <c r="B97" s="38" t="s">
        <v>745</v>
      </c>
      <c r="C97" s="40" t="s">
        <v>746</v>
      </c>
      <c r="D97"/>
      <c r="E97"/>
      <c r="F97" s="693">
        <f t="shared" si="19"/>
        <v>1</v>
      </c>
      <c r="G97" s="16" t="str">
        <f t="shared" si="18"/>
        <v/>
      </c>
      <c r="H97" s="239">
        <v>1</v>
      </c>
      <c r="I97" s="234">
        <f t="shared" si="20"/>
        <v>0</v>
      </c>
      <c r="J97" s="234">
        <f t="shared" si="21"/>
        <v>0</v>
      </c>
      <c r="K97" s="234">
        <f t="shared" si="22"/>
        <v>1</v>
      </c>
      <c r="L97" s="234">
        <f t="shared" si="23"/>
        <v>0</v>
      </c>
      <c r="M97" s="270"/>
      <c r="N97" s="38"/>
      <c r="O97" s="40"/>
      <c r="P97"/>
      <c r="Q97" s="239"/>
      <c r="R97" s="239"/>
      <c r="S97" s="239"/>
      <c r="T97" s="239">
        <v>6</v>
      </c>
      <c r="U97" s="239">
        <v>6</v>
      </c>
      <c r="V97" s="239">
        <v>1</v>
      </c>
      <c r="W97" s="239"/>
      <c r="X97" s="239"/>
      <c r="Y97" s="239"/>
      <c r="Z97" s="239"/>
      <c r="AA97" s="239"/>
      <c r="AB97" s="239"/>
      <c r="AC97" s="239"/>
      <c r="AD97" s="239"/>
      <c r="AE97" s="239"/>
      <c r="AF97" s="239"/>
      <c r="AG97" s="239"/>
    </row>
    <row r="98" spans="1:65" s="34" customFormat="1" ht="12" customHeight="1" outlineLevel="1" x14ac:dyDescent="0.25">
      <c r="A98" s="270"/>
      <c r="B98" s="38" t="s">
        <v>747</v>
      </c>
      <c r="C98" s="40" t="s">
        <v>6764</v>
      </c>
      <c r="D98"/>
      <c r="E98"/>
      <c r="F98" s="693">
        <f t="shared" si="19"/>
        <v>1</v>
      </c>
      <c r="G98" s="16" t="str">
        <f t="shared" si="18"/>
        <v/>
      </c>
      <c r="H98" s="234"/>
      <c r="I98" s="234">
        <f t="shared" si="20"/>
        <v>0</v>
      </c>
      <c r="J98" s="234">
        <f t="shared" si="21"/>
        <v>0</v>
      </c>
      <c r="K98" s="234">
        <f t="shared" si="22"/>
        <v>0</v>
      </c>
      <c r="L98" s="234">
        <f t="shared" si="23"/>
        <v>1</v>
      </c>
      <c r="M98" s="270"/>
      <c r="N98" s="38"/>
      <c r="O98" s="40"/>
      <c r="P98"/>
      <c r="Q98" s="234"/>
      <c r="R98" s="234"/>
      <c r="S98" s="234"/>
      <c r="T98" s="234"/>
      <c r="U98" s="234"/>
      <c r="V98" s="234"/>
      <c r="W98" s="234"/>
      <c r="X98" s="234"/>
      <c r="Y98" s="234"/>
      <c r="Z98" s="234"/>
      <c r="AA98" s="234"/>
      <c r="AB98" s="234"/>
      <c r="AC98" s="234"/>
      <c r="AD98" s="234"/>
      <c r="AE98" s="234"/>
      <c r="AF98" s="234"/>
      <c r="AG98" s="234"/>
    </row>
    <row r="99" spans="1:65" s="34" customFormat="1" ht="13.95" customHeight="1" x14ac:dyDescent="0.25">
      <c r="A99" s="270"/>
      <c r="B99" s="38" t="s">
        <v>626</v>
      </c>
      <c r="C99" s="36" t="s">
        <v>345</v>
      </c>
      <c r="D99" t="s">
        <v>6567</v>
      </c>
      <c r="E99">
        <v>4</v>
      </c>
      <c r="F99" s="693">
        <f t="shared" si="19"/>
        <v>1</v>
      </c>
      <c r="G99" s="16">
        <f t="shared" si="18"/>
        <v>1</v>
      </c>
      <c r="H99" s="234">
        <v>1</v>
      </c>
      <c r="I99" s="234">
        <f t="shared" si="20"/>
        <v>1</v>
      </c>
      <c r="J99" s="234">
        <f t="shared" si="21"/>
        <v>0</v>
      </c>
      <c r="K99" s="234">
        <f t="shared" si="22"/>
        <v>0</v>
      </c>
      <c r="L99" s="234">
        <f t="shared" si="23"/>
        <v>0</v>
      </c>
      <c r="M99" s="270"/>
      <c r="N99" s="38"/>
      <c r="O99" s="36"/>
      <c r="P99"/>
      <c r="Q99" s="234"/>
      <c r="R99" s="234"/>
      <c r="S99" s="234"/>
      <c r="T99" s="234">
        <v>9</v>
      </c>
      <c r="U99" s="234">
        <v>2</v>
      </c>
      <c r="V99" s="234">
        <v>3</v>
      </c>
      <c r="W99" s="234"/>
      <c r="X99" s="234"/>
      <c r="Y99" s="234"/>
      <c r="Z99" s="234"/>
      <c r="AA99" s="234"/>
      <c r="AB99" s="234"/>
      <c r="AC99" s="234"/>
      <c r="AD99" s="234"/>
      <c r="AE99" s="234"/>
      <c r="AF99" s="234"/>
      <c r="AG99" s="234"/>
      <c r="BL99" s="34">
        <f>IF(INDEX(Tab_actions,70,1)=1,INDEX(Tab_actions,70,8),0)</f>
        <v>0</v>
      </c>
    </row>
    <row r="100" spans="1:65" s="237" customFormat="1" ht="13.95" customHeight="1" x14ac:dyDescent="0.25">
      <c r="A100" s="270"/>
      <c r="B100" s="42" t="s">
        <v>624</v>
      </c>
      <c r="C100" s="1056" t="s">
        <v>3235</v>
      </c>
      <c r="D100" t="s">
        <v>6566</v>
      </c>
      <c r="E100">
        <v>3</v>
      </c>
      <c r="F100" s="693">
        <f t="shared" si="19"/>
        <v>1</v>
      </c>
      <c r="G100" s="16">
        <f t="shared" si="18"/>
        <v>1</v>
      </c>
      <c r="H100" s="236">
        <v>1</v>
      </c>
      <c r="I100" s="234">
        <f t="shared" si="20"/>
        <v>0</v>
      </c>
      <c r="J100" s="234">
        <f t="shared" si="21"/>
        <v>0</v>
      </c>
      <c r="K100" s="234">
        <f t="shared" si="22"/>
        <v>1</v>
      </c>
      <c r="L100" s="234">
        <f t="shared" si="23"/>
        <v>0</v>
      </c>
      <c r="M100" s="270"/>
      <c r="N100" s="42"/>
      <c r="O100" s="1056"/>
      <c r="P100"/>
      <c r="Q100" s="236"/>
      <c r="R100" s="236"/>
      <c r="S100" s="236"/>
      <c r="T100" s="236">
        <v>8</v>
      </c>
      <c r="U100" s="236">
        <v>0</v>
      </c>
      <c r="V100" s="236">
        <v>3</v>
      </c>
      <c r="W100" s="236"/>
      <c r="X100" s="236"/>
      <c r="Y100" s="236"/>
      <c r="Z100" s="236"/>
      <c r="AA100" s="236"/>
      <c r="AB100" s="236"/>
      <c r="AC100" s="236"/>
      <c r="AD100" s="236"/>
      <c r="AE100" s="236"/>
      <c r="AF100" s="236"/>
      <c r="AG100" s="236"/>
      <c r="BL100" s="237">
        <f>IF(INDEX(Tab_actions,17,1)=1,INDEX(Tab_actions,17,12),0)</f>
        <v>0</v>
      </c>
    </row>
    <row r="101" spans="1:65" s="34" customFormat="1" ht="12" customHeight="1" outlineLevel="1" x14ac:dyDescent="0.25">
      <c r="A101" s="270"/>
      <c r="B101" s="38" t="s">
        <v>623</v>
      </c>
      <c r="C101" s="285" t="s">
        <v>1029</v>
      </c>
      <c r="D101" t="s">
        <v>6565</v>
      </c>
      <c r="E101">
        <v>4</v>
      </c>
      <c r="F101" s="693">
        <f t="shared" si="19"/>
        <v>1</v>
      </c>
      <c r="G101" s="16">
        <f t="shared" si="18"/>
        <v>1</v>
      </c>
      <c r="H101" s="234"/>
      <c r="I101" s="234">
        <f t="shared" si="20"/>
        <v>0</v>
      </c>
      <c r="J101" s="234">
        <f t="shared" si="21"/>
        <v>0</v>
      </c>
      <c r="K101" s="234">
        <f t="shared" si="22"/>
        <v>0</v>
      </c>
      <c r="L101" s="234">
        <f t="shared" si="23"/>
        <v>1</v>
      </c>
      <c r="M101" s="270"/>
      <c r="N101" s="38"/>
      <c r="O101" s="285"/>
      <c r="P101"/>
      <c r="Q101" s="234"/>
      <c r="R101" s="234"/>
      <c r="S101" s="234"/>
      <c r="T101" s="234"/>
      <c r="U101" s="234"/>
      <c r="V101" s="234"/>
      <c r="W101" s="234"/>
      <c r="X101" s="234"/>
      <c r="Y101" s="234"/>
      <c r="Z101" s="234"/>
      <c r="AA101" s="234"/>
      <c r="AB101" s="234"/>
      <c r="AC101" s="234"/>
      <c r="AD101" s="234"/>
      <c r="AE101" s="234"/>
      <c r="AF101" s="234"/>
      <c r="AG101" s="234"/>
    </row>
    <row r="102" spans="1:65" s="240" customFormat="1" ht="12.6" customHeight="1" outlineLevel="1" x14ac:dyDescent="0.25">
      <c r="A102" s="270"/>
      <c r="B102" s="38" t="s">
        <v>631</v>
      </c>
      <c r="C102" s="36" t="s">
        <v>1045</v>
      </c>
      <c r="D102"/>
      <c r="E102"/>
      <c r="F102" s="693">
        <f t="shared" si="19"/>
        <v>1</v>
      </c>
      <c r="G102" s="16" t="str">
        <f t="shared" si="18"/>
        <v/>
      </c>
      <c r="H102" s="239"/>
      <c r="I102" s="234">
        <f t="shared" si="20"/>
        <v>0</v>
      </c>
      <c r="J102" s="234">
        <f t="shared" si="21"/>
        <v>1</v>
      </c>
      <c r="K102" s="234">
        <f t="shared" si="22"/>
        <v>0</v>
      </c>
      <c r="L102" s="234">
        <f t="shared" si="23"/>
        <v>0</v>
      </c>
      <c r="M102" s="270"/>
      <c r="N102" s="38"/>
      <c r="O102" s="36"/>
      <c r="P102"/>
      <c r="Q102" s="239"/>
      <c r="R102" s="239"/>
      <c r="S102" s="239"/>
      <c r="T102" s="239">
        <v>9</v>
      </c>
      <c r="U102" s="239">
        <v>3</v>
      </c>
      <c r="V102" s="239">
        <v>7</v>
      </c>
      <c r="W102" s="239"/>
      <c r="X102" s="239"/>
      <c r="Y102" s="239"/>
      <c r="Z102" s="239"/>
      <c r="AA102" s="239"/>
      <c r="AB102" s="239"/>
      <c r="AC102" s="239"/>
      <c r="AD102" s="239"/>
      <c r="AE102" s="239"/>
      <c r="AF102" s="239"/>
      <c r="AG102" s="239"/>
    </row>
    <row r="103" spans="1:65" s="34" customFormat="1" ht="12.75" customHeight="1" x14ac:dyDescent="0.25">
      <c r="A103" s="270"/>
      <c r="B103" s="38" t="s">
        <v>1056</v>
      </c>
      <c r="C103" s="285" t="s">
        <v>1396</v>
      </c>
      <c r="D103"/>
      <c r="E103"/>
      <c r="F103" s="693">
        <f t="shared" si="19"/>
        <v>1</v>
      </c>
      <c r="G103" s="16" t="str">
        <f t="shared" si="18"/>
        <v/>
      </c>
      <c r="H103" s="234"/>
      <c r="I103" s="234">
        <f t="shared" si="20"/>
        <v>0</v>
      </c>
      <c r="J103" s="234">
        <f t="shared" si="21"/>
        <v>0</v>
      </c>
      <c r="K103" s="234">
        <f t="shared" si="22"/>
        <v>0</v>
      </c>
      <c r="L103" s="234">
        <f t="shared" si="23"/>
        <v>1</v>
      </c>
      <c r="M103" s="270"/>
      <c r="N103" s="38"/>
      <c r="O103" s="285"/>
      <c r="P103"/>
      <c r="Q103" s="234"/>
      <c r="R103" s="234"/>
      <c r="S103" s="234"/>
      <c r="T103" s="234">
        <v>10</v>
      </c>
      <c r="U103" s="234">
        <v>0</v>
      </c>
      <c r="V103" s="234">
        <v>4</v>
      </c>
      <c r="W103" s="234"/>
      <c r="X103" s="234"/>
      <c r="Y103" s="234"/>
      <c r="Z103" s="234"/>
      <c r="AA103" s="234"/>
      <c r="AB103" s="234"/>
      <c r="AC103" s="234"/>
      <c r="AD103" s="234"/>
      <c r="AE103" s="234"/>
      <c r="AF103" s="234"/>
      <c r="AG103" s="234"/>
    </row>
    <row r="104" spans="1:65" s="240" customFormat="1" ht="12.75" customHeight="1" x14ac:dyDescent="0.25">
      <c r="A104" s="270"/>
      <c r="B104" s="38" t="s">
        <v>1060</v>
      </c>
      <c r="C104" s="285" t="s">
        <v>4517</v>
      </c>
      <c r="D104" t="s">
        <v>6564</v>
      </c>
      <c r="E104">
        <v>4</v>
      </c>
      <c r="F104" s="693">
        <f t="shared" si="19"/>
        <v>1</v>
      </c>
      <c r="G104" s="16">
        <f t="shared" si="18"/>
        <v>1</v>
      </c>
      <c r="H104" s="239">
        <v>1</v>
      </c>
      <c r="I104" s="234">
        <f t="shared" si="20"/>
        <v>0</v>
      </c>
      <c r="J104" s="234">
        <f t="shared" si="21"/>
        <v>0</v>
      </c>
      <c r="K104" s="234">
        <f t="shared" si="22"/>
        <v>1</v>
      </c>
      <c r="L104" s="234">
        <f t="shared" si="23"/>
        <v>0</v>
      </c>
      <c r="M104" s="270"/>
      <c r="N104" s="38"/>
      <c r="O104" s="285"/>
      <c r="P104"/>
      <c r="Q104" s="239"/>
      <c r="R104" s="239"/>
      <c r="S104" s="239"/>
      <c r="T104" s="239">
        <v>12</v>
      </c>
      <c r="U104" s="239">
        <v>0</v>
      </c>
      <c r="V104" s="239">
        <v>4</v>
      </c>
      <c r="W104" s="239"/>
      <c r="X104" s="239"/>
      <c r="Y104" s="239"/>
      <c r="Z104" s="239"/>
      <c r="AA104" s="239"/>
      <c r="AB104" s="239"/>
      <c r="AC104" s="239"/>
      <c r="AD104" s="239"/>
      <c r="AE104" s="239"/>
      <c r="AF104" s="239"/>
      <c r="AG104" s="239"/>
      <c r="BL104" s="240">
        <f>IF(INDEX(Tab_actions,57,1)=1,INDEX(Tab_actions,57,4),0)</f>
        <v>0</v>
      </c>
      <c r="BM104" s="240">
        <f>IF(INDEX(Tab_actions,103,1)=1,INDEX(Tab_actions,103,4),0)</f>
        <v>0</v>
      </c>
    </row>
    <row r="105" spans="1:65" s="34" customFormat="1" ht="12.75" customHeight="1" x14ac:dyDescent="0.25">
      <c r="A105" s="272"/>
      <c r="B105" s="35" t="s">
        <v>233</v>
      </c>
      <c r="C105" s="37"/>
      <c r="D105"/>
      <c r="E105"/>
      <c r="F105" s="693" t="str">
        <f t="shared" si="19"/>
        <v/>
      </c>
      <c r="G105" s="16" t="str">
        <f t="shared" si="18"/>
        <v/>
      </c>
      <c r="H105" s="234"/>
      <c r="I105" s="234">
        <f t="shared" si="20"/>
        <v>0</v>
      </c>
      <c r="J105" s="234">
        <f t="shared" si="21"/>
        <v>1</v>
      </c>
      <c r="K105" s="234">
        <f t="shared" si="22"/>
        <v>0</v>
      </c>
      <c r="L105" s="234">
        <f t="shared" si="23"/>
        <v>0</v>
      </c>
      <c r="M105" s="272"/>
      <c r="N105" s="35"/>
      <c r="O105" s="37"/>
      <c r="P105"/>
      <c r="Q105" s="234"/>
      <c r="R105" s="234"/>
      <c r="S105" s="234"/>
      <c r="T105" s="234">
        <v>14</v>
      </c>
      <c r="U105" s="234">
        <v>0</v>
      </c>
      <c r="V105" s="234">
        <v>4</v>
      </c>
      <c r="W105" s="234"/>
      <c r="X105" s="234"/>
      <c r="Y105" s="234"/>
      <c r="Z105" s="234"/>
      <c r="AA105" s="234"/>
      <c r="AB105" s="234"/>
      <c r="AC105" s="234"/>
      <c r="AD105" s="234"/>
      <c r="AE105" s="234"/>
      <c r="AF105" s="234"/>
      <c r="AG105" s="234"/>
    </row>
    <row r="106" spans="1:65" s="34" customFormat="1" ht="12" customHeight="1" x14ac:dyDescent="0.25">
      <c r="A106" s="272"/>
      <c r="B106" s="38" t="s">
        <v>627</v>
      </c>
      <c r="C106" s="36" t="s">
        <v>4534</v>
      </c>
      <c r="D106" t="s">
        <v>2025</v>
      </c>
      <c r="E106">
        <v>4</v>
      </c>
      <c r="F106" s="693">
        <f t="shared" si="19"/>
        <v>1</v>
      </c>
      <c r="G106" s="16">
        <f t="shared" si="18"/>
        <v>1</v>
      </c>
      <c r="H106" s="234"/>
      <c r="I106" s="234">
        <f t="shared" si="20"/>
        <v>0</v>
      </c>
      <c r="J106" s="234">
        <f t="shared" si="21"/>
        <v>1</v>
      </c>
      <c r="K106" s="234">
        <f t="shared" si="22"/>
        <v>0</v>
      </c>
      <c r="L106" s="234">
        <f t="shared" si="23"/>
        <v>0</v>
      </c>
      <c r="M106" s="272"/>
      <c r="N106" s="38"/>
      <c r="O106" s="36"/>
      <c r="P106"/>
      <c r="Q106" s="234"/>
      <c r="R106" s="234"/>
      <c r="S106" s="234"/>
      <c r="T106" s="234">
        <v>7</v>
      </c>
      <c r="U106" s="234">
        <v>0</v>
      </c>
      <c r="V106" s="234">
        <v>1</v>
      </c>
      <c r="W106" s="234"/>
      <c r="X106" s="234"/>
      <c r="Y106" s="234"/>
      <c r="Z106" s="234"/>
      <c r="AA106" s="234"/>
      <c r="AB106" s="234"/>
      <c r="AC106" s="234"/>
      <c r="AD106" s="234"/>
      <c r="AE106" s="234"/>
      <c r="AF106" s="234"/>
      <c r="AG106" s="234"/>
    </row>
    <row r="107" spans="1:65" s="240" customFormat="1" ht="14.4" customHeight="1" x14ac:dyDescent="0.25">
      <c r="A107" s="270"/>
      <c r="B107" s="246" t="s">
        <v>488</v>
      </c>
      <c r="C107" s="49"/>
      <c r="D107"/>
      <c r="E107"/>
      <c r="F107" s="693" t="str">
        <f t="shared" si="19"/>
        <v/>
      </c>
      <c r="G107" s="16" t="str">
        <f t="shared" si="18"/>
        <v/>
      </c>
      <c r="H107" s="239"/>
      <c r="I107" s="234">
        <f t="shared" si="20"/>
        <v>0</v>
      </c>
      <c r="J107" s="234">
        <f t="shared" si="21"/>
        <v>1</v>
      </c>
      <c r="K107" s="234">
        <f t="shared" si="22"/>
        <v>0</v>
      </c>
      <c r="L107" s="234">
        <f t="shared" si="23"/>
        <v>0</v>
      </c>
      <c r="M107" s="270"/>
      <c r="N107" s="246"/>
      <c r="O107" s="49"/>
      <c r="P107"/>
      <c r="Q107" s="239"/>
      <c r="R107" s="239"/>
      <c r="S107" s="239"/>
      <c r="T107" s="239">
        <v>5</v>
      </c>
      <c r="U107" s="239">
        <v>0</v>
      </c>
      <c r="V107" s="239">
        <v>1</v>
      </c>
      <c r="W107" s="239"/>
      <c r="X107" s="239"/>
      <c r="Y107" s="239"/>
      <c r="Z107" s="239"/>
      <c r="AA107" s="239"/>
      <c r="AB107" s="239"/>
      <c r="AC107" s="239"/>
      <c r="AD107" s="239"/>
      <c r="AE107" s="239"/>
      <c r="AF107" s="239"/>
      <c r="AG107" s="239"/>
    </row>
    <row r="108" spans="1:65" s="34" customFormat="1" ht="12" customHeight="1" outlineLevel="1" x14ac:dyDescent="0.25">
      <c r="A108" s="270"/>
      <c r="B108" s="38" t="s">
        <v>619</v>
      </c>
      <c r="C108" s="36" t="s">
        <v>1079</v>
      </c>
      <c r="D108" t="s">
        <v>2016</v>
      </c>
      <c r="E108">
        <v>3</v>
      </c>
      <c r="F108" s="693">
        <f t="shared" si="19"/>
        <v>1</v>
      </c>
      <c r="G108" s="16">
        <f t="shared" si="18"/>
        <v>1</v>
      </c>
      <c r="H108" s="234"/>
      <c r="I108" s="234">
        <f t="shared" si="20"/>
        <v>0</v>
      </c>
      <c r="J108" s="234">
        <f t="shared" si="21"/>
        <v>1</v>
      </c>
      <c r="K108" s="234">
        <f t="shared" si="22"/>
        <v>0</v>
      </c>
      <c r="L108" s="234">
        <f t="shared" si="23"/>
        <v>0</v>
      </c>
      <c r="M108" s="270"/>
      <c r="N108" s="38"/>
      <c r="O108" s="36"/>
      <c r="P108"/>
      <c r="Q108" s="234"/>
      <c r="R108" s="234"/>
      <c r="S108" s="234"/>
      <c r="T108" s="234"/>
      <c r="U108" s="234"/>
      <c r="V108" s="234"/>
      <c r="W108" s="234"/>
      <c r="X108" s="234"/>
      <c r="Y108" s="234"/>
      <c r="Z108" s="234"/>
      <c r="AA108" s="234"/>
      <c r="AB108" s="234"/>
      <c r="AC108" s="234"/>
      <c r="AD108" s="234"/>
      <c r="AE108" s="234"/>
      <c r="AF108" s="234"/>
      <c r="AG108" s="234"/>
    </row>
    <row r="109" spans="1:65" s="34" customFormat="1" ht="14.25" customHeight="1" outlineLevel="1" x14ac:dyDescent="0.25">
      <c r="A109" s="270"/>
      <c r="B109" s="38" t="s">
        <v>633</v>
      </c>
      <c r="C109" s="36" t="s">
        <v>137</v>
      </c>
      <c r="D109" t="s">
        <v>6569</v>
      </c>
      <c r="E109">
        <v>3</v>
      </c>
      <c r="F109" s="693">
        <f t="shared" si="19"/>
        <v>1</v>
      </c>
      <c r="G109" s="16">
        <f t="shared" si="18"/>
        <v>1</v>
      </c>
      <c r="H109" s="234"/>
      <c r="I109" s="234">
        <f t="shared" si="20"/>
        <v>0</v>
      </c>
      <c r="J109" s="234">
        <f t="shared" si="21"/>
        <v>0</v>
      </c>
      <c r="K109" s="234">
        <f t="shared" si="22"/>
        <v>0</v>
      </c>
      <c r="L109" s="234">
        <f t="shared" si="23"/>
        <v>1</v>
      </c>
      <c r="M109" s="270"/>
      <c r="N109" s="38"/>
      <c r="O109" s="36"/>
      <c r="P109"/>
      <c r="Q109" s="234"/>
      <c r="R109" s="234"/>
      <c r="S109" s="234"/>
      <c r="T109" s="234">
        <v>10</v>
      </c>
      <c r="U109" s="234">
        <v>0</v>
      </c>
      <c r="V109" s="234">
        <v>6</v>
      </c>
      <c r="W109" s="234"/>
      <c r="X109" s="234"/>
      <c r="Y109" s="234"/>
      <c r="Z109" s="234"/>
      <c r="AA109" s="234"/>
      <c r="AB109" s="234"/>
      <c r="AC109" s="234"/>
      <c r="AD109" s="234"/>
      <c r="AE109" s="234"/>
      <c r="AF109" s="234"/>
      <c r="AG109" s="234"/>
    </row>
    <row r="110" spans="1:65" s="34" customFormat="1" ht="12.75" customHeight="1" outlineLevel="1" x14ac:dyDescent="0.25">
      <c r="A110" s="270"/>
      <c r="B110" s="38" t="s">
        <v>620</v>
      </c>
      <c r="C110" s="36" t="s">
        <v>756</v>
      </c>
      <c r="D110" t="s">
        <v>2019</v>
      </c>
      <c r="E110">
        <v>3</v>
      </c>
      <c r="F110" s="693">
        <f t="shared" si="19"/>
        <v>1</v>
      </c>
      <c r="G110" s="16">
        <f t="shared" si="18"/>
        <v>1</v>
      </c>
      <c r="H110" s="234"/>
      <c r="I110" s="234">
        <f t="shared" si="20"/>
        <v>0</v>
      </c>
      <c r="J110" s="234">
        <f t="shared" si="21"/>
        <v>0</v>
      </c>
      <c r="K110" s="234">
        <f t="shared" si="22"/>
        <v>0</v>
      </c>
      <c r="L110" s="234">
        <f t="shared" si="23"/>
        <v>1</v>
      </c>
      <c r="M110" s="270"/>
      <c r="N110" s="38"/>
      <c r="O110" s="36"/>
      <c r="P110"/>
      <c r="Q110" s="234"/>
      <c r="R110" s="234"/>
      <c r="S110" s="234"/>
      <c r="T110" s="234">
        <v>7</v>
      </c>
      <c r="U110" s="234">
        <v>7</v>
      </c>
      <c r="V110" s="234">
        <v>0</v>
      </c>
      <c r="W110" s="234"/>
      <c r="X110" s="234"/>
      <c r="Y110" s="234"/>
      <c r="Z110" s="234"/>
      <c r="AA110" s="234"/>
      <c r="AB110" s="234"/>
      <c r="AC110" s="234"/>
      <c r="AD110" s="234"/>
      <c r="AE110" s="234"/>
      <c r="AF110" s="234"/>
      <c r="AG110" s="234"/>
    </row>
    <row r="111" spans="1:65" s="34" customFormat="1" ht="12" customHeight="1" outlineLevel="1" x14ac:dyDescent="0.25">
      <c r="A111" s="272"/>
      <c r="B111" s="38" t="s">
        <v>755</v>
      </c>
      <c r="C111" s="36" t="s">
        <v>757</v>
      </c>
      <c r="D111" t="s">
        <v>2020</v>
      </c>
      <c r="E111">
        <v>3</v>
      </c>
      <c r="F111" s="693">
        <f t="shared" si="19"/>
        <v>1</v>
      </c>
      <c r="G111" s="16">
        <f t="shared" si="18"/>
        <v>1</v>
      </c>
      <c r="H111" s="234"/>
      <c r="I111" s="234">
        <f t="shared" si="20"/>
        <v>0</v>
      </c>
      <c r="J111" s="234">
        <f t="shared" si="21"/>
        <v>0</v>
      </c>
      <c r="K111" s="234">
        <f t="shared" si="22"/>
        <v>0</v>
      </c>
      <c r="L111" s="234">
        <f t="shared" si="23"/>
        <v>1</v>
      </c>
      <c r="M111" s="272"/>
      <c r="N111" s="38"/>
      <c r="O111" s="36"/>
      <c r="P111"/>
      <c r="Q111" s="234"/>
      <c r="R111" s="234"/>
      <c r="S111" s="234"/>
      <c r="T111" s="234"/>
      <c r="U111" s="234"/>
      <c r="V111" s="234"/>
      <c r="W111" s="234"/>
      <c r="X111" s="234"/>
      <c r="Y111" s="234"/>
      <c r="Z111" s="234"/>
      <c r="AA111" s="234"/>
      <c r="AB111" s="234"/>
      <c r="AC111" s="234"/>
      <c r="AD111" s="234"/>
      <c r="AE111" s="234"/>
      <c r="AF111" s="234"/>
      <c r="AG111" s="234"/>
    </row>
    <row r="112" spans="1:65" s="34" customFormat="1" ht="12" customHeight="1" outlineLevel="1" x14ac:dyDescent="0.25">
      <c r="A112" s="272"/>
      <c r="B112" s="38" t="s">
        <v>621</v>
      </c>
      <c r="C112" s="36" t="s">
        <v>505</v>
      </c>
      <c r="D112" t="s">
        <v>6566</v>
      </c>
      <c r="E112">
        <v>3</v>
      </c>
      <c r="F112" s="693">
        <f t="shared" si="19"/>
        <v>1</v>
      </c>
      <c r="G112" s="16">
        <f t="shared" si="18"/>
        <v>1</v>
      </c>
      <c r="H112" s="234">
        <v>1</v>
      </c>
      <c r="I112" s="234">
        <f t="shared" si="20"/>
        <v>1</v>
      </c>
      <c r="J112" s="234">
        <f t="shared" si="21"/>
        <v>0</v>
      </c>
      <c r="K112" s="234">
        <f t="shared" si="22"/>
        <v>0</v>
      </c>
      <c r="L112" s="234">
        <f t="shared" si="23"/>
        <v>0</v>
      </c>
      <c r="M112" s="272"/>
      <c r="N112" s="38"/>
      <c r="O112" s="36"/>
      <c r="P112"/>
      <c r="Q112" s="234"/>
      <c r="R112" s="234"/>
      <c r="S112" s="234"/>
      <c r="T112" s="234">
        <v>6</v>
      </c>
      <c r="U112" s="234">
        <v>6</v>
      </c>
      <c r="V112" s="234">
        <v>3</v>
      </c>
      <c r="W112" s="234"/>
      <c r="X112" s="234"/>
      <c r="Y112" s="234"/>
      <c r="Z112" s="234"/>
      <c r="AA112" s="234"/>
      <c r="AB112" s="234"/>
      <c r="AC112" s="234"/>
      <c r="AD112" s="234"/>
      <c r="AE112" s="234"/>
      <c r="AF112" s="234"/>
      <c r="AG112" s="234"/>
    </row>
    <row r="113" spans="1:66" s="34" customFormat="1" ht="12" customHeight="1" x14ac:dyDescent="0.25">
      <c r="A113" s="270"/>
      <c r="B113" s="38" t="s">
        <v>634</v>
      </c>
      <c r="C113" s="36" t="s">
        <v>4528</v>
      </c>
      <c r="D113"/>
      <c r="E113"/>
      <c r="F113" s="693">
        <f t="shared" si="19"/>
        <v>1</v>
      </c>
      <c r="G113" s="16" t="str">
        <f t="shared" si="18"/>
        <v/>
      </c>
      <c r="H113" s="234"/>
      <c r="I113" s="234">
        <f t="shared" si="20"/>
        <v>0</v>
      </c>
      <c r="J113" s="234">
        <f t="shared" si="21"/>
        <v>0</v>
      </c>
      <c r="K113" s="234">
        <f t="shared" si="22"/>
        <v>0</v>
      </c>
      <c r="L113" s="234">
        <f t="shared" si="23"/>
        <v>0</v>
      </c>
      <c r="M113" s="270"/>
      <c r="N113" s="38"/>
      <c r="O113" s="36"/>
      <c r="P113"/>
      <c r="Q113" s="234"/>
      <c r="R113" s="234"/>
      <c r="S113" s="234"/>
      <c r="T113" s="234">
        <v>10</v>
      </c>
      <c r="U113" s="234">
        <v>1</v>
      </c>
      <c r="V113" s="234">
        <v>4</v>
      </c>
      <c r="W113" s="234"/>
      <c r="X113" s="234"/>
      <c r="Y113" s="234"/>
      <c r="Z113" s="234"/>
      <c r="AA113" s="234"/>
      <c r="AB113" s="234"/>
      <c r="AC113" s="234"/>
      <c r="AD113" s="234"/>
      <c r="AE113" s="234"/>
      <c r="AF113" s="234"/>
      <c r="AG113" s="234"/>
    </row>
    <row r="114" spans="1:66" s="34" customFormat="1" ht="12" customHeight="1" outlineLevel="1" x14ac:dyDescent="0.25">
      <c r="A114" s="272"/>
      <c r="B114" s="35" t="s">
        <v>758</v>
      </c>
      <c r="C114" s="37"/>
      <c r="D114"/>
      <c r="E114"/>
      <c r="F114" s="693" t="str">
        <f t="shared" si="19"/>
        <v/>
      </c>
      <c r="G114" s="16" t="str">
        <f t="shared" si="18"/>
        <v/>
      </c>
      <c r="H114" s="234">
        <v>1</v>
      </c>
      <c r="I114" s="234">
        <f t="shared" si="20"/>
        <v>0</v>
      </c>
      <c r="J114" s="234">
        <f t="shared" si="21"/>
        <v>0</v>
      </c>
      <c r="K114" s="234">
        <f t="shared" si="22"/>
        <v>1</v>
      </c>
      <c r="L114" s="234">
        <f t="shared" si="23"/>
        <v>0</v>
      </c>
      <c r="M114" s="272"/>
      <c r="N114" s="35"/>
      <c r="O114" s="37"/>
      <c r="P114"/>
      <c r="Q114" s="234"/>
      <c r="R114" s="234"/>
      <c r="S114" s="234"/>
      <c r="T114" s="234">
        <v>4</v>
      </c>
      <c r="U114" s="234">
        <v>5</v>
      </c>
      <c r="V114" s="234">
        <v>2</v>
      </c>
      <c r="W114" s="234"/>
      <c r="X114" s="234"/>
      <c r="Y114" s="234"/>
      <c r="Z114" s="234"/>
      <c r="AA114" s="234"/>
      <c r="AB114" s="234"/>
      <c r="AC114" s="234"/>
      <c r="AD114" s="234"/>
      <c r="AE114" s="234"/>
      <c r="AF114" s="234"/>
      <c r="AG114" s="234"/>
    </row>
    <row r="115" spans="1:66" s="34" customFormat="1" ht="12" customHeight="1" outlineLevel="1" x14ac:dyDescent="0.25">
      <c r="A115" s="272"/>
      <c r="B115" s="38" t="s">
        <v>759</v>
      </c>
      <c r="C115" s="36" t="s">
        <v>196</v>
      </c>
      <c r="D115"/>
      <c r="E115"/>
      <c r="F115" s="693">
        <f t="shared" si="19"/>
        <v>1</v>
      </c>
      <c r="G115" s="16" t="str">
        <f t="shared" si="18"/>
        <v/>
      </c>
      <c r="H115" s="234"/>
      <c r="I115" s="234">
        <f t="shared" si="20"/>
        <v>0</v>
      </c>
      <c r="J115" s="234">
        <f t="shared" si="21"/>
        <v>1</v>
      </c>
      <c r="K115" s="234">
        <f t="shared" si="22"/>
        <v>0</v>
      </c>
      <c r="L115" s="234">
        <f t="shared" si="23"/>
        <v>0</v>
      </c>
      <c r="M115" s="272"/>
      <c r="N115" s="38"/>
      <c r="O115" s="36"/>
      <c r="P115"/>
      <c r="Q115" s="234"/>
      <c r="R115" s="234"/>
      <c r="S115" s="234"/>
      <c r="T115" s="234">
        <v>4</v>
      </c>
      <c r="U115" s="234">
        <v>4</v>
      </c>
      <c r="V115" s="234">
        <v>2</v>
      </c>
      <c r="W115" s="234"/>
      <c r="X115" s="234"/>
      <c r="Y115" s="234"/>
      <c r="Z115" s="234"/>
      <c r="AA115" s="234"/>
      <c r="AB115" s="234"/>
      <c r="AC115" s="234"/>
      <c r="AD115" s="234"/>
      <c r="AE115" s="234"/>
      <c r="AF115" s="234"/>
      <c r="AG115" s="234"/>
    </row>
    <row r="116" spans="1:66" s="34" customFormat="1" ht="12" customHeight="1" outlineLevel="1" x14ac:dyDescent="0.25">
      <c r="A116" s="272"/>
      <c r="B116" s="38" t="s">
        <v>1170</v>
      </c>
      <c r="C116" s="36" t="s">
        <v>1171</v>
      </c>
      <c r="D116"/>
      <c r="E116"/>
      <c r="F116" s="693">
        <f t="shared" si="19"/>
        <v>1</v>
      </c>
      <c r="G116" s="16" t="str">
        <f t="shared" si="18"/>
        <v/>
      </c>
      <c r="H116" s="234">
        <v>1</v>
      </c>
      <c r="I116" s="234">
        <f t="shared" si="20"/>
        <v>0</v>
      </c>
      <c r="J116" s="234">
        <f t="shared" si="21"/>
        <v>0</v>
      </c>
      <c r="K116" s="234">
        <f t="shared" si="22"/>
        <v>1</v>
      </c>
      <c r="L116" s="234">
        <f t="shared" si="23"/>
        <v>0</v>
      </c>
      <c r="M116" s="272"/>
      <c r="N116" s="38"/>
      <c r="O116" s="36"/>
      <c r="P116"/>
      <c r="Q116" s="234"/>
      <c r="R116" s="234"/>
      <c r="S116" s="234"/>
      <c r="T116" s="234">
        <v>10</v>
      </c>
      <c r="U116" s="234">
        <v>0</v>
      </c>
      <c r="V116" s="234">
        <v>0</v>
      </c>
      <c r="W116" s="234"/>
      <c r="X116" s="234"/>
      <c r="Y116" s="234"/>
      <c r="Z116" s="234"/>
      <c r="AA116" s="234"/>
      <c r="AB116" s="234"/>
      <c r="AC116" s="234"/>
      <c r="AD116" s="234"/>
      <c r="AE116" s="234"/>
      <c r="AF116" s="234"/>
      <c r="AG116" s="234"/>
    </row>
    <row r="117" spans="1:66" s="34" customFormat="1" ht="12" customHeight="1" outlineLevel="1" x14ac:dyDescent="0.25">
      <c r="A117" s="270"/>
      <c r="B117" s="35" t="s">
        <v>750</v>
      </c>
      <c r="C117" s="49"/>
      <c r="D117"/>
      <c r="E117"/>
      <c r="F117" s="693" t="str">
        <f t="shared" si="19"/>
        <v/>
      </c>
      <c r="G117" s="16" t="str">
        <f t="shared" si="18"/>
        <v/>
      </c>
      <c r="H117" s="234">
        <v>1</v>
      </c>
      <c r="I117" s="234">
        <f t="shared" si="20"/>
        <v>0</v>
      </c>
      <c r="J117" s="234">
        <f t="shared" si="21"/>
        <v>0</v>
      </c>
      <c r="K117" s="234">
        <f t="shared" si="22"/>
        <v>1</v>
      </c>
      <c r="L117" s="234">
        <f t="shared" si="23"/>
        <v>0</v>
      </c>
      <c r="M117" s="270"/>
      <c r="N117" s="35"/>
      <c r="O117" s="49"/>
      <c r="P117"/>
      <c r="Q117" s="234"/>
      <c r="R117" s="234"/>
      <c r="S117" s="234"/>
      <c r="T117" s="234"/>
      <c r="U117" s="234"/>
      <c r="V117" s="234"/>
      <c r="W117" s="234"/>
      <c r="X117" s="234"/>
      <c r="Y117" s="234"/>
      <c r="Z117" s="234"/>
      <c r="AA117" s="234"/>
      <c r="AB117" s="234"/>
      <c r="AC117" s="234"/>
      <c r="AD117" s="234"/>
      <c r="AE117" s="234"/>
      <c r="AF117" s="234"/>
      <c r="AG117" s="234"/>
    </row>
    <row r="118" spans="1:66" s="34" customFormat="1" ht="12" customHeight="1" x14ac:dyDescent="0.25">
      <c r="A118" s="270"/>
      <c r="B118" s="286" t="s">
        <v>651</v>
      </c>
      <c r="C118" s="36" t="s">
        <v>5</v>
      </c>
      <c r="D118" t="s">
        <v>6279</v>
      </c>
      <c r="E118">
        <v>4</v>
      </c>
      <c r="F118" s="693">
        <f t="shared" si="19"/>
        <v>1</v>
      </c>
      <c r="G118" s="16">
        <f t="shared" si="18"/>
        <v>1</v>
      </c>
      <c r="H118" s="234"/>
      <c r="I118" s="234">
        <f t="shared" si="20"/>
        <v>0</v>
      </c>
      <c r="J118" s="234">
        <f t="shared" si="21"/>
        <v>0</v>
      </c>
      <c r="K118" s="234">
        <f t="shared" si="22"/>
        <v>0</v>
      </c>
      <c r="L118" s="234">
        <f t="shared" si="23"/>
        <v>1</v>
      </c>
      <c r="M118" s="270"/>
      <c r="N118" s="286"/>
      <c r="O118" s="36"/>
      <c r="P118"/>
      <c r="Q118" s="234"/>
      <c r="R118" s="234"/>
      <c r="S118" s="234"/>
      <c r="T118" s="234">
        <v>11</v>
      </c>
      <c r="U118" s="234">
        <v>0</v>
      </c>
      <c r="V118" s="234">
        <v>2</v>
      </c>
      <c r="W118" s="234"/>
      <c r="X118" s="234"/>
      <c r="Y118" s="234"/>
      <c r="Z118" s="234"/>
      <c r="AA118" s="234"/>
      <c r="AB118" s="234"/>
      <c r="AC118" s="234"/>
      <c r="AD118" s="234"/>
      <c r="AE118" s="234"/>
      <c r="AF118" s="234"/>
      <c r="AG118" s="234"/>
    </row>
    <row r="119" spans="1:66" s="34" customFormat="1" ht="12" customHeight="1" x14ac:dyDescent="0.25">
      <c r="A119" s="270"/>
      <c r="B119" s="286" t="s">
        <v>751</v>
      </c>
      <c r="C119" s="36" t="s">
        <v>4603</v>
      </c>
      <c r="D119" t="s">
        <v>2038</v>
      </c>
      <c r="E119">
        <v>4</v>
      </c>
      <c r="F119" s="693">
        <f t="shared" si="19"/>
        <v>1</v>
      </c>
      <c r="G119" s="16">
        <f t="shared" si="18"/>
        <v>1</v>
      </c>
      <c r="H119" s="234"/>
      <c r="I119" s="234">
        <f t="shared" si="20"/>
        <v>0</v>
      </c>
      <c r="J119" s="234">
        <f t="shared" si="21"/>
        <v>0</v>
      </c>
      <c r="K119" s="234">
        <f t="shared" si="22"/>
        <v>0</v>
      </c>
      <c r="L119" s="234">
        <f t="shared" si="23"/>
        <v>1</v>
      </c>
      <c r="M119" s="270"/>
      <c r="N119" s="286"/>
      <c r="O119" s="36"/>
      <c r="P119"/>
      <c r="Q119" s="234"/>
      <c r="R119" s="234"/>
      <c r="S119" s="234"/>
      <c r="T119" s="234">
        <v>10</v>
      </c>
      <c r="U119" s="234">
        <v>0</v>
      </c>
      <c r="V119" s="234">
        <v>2</v>
      </c>
      <c r="W119" s="234"/>
      <c r="X119" s="234"/>
      <c r="Y119" s="234"/>
      <c r="Z119" s="234"/>
      <c r="AA119" s="234"/>
      <c r="AB119" s="234"/>
      <c r="AC119" s="234"/>
      <c r="AD119" s="234"/>
      <c r="AE119" s="234"/>
      <c r="AF119" s="234"/>
      <c r="AG119" s="234"/>
    </row>
    <row r="120" spans="1:66" s="34" customFormat="1" ht="12" customHeight="1" x14ac:dyDescent="0.25">
      <c r="A120" s="270"/>
      <c r="B120" s="286" t="s">
        <v>754</v>
      </c>
      <c r="C120" s="36" t="s">
        <v>6693</v>
      </c>
      <c r="D120" t="s">
        <v>6568</v>
      </c>
      <c r="E120">
        <v>4</v>
      </c>
      <c r="F120" s="693">
        <f t="shared" si="19"/>
        <v>1</v>
      </c>
      <c r="G120" s="16">
        <f t="shared" si="18"/>
        <v>1</v>
      </c>
      <c r="H120" s="234"/>
      <c r="I120" s="234">
        <f t="shared" si="20"/>
        <v>0</v>
      </c>
      <c r="J120" s="234">
        <f t="shared" si="21"/>
        <v>1</v>
      </c>
      <c r="K120" s="234">
        <f t="shared" si="22"/>
        <v>0</v>
      </c>
      <c r="L120" s="234">
        <f t="shared" si="23"/>
        <v>0</v>
      </c>
      <c r="M120" s="270"/>
      <c r="N120" s="286"/>
      <c r="O120" s="36"/>
      <c r="P120"/>
      <c r="Q120" s="234"/>
      <c r="R120" s="234"/>
      <c r="S120" s="234"/>
      <c r="T120" s="234">
        <v>9</v>
      </c>
      <c r="U120" s="234">
        <v>0</v>
      </c>
      <c r="V120" s="234">
        <v>5</v>
      </c>
      <c r="W120" s="234"/>
      <c r="X120" s="234"/>
      <c r="Y120" s="234"/>
      <c r="Z120" s="234"/>
      <c r="AA120" s="234"/>
      <c r="AB120" s="234"/>
      <c r="AC120" s="234"/>
      <c r="AD120" s="234"/>
      <c r="AE120" s="234"/>
      <c r="AF120" s="234"/>
      <c r="AG120" s="234"/>
    </row>
    <row r="121" spans="1:66" ht="12.6" customHeight="1" x14ac:dyDescent="0.25">
      <c r="A121" s="270"/>
      <c r="B121" s="286" t="s">
        <v>753</v>
      </c>
      <c r="C121" s="36" t="s">
        <v>481</v>
      </c>
      <c r="D121" t="s">
        <v>2038</v>
      </c>
      <c r="E121">
        <v>4</v>
      </c>
      <c r="F121" s="693">
        <f t="shared" si="19"/>
        <v>1</v>
      </c>
      <c r="G121" s="16">
        <f t="shared" si="18"/>
        <v>1</v>
      </c>
      <c r="I121" s="234">
        <f t="shared" si="20"/>
        <v>0</v>
      </c>
      <c r="J121" s="234">
        <f t="shared" si="21"/>
        <v>1</v>
      </c>
      <c r="K121" s="234">
        <f t="shared" si="22"/>
        <v>0</v>
      </c>
      <c r="L121" s="234">
        <f t="shared" si="23"/>
        <v>0</v>
      </c>
      <c r="M121" s="270"/>
      <c r="N121" s="286"/>
      <c r="O121" s="36"/>
      <c r="P121"/>
    </row>
    <row r="122" spans="1:66" ht="12" customHeight="1" x14ac:dyDescent="0.25">
      <c r="A122" s="270"/>
      <c r="B122" s="286" t="s">
        <v>1398</v>
      </c>
      <c r="C122" s="36" t="s">
        <v>152</v>
      </c>
      <c r="D122"/>
      <c r="E122"/>
      <c r="F122" s="693">
        <f t="shared" si="19"/>
        <v>1</v>
      </c>
      <c r="G122" s="16" t="str">
        <f t="shared" si="18"/>
        <v/>
      </c>
      <c r="I122" s="234">
        <f t="shared" ref="I122:I153" si="24">IF(AND(D126="",H122=1),1,0)</f>
        <v>0</v>
      </c>
      <c r="J122" s="234">
        <f t="shared" ref="J122:J153" si="25">IF(AND(NOT(D126=""),H122=0),1,0)</f>
        <v>1</v>
      </c>
      <c r="K122" s="234">
        <f t="shared" ref="K122:K153" si="26">IF(AND(NOT(D126=""),H122=1),1,0)</f>
        <v>0</v>
      </c>
      <c r="L122" s="234">
        <f t="shared" ref="L122:L153" si="27">IF(AND(D126="",H122=0,LEN(B123)=4),1,0)</f>
        <v>0</v>
      </c>
      <c r="M122" s="270"/>
      <c r="N122" s="286"/>
      <c r="O122" s="36"/>
      <c r="P122"/>
    </row>
    <row r="123" spans="1:66" ht="12" customHeight="1" x14ac:dyDescent="0.25">
      <c r="A123" s="272"/>
      <c r="B123" s="210" t="s">
        <v>760</v>
      </c>
      <c r="C123" s="39"/>
      <c r="D123"/>
      <c r="E123"/>
      <c r="F123" s="693" t="str">
        <f t="shared" si="19"/>
        <v/>
      </c>
      <c r="G123" s="16" t="str">
        <f t="shared" si="18"/>
        <v/>
      </c>
      <c r="I123" s="234">
        <f t="shared" si="24"/>
        <v>0</v>
      </c>
      <c r="J123" s="234">
        <f t="shared" si="25"/>
        <v>0</v>
      </c>
      <c r="K123" s="234">
        <f t="shared" si="26"/>
        <v>0</v>
      </c>
      <c r="L123" s="234">
        <f t="shared" si="27"/>
        <v>1</v>
      </c>
      <c r="M123" s="272"/>
      <c r="N123" s="210"/>
      <c r="O123" s="39"/>
      <c r="P123"/>
      <c r="T123" s="229">
        <v>6</v>
      </c>
      <c r="U123" s="229">
        <v>0</v>
      </c>
      <c r="V123" s="229">
        <v>2</v>
      </c>
    </row>
    <row r="124" spans="1:66" ht="12" customHeight="1" x14ac:dyDescent="0.25">
      <c r="A124" s="272"/>
      <c r="B124" s="286" t="s">
        <v>637</v>
      </c>
      <c r="C124" s="53" t="s">
        <v>53</v>
      </c>
      <c r="D124" t="s">
        <v>6733</v>
      </c>
      <c r="E124">
        <v>4</v>
      </c>
      <c r="F124" s="693">
        <f t="shared" si="19"/>
        <v>1</v>
      </c>
      <c r="G124" s="16">
        <f t="shared" si="18"/>
        <v>1</v>
      </c>
      <c r="I124" s="234">
        <f t="shared" si="24"/>
        <v>0</v>
      </c>
      <c r="J124" s="234">
        <f t="shared" si="25"/>
        <v>0</v>
      </c>
      <c r="K124" s="234">
        <f t="shared" si="26"/>
        <v>0</v>
      </c>
      <c r="L124" s="234">
        <f t="shared" si="27"/>
        <v>1</v>
      </c>
      <c r="M124" s="272"/>
      <c r="N124" s="286"/>
      <c r="O124" s="53"/>
      <c r="P124"/>
      <c r="T124" s="229">
        <v>7</v>
      </c>
      <c r="U124" s="229">
        <v>0</v>
      </c>
      <c r="V124" s="229">
        <v>10</v>
      </c>
    </row>
    <row r="125" spans="1:66" ht="12" customHeight="1" x14ac:dyDescent="0.25">
      <c r="A125" s="272"/>
      <c r="B125" s="286" t="s">
        <v>635</v>
      </c>
      <c r="C125" s="211" t="s">
        <v>116</v>
      </c>
      <c r="D125" t="s">
        <v>6733</v>
      </c>
      <c r="E125">
        <v>4</v>
      </c>
      <c r="F125" s="693">
        <f t="shared" si="19"/>
        <v>1</v>
      </c>
      <c r="G125" s="16">
        <f t="shared" si="18"/>
        <v>1</v>
      </c>
      <c r="I125" s="234">
        <f t="shared" si="24"/>
        <v>0</v>
      </c>
      <c r="J125" s="234">
        <f t="shared" si="25"/>
        <v>1</v>
      </c>
      <c r="K125" s="234">
        <f t="shared" si="26"/>
        <v>0</v>
      </c>
      <c r="L125" s="234">
        <f t="shared" si="27"/>
        <v>0</v>
      </c>
      <c r="M125" s="272"/>
      <c r="N125" s="286"/>
      <c r="O125" s="211"/>
      <c r="P125"/>
      <c r="T125" s="229">
        <v>6</v>
      </c>
      <c r="U125" s="229">
        <v>0</v>
      </c>
      <c r="V125" s="229">
        <v>26</v>
      </c>
      <c r="BN125" s="50">
        <f>IF(INDEX(Tab_actions,104,1)=1,INDEX(Tab_actions,104,4),0)</f>
        <v>0</v>
      </c>
    </row>
    <row r="126" spans="1:66" ht="12" customHeight="1" x14ac:dyDescent="0.25">
      <c r="A126" s="272"/>
      <c r="B126" s="286" t="s">
        <v>636</v>
      </c>
      <c r="C126" s="211" t="s">
        <v>1615</v>
      </c>
      <c r="D126" t="s">
        <v>6733</v>
      </c>
      <c r="E126">
        <v>4</v>
      </c>
      <c r="F126" s="693">
        <f t="shared" si="19"/>
        <v>1</v>
      </c>
      <c r="G126" s="16">
        <f t="shared" si="18"/>
        <v>1</v>
      </c>
      <c r="I126" s="234">
        <f t="shared" si="24"/>
        <v>0</v>
      </c>
      <c r="J126" s="234">
        <f t="shared" si="25"/>
        <v>1</v>
      </c>
      <c r="K126" s="234">
        <f t="shared" si="26"/>
        <v>0</v>
      </c>
      <c r="L126" s="234">
        <f t="shared" si="27"/>
        <v>0</v>
      </c>
      <c r="M126" s="272"/>
      <c r="N126" s="286"/>
      <c r="O126" s="211"/>
      <c r="P126"/>
      <c r="T126" s="229">
        <v>9</v>
      </c>
      <c r="U126" s="229">
        <v>0</v>
      </c>
      <c r="V126" s="229">
        <v>3</v>
      </c>
      <c r="BN126" s="50">
        <f>IF(INDEX(Tab_actions,104,1)=1,INDEX(Tab_actions,104,4),0)</f>
        <v>0</v>
      </c>
    </row>
    <row r="127" spans="1:66" ht="12" customHeight="1" x14ac:dyDescent="0.25">
      <c r="A127" s="269" t="s">
        <v>1399</v>
      </c>
      <c r="B127" s="182" t="s">
        <v>1400</v>
      </c>
      <c r="C127" s="1057"/>
      <c r="D127"/>
      <c r="E127"/>
      <c r="F127" s="693" t="str">
        <f t="shared" si="19"/>
        <v/>
      </c>
      <c r="G127" s="16" t="str">
        <f t="shared" si="18"/>
        <v/>
      </c>
      <c r="I127" s="234">
        <f t="shared" si="24"/>
        <v>0</v>
      </c>
      <c r="J127" s="234">
        <f t="shared" si="25"/>
        <v>1</v>
      </c>
      <c r="K127" s="234">
        <f t="shared" si="26"/>
        <v>0</v>
      </c>
      <c r="L127" s="234">
        <f t="shared" si="27"/>
        <v>0</v>
      </c>
      <c r="M127" s="269"/>
      <c r="N127" s="182"/>
      <c r="O127" s="183"/>
      <c r="P127"/>
    </row>
    <row r="128" spans="1:66" ht="12" customHeight="1" x14ac:dyDescent="0.25">
      <c r="A128" s="287"/>
      <c r="B128" s="288" t="s">
        <v>4639</v>
      </c>
      <c r="C128" s="289"/>
      <c r="D128"/>
      <c r="E128"/>
      <c r="F128" s="693" t="str">
        <f t="shared" si="19"/>
        <v/>
      </c>
      <c r="G128" s="16" t="str">
        <f t="shared" si="18"/>
        <v/>
      </c>
      <c r="I128" s="234">
        <f t="shared" si="24"/>
        <v>0</v>
      </c>
      <c r="J128" s="234">
        <f t="shared" si="25"/>
        <v>1</v>
      </c>
      <c r="K128" s="234">
        <f t="shared" si="26"/>
        <v>0</v>
      </c>
      <c r="L128" s="234">
        <f t="shared" si="27"/>
        <v>0</v>
      </c>
      <c r="M128" s="287"/>
      <c r="N128" s="288"/>
      <c r="O128" s="289"/>
      <c r="P128"/>
      <c r="T128" s="229">
        <v>4</v>
      </c>
      <c r="U128" s="229">
        <v>0</v>
      </c>
      <c r="V128" s="229">
        <v>8</v>
      </c>
    </row>
    <row r="129" spans="1:66" ht="12" customHeight="1" x14ac:dyDescent="0.25">
      <c r="A129" s="287"/>
      <c r="B129" s="289" t="s">
        <v>762</v>
      </c>
      <c r="C129" s="289" t="s">
        <v>1260</v>
      </c>
      <c r="D129" t="s">
        <v>2032</v>
      </c>
      <c r="E129">
        <v>4</v>
      </c>
      <c r="F129" s="693">
        <f t="shared" si="19"/>
        <v>1</v>
      </c>
      <c r="G129" s="16">
        <f t="shared" si="18"/>
        <v>1</v>
      </c>
      <c r="I129" s="234">
        <f t="shared" si="24"/>
        <v>0</v>
      </c>
      <c r="J129" s="234">
        <f t="shared" si="25"/>
        <v>1</v>
      </c>
      <c r="K129" s="234">
        <f t="shared" si="26"/>
        <v>0</v>
      </c>
      <c r="L129" s="234">
        <f t="shared" si="27"/>
        <v>0</v>
      </c>
      <c r="M129" s="287"/>
      <c r="N129" s="289"/>
      <c r="O129" s="289"/>
      <c r="P129"/>
      <c r="T129" s="229">
        <v>6</v>
      </c>
      <c r="U129" s="229">
        <v>0</v>
      </c>
      <c r="V129" s="229">
        <v>20</v>
      </c>
    </row>
    <row r="130" spans="1:66" ht="12" customHeight="1" x14ac:dyDescent="0.25">
      <c r="A130" s="287"/>
      <c r="B130" s="289" t="s">
        <v>763</v>
      </c>
      <c r="C130" s="128" t="s">
        <v>1997</v>
      </c>
      <c r="D130" t="s">
        <v>2029</v>
      </c>
      <c r="E130">
        <v>4</v>
      </c>
      <c r="F130" s="693">
        <f t="shared" si="19"/>
        <v>1</v>
      </c>
      <c r="G130" s="16">
        <f t="shared" si="18"/>
        <v>1</v>
      </c>
      <c r="I130" s="234">
        <f t="shared" si="24"/>
        <v>0</v>
      </c>
      <c r="J130" s="234">
        <f t="shared" si="25"/>
        <v>1</v>
      </c>
      <c r="K130" s="234">
        <f t="shared" si="26"/>
        <v>0</v>
      </c>
      <c r="L130" s="234">
        <f t="shared" si="27"/>
        <v>0</v>
      </c>
      <c r="M130" s="287"/>
      <c r="N130" s="289"/>
      <c r="O130" s="128"/>
      <c r="P130"/>
    </row>
    <row r="131" spans="1:66" ht="12" customHeight="1" x14ac:dyDescent="0.25">
      <c r="A131" s="287"/>
      <c r="B131" s="289" t="s">
        <v>638</v>
      </c>
      <c r="C131" s="289" t="s">
        <v>1267</v>
      </c>
      <c r="D131" t="s">
        <v>2034</v>
      </c>
      <c r="E131">
        <v>4</v>
      </c>
      <c r="F131" s="693">
        <f t="shared" si="19"/>
        <v>1</v>
      </c>
      <c r="G131" s="16">
        <f t="shared" si="18"/>
        <v>1</v>
      </c>
      <c r="I131" s="234">
        <f t="shared" si="24"/>
        <v>0</v>
      </c>
      <c r="J131" s="234">
        <f t="shared" si="25"/>
        <v>0</v>
      </c>
      <c r="K131" s="234">
        <f t="shared" si="26"/>
        <v>0</v>
      </c>
      <c r="L131" s="234">
        <f t="shared" si="27"/>
        <v>1</v>
      </c>
      <c r="M131" s="287"/>
      <c r="N131" s="289"/>
      <c r="O131" s="289"/>
      <c r="P131"/>
      <c r="T131" s="229">
        <v>5</v>
      </c>
      <c r="U131" s="229">
        <v>0</v>
      </c>
      <c r="V131" s="229">
        <v>2</v>
      </c>
      <c r="BN131" s="50">
        <f>IF(INDEX(Tab_actions,53,1)=1,INDEX(Tab_actions,53,4),0)</f>
        <v>0</v>
      </c>
    </row>
    <row r="132" spans="1:66" ht="12" customHeight="1" x14ac:dyDescent="0.25">
      <c r="A132" s="287"/>
      <c r="B132" s="289" t="s">
        <v>639</v>
      </c>
      <c r="C132" s="53" t="s">
        <v>398</v>
      </c>
      <c r="D132" t="s">
        <v>2035</v>
      </c>
      <c r="E132">
        <v>4</v>
      </c>
      <c r="F132" s="693">
        <f t="shared" si="19"/>
        <v>1</v>
      </c>
      <c r="G132" s="16">
        <f t="shared" si="18"/>
        <v>1</v>
      </c>
      <c r="I132" s="234">
        <f t="shared" si="24"/>
        <v>0</v>
      </c>
      <c r="J132" s="234">
        <f t="shared" si="25"/>
        <v>1</v>
      </c>
      <c r="K132" s="234">
        <f t="shared" si="26"/>
        <v>0</v>
      </c>
      <c r="L132" s="234">
        <f t="shared" si="27"/>
        <v>0</v>
      </c>
      <c r="M132" s="287"/>
      <c r="N132" s="289"/>
      <c r="O132" s="53"/>
      <c r="P132"/>
      <c r="T132" s="229">
        <v>4</v>
      </c>
      <c r="U132" s="229">
        <v>0</v>
      </c>
      <c r="V132" s="229">
        <v>2</v>
      </c>
      <c r="BN132" s="50">
        <f>IF(INDEX(Tab_actions,53,1)=1,INDEX(Tab_actions,53,4),0)</f>
        <v>0</v>
      </c>
    </row>
    <row r="133" spans="1:66" s="34" customFormat="1" ht="12" customHeight="1" x14ac:dyDescent="0.25">
      <c r="A133" s="287"/>
      <c r="B133" s="289" t="s">
        <v>4391</v>
      </c>
      <c r="C133" s="53" t="s">
        <v>6247</v>
      </c>
      <c r="D133" t="s">
        <v>6281</v>
      </c>
      <c r="E133">
        <v>4</v>
      </c>
      <c r="F133" s="693">
        <f t="shared" si="19"/>
        <v>1</v>
      </c>
      <c r="G133" s="16">
        <f t="shared" si="18"/>
        <v>1</v>
      </c>
      <c r="H133" s="234"/>
      <c r="I133" s="234">
        <f t="shared" si="24"/>
        <v>0</v>
      </c>
      <c r="J133" s="234">
        <f t="shared" si="25"/>
        <v>1</v>
      </c>
      <c r="K133" s="234">
        <f t="shared" si="26"/>
        <v>0</v>
      </c>
      <c r="L133" s="234">
        <f t="shared" si="27"/>
        <v>0</v>
      </c>
      <c r="M133" s="287"/>
      <c r="N133" s="289"/>
      <c r="O133" s="53"/>
      <c r="P133"/>
      <c r="Q133" s="234"/>
      <c r="R133" s="234"/>
      <c r="S133" s="234"/>
      <c r="T133" s="234"/>
      <c r="U133" s="234"/>
      <c r="V133" s="234"/>
      <c r="W133" s="234"/>
      <c r="X133" s="234"/>
      <c r="Y133" s="234"/>
      <c r="Z133" s="234"/>
      <c r="AA133" s="234"/>
      <c r="AB133" s="234"/>
      <c r="AC133" s="234"/>
      <c r="AD133" s="234"/>
      <c r="AE133" s="234"/>
      <c r="AF133" s="234"/>
      <c r="AG133" s="234"/>
    </row>
    <row r="134" spans="1:66" s="34" customFormat="1" ht="12" customHeight="1" x14ac:dyDescent="0.25">
      <c r="A134" s="287"/>
      <c r="B134" s="289" t="s">
        <v>4626</v>
      </c>
      <c r="C134" s="53" t="s">
        <v>4625</v>
      </c>
      <c r="D134" t="s">
        <v>2025</v>
      </c>
      <c r="E134">
        <v>4</v>
      </c>
      <c r="F134" s="693">
        <f t="shared" si="19"/>
        <v>1</v>
      </c>
      <c r="G134" s="16">
        <f t="shared" si="18"/>
        <v>1</v>
      </c>
      <c r="H134" s="234"/>
      <c r="I134" s="234">
        <f t="shared" si="24"/>
        <v>0</v>
      </c>
      <c r="J134" s="234">
        <f t="shared" si="25"/>
        <v>0</v>
      </c>
      <c r="K134" s="234">
        <f t="shared" si="26"/>
        <v>0</v>
      </c>
      <c r="L134" s="234">
        <f t="shared" si="27"/>
        <v>0</v>
      </c>
      <c r="M134" s="287"/>
      <c r="N134" s="289"/>
      <c r="O134" s="53"/>
      <c r="P134"/>
      <c r="Q134" s="234"/>
      <c r="R134" s="234"/>
      <c r="S134" s="234"/>
      <c r="T134" s="234">
        <v>10</v>
      </c>
      <c r="U134" s="234">
        <v>0</v>
      </c>
      <c r="V134" s="234">
        <v>4</v>
      </c>
      <c r="W134" s="234"/>
      <c r="X134" s="234"/>
      <c r="Y134" s="234"/>
      <c r="Z134" s="234"/>
      <c r="AA134" s="234"/>
      <c r="AB134" s="234"/>
      <c r="AC134" s="234"/>
      <c r="AD134" s="234"/>
      <c r="AE134" s="234"/>
      <c r="AF134" s="234"/>
      <c r="AG134" s="234"/>
    </row>
    <row r="135" spans="1:66" s="34" customFormat="1" ht="12" customHeight="1" x14ac:dyDescent="0.25">
      <c r="A135" s="287"/>
      <c r="B135" s="288" t="s">
        <v>1401</v>
      </c>
      <c r="C135" s="289"/>
      <c r="D135"/>
      <c r="E135"/>
      <c r="F135" s="693" t="str">
        <f t="shared" si="19"/>
        <v/>
      </c>
      <c r="G135" s="16" t="str">
        <f t="shared" ref="G135:G198" si="28">IF(AND(LEN(B135)=4,NOT(D135="")),1,"")</f>
        <v/>
      </c>
      <c r="H135" s="234"/>
      <c r="I135" s="234">
        <f t="shared" si="24"/>
        <v>0</v>
      </c>
      <c r="J135" s="234">
        <f t="shared" si="25"/>
        <v>1</v>
      </c>
      <c r="K135" s="234">
        <f t="shared" si="26"/>
        <v>0</v>
      </c>
      <c r="L135" s="234">
        <f t="shared" si="27"/>
        <v>0</v>
      </c>
      <c r="M135" s="287"/>
      <c r="N135" s="288"/>
      <c r="O135" s="289"/>
      <c r="P135"/>
      <c r="Q135" s="234"/>
      <c r="R135" s="234"/>
      <c r="S135" s="234"/>
      <c r="T135" s="234">
        <v>6</v>
      </c>
      <c r="U135" s="234">
        <v>0</v>
      </c>
      <c r="V135" s="234">
        <v>3</v>
      </c>
      <c r="W135" s="234"/>
      <c r="X135" s="234"/>
      <c r="Y135" s="234"/>
      <c r="Z135" s="234"/>
      <c r="AA135" s="234"/>
      <c r="AB135" s="234"/>
      <c r="AC135" s="234"/>
      <c r="AD135" s="234"/>
      <c r="AE135" s="234"/>
      <c r="AF135" s="234"/>
      <c r="AG135" s="234"/>
    </row>
    <row r="136" spans="1:66" s="34" customFormat="1" ht="12" customHeight="1" x14ac:dyDescent="0.25">
      <c r="A136" s="287"/>
      <c r="B136" s="289" t="s">
        <v>640</v>
      </c>
      <c r="C136" s="289" t="s">
        <v>1617</v>
      </c>
      <c r="D136" t="s">
        <v>1995</v>
      </c>
      <c r="E136">
        <v>4</v>
      </c>
      <c r="F136" s="693">
        <f t="shared" si="19"/>
        <v>1</v>
      </c>
      <c r="G136" s="16">
        <f t="shared" si="28"/>
        <v>1</v>
      </c>
      <c r="H136" s="234"/>
      <c r="I136" s="234">
        <f t="shared" si="24"/>
        <v>0</v>
      </c>
      <c r="J136" s="234">
        <f t="shared" si="25"/>
        <v>0</v>
      </c>
      <c r="K136" s="234">
        <f t="shared" si="26"/>
        <v>0</v>
      </c>
      <c r="L136" s="234">
        <f t="shared" si="27"/>
        <v>1</v>
      </c>
      <c r="M136" s="287"/>
      <c r="N136" s="289"/>
      <c r="O136" s="289"/>
      <c r="P136"/>
      <c r="Q136" s="234"/>
      <c r="R136" s="234"/>
      <c r="S136" s="234"/>
      <c r="T136" s="234">
        <v>4</v>
      </c>
      <c r="U136" s="234">
        <v>4</v>
      </c>
      <c r="V136" s="234">
        <v>0</v>
      </c>
      <c r="W136" s="234"/>
      <c r="X136" s="234"/>
      <c r="Y136" s="234"/>
      <c r="Z136" s="234"/>
      <c r="AA136" s="234"/>
      <c r="AB136" s="234"/>
      <c r="AC136" s="234"/>
      <c r="AD136" s="234"/>
      <c r="AE136" s="234"/>
      <c r="AF136" s="234"/>
      <c r="AG136" s="234"/>
    </row>
    <row r="137" spans="1:66" s="34" customFormat="1" ht="12" customHeight="1" x14ac:dyDescent="0.25">
      <c r="A137" s="287"/>
      <c r="B137" s="289" t="s">
        <v>641</v>
      </c>
      <c r="C137" s="289" t="s">
        <v>1618</v>
      </c>
      <c r="D137" t="s">
        <v>2027</v>
      </c>
      <c r="E137">
        <v>4</v>
      </c>
      <c r="F137" s="693">
        <f t="shared" ref="F137:F200" si="29">IF(LEN(B137)=4,1,"")</f>
        <v>1</v>
      </c>
      <c r="G137" s="16">
        <f t="shared" si="28"/>
        <v>1</v>
      </c>
      <c r="H137" s="234"/>
      <c r="I137" s="234">
        <f t="shared" si="24"/>
        <v>0</v>
      </c>
      <c r="J137" s="234">
        <f t="shared" si="25"/>
        <v>1</v>
      </c>
      <c r="K137" s="234">
        <f t="shared" si="26"/>
        <v>0</v>
      </c>
      <c r="L137" s="234">
        <f t="shared" si="27"/>
        <v>0</v>
      </c>
      <c r="M137" s="287"/>
      <c r="N137" s="289"/>
      <c r="O137" s="289"/>
      <c r="P137"/>
      <c r="Q137" s="234"/>
      <c r="R137" s="234"/>
      <c r="S137" s="234"/>
      <c r="T137" s="234"/>
      <c r="U137" s="234"/>
      <c r="V137" s="234"/>
      <c r="W137" s="234"/>
      <c r="X137" s="234"/>
      <c r="Y137" s="234"/>
      <c r="Z137" s="234"/>
      <c r="AA137" s="234"/>
      <c r="AB137" s="234"/>
      <c r="AC137" s="234"/>
      <c r="AD137" s="234"/>
      <c r="AE137" s="234"/>
      <c r="AF137" s="234"/>
      <c r="AG137" s="234"/>
    </row>
    <row r="138" spans="1:66" s="34" customFormat="1" ht="12" customHeight="1" x14ac:dyDescent="0.25">
      <c r="A138" s="287"/>
      <c r="B138" s="288" t="s">
        <v>6796</v>
      </c>
      <c r="C138" s="289"/>
      <c r="D138"/>
      <c r="E138"/>
      <c r="F138" s="693" t="str">
        <f t="shared" si="29"/>
        <v/>
      </c>
      <c r="G138" s="16" t="str">
        <f t="shared" si="28"/>
        <v/>
      </c>
      <c r="H138" s="234"/>
      <c r="I138" s="234">
        <f t="shared" si="24"/>
        <v>0</v>
      </c>
      <c r="J138" s="234">
        <f t="shared" si="25"/>
        <v>0</v>
      </c>
      <c r="K138" s="234">
        <f t="shared" si="26"/>
        <v>0</v>
      </c>
      <c r="L138" s="234">
        <f t="shared" si="27"/>
        <v>1</v>
      </c>
      <c r="M138" s="287"/>
      <c r="N138" s="288"/>
      <c r="O138" s="289"/>
      <c r="P138"/>
      <c r="Q138" s="234"/>
      <c r="R138" s="234"/>
      <c r="S138" s="234"/>
      <c r="T138" s="234">
        <v>6</v>
      </c>
      <c r="U138" s="234">
        <v>0</v>
      </c>
      <c r="V138" s="234">
        <v>1</v>
      </c>
      <c r="W138" s="234"/>
      <c r="X138" s="234"/>
      <c r="Y138" s="234"/>
      <c r="Z138" s="234"/>
      <c r="AA138" s="234"/>
      <c r="AB138" s="234"/>
      <c r="AC138" s="234"/>
      <c r="AD138" s="234"/>
      <c r="AE138" s="234"/>
      <c r="AF138" s="234"/>
      <c r="AG138" s="234"/>
    </row>
    <row r="139" spans="1:66" s="34" customFormat="1" ht="12" customHeight="1" x14ac:dyDescent="0.25">
      <c r="A139" s="287"/>
      <c r="B139" s="289" t="s">
        <v>643</v>
      </c>
      <c r="C139" s="289" t="s">
        <v>4620</v>
      </c>
      <c r="D139" t="s">
        <v>6279</v>
      </c>
      <c r="E139">
        <v>4</v>
      </c>
      <c r="F139" s="693">
        <f t="shared" si="29"/>
        <v>1</v>
      </c>
      <c r="G139" s="16">
        <f t="shared" si="28"/>
        <v>1</v>
      </c>
      <c r="H139" s="234"/>
      <c r="I139" s="234">
        <f t="shared" si="24"/>
        <v>0</v>
      </c>
      <c r="J139" s="234">
        <f t="shared" si="25"/>
        <v>1</v>
      </c>
      <c r="K139" s="234">
        <f t="shared" si="26"/>
        <v>0</v>
      </c>
      <c r="L139" s="234">
        <f t="shared" si="27"/>
        <v>0</v>
      </c>
      <c r="M139" s="287"/>
      <c r="N139" s="289"/>
      <c r="O139" s="289"/>
      <c r="P139"/>
      <c r="Q139" s="234"/>
      <c r="R139" s="234"/>
      <c r="S139" s="234"/>
      <c r="T139" s="234">
        <v>6</v>
      </c>
      <c r="U139" s="234">
        <v>0</v>
      </c>
      <c r="V139" s="234">
        <v>1</v>
      </c>
      <c r="W139" s="234"/>
      <c r="X139" s="234"/>
      <c r="Y139" s="234"/>
      <c r="Z139" s="234"/>
      <c r="AA139" s="234"/>
      <c r="AB139" s="234"/>
      <c r="AC139" s="234"/>
      <c r="AD139" s="234"/>
      <c r="AE139" s="234"/>
      <c r="AF139" s="234"/>
      <c r="AG139" s="234"/>
    </row>
    <row r="140" spans="1:66" s="34" customFormat="1" ht="12" customHeight="1" x14ac:dyDescent="0.25">
      <c r="A140" s="287"/>
      <c r="B140" s="289" t="s">
        <v>642</v>
      </c>
      <c r="C140" s="53" t="s">
        <v>336</v>
      </c>
      <c r="D140"/>
      <c r="E140"/>
      <c r="F140" s="693">
        <f t="shared" si="29"/>
        <v>1</v>
      </c>
      <c r="G140" s="16" t="str">
        <f t="shared" si="28"/>
        <v/>
      </c>
      <c r="H140" s="234"/>
      <c r="I140" s="234">
        <f t="shared" si="24"/>
        <v>0</v>
      </c>
      <c r="J140" s="234">
        <f t="shared" si="25"/>
        <v>1</v>
      </c>
      <c r="K140" s="234">
        <f t="shared" si="26"/>
        <v>0</v>
      </c>
      <c r="L140" s="234">
        <f t="shared" si="27"/>
        <v>0</v>
      </c>
      <c r="M140" s="287"/>
      <c r="N140" s="289"/>
      <c r="O140" s="53"/>
      <c r="P140"/>
      <c r="Q140" s="234"/>
      <c r="R140" s="234"/>
      <c r="S140" s="234"/>
      <c r="T140" s="234">
        <v>6</v>
      </c>
      <c r="U140" s="234">
        <v>0</v>
      </c>
      <c r="V140" s="234">
        <v>6</v>
      </c>
      <c r="W140" s="234"/>
      <c r="X140" s="234"/>
      <c r="Y140" s="234"/>
      <c r="Z140" s="234"/>
      <c r="AA140" s="234"/>
      <c r="AB140" s="234"/>
      <c r="AC140" s="234"/>
      <c r="AD140" s="234"/>
      <c r="AE140" s="234"/>
      <c r="AF140" s="234"/>
      <c r="AG140" s="234"/>
    </row>
    <row r="141" spans="1:66" ht="12" customHeight="1" x14ac:dyDescent="0.25">
      <c r="A141" s="270"/>
      <c r="B141" s="289" t="s">
        <v>4640</v>
      </c>
      <c r="C141" s="128" t="s">
        <v>4627</v>
      </c>
      <c r="D141" t="s">
        <v>6566</v>
      </c>
      <c r="E141">
        <v>3</v>
      </c>
      <c r="F141" s="693">
        <f t="shared" si="29"/>
        <v>1</v>
      </c>
      <c r="G141" s="16">
        <f t="shared" si="28"/>
        <v>1</v>
      </c>
      <c r="H141" s="229">
        <v>1</v>
      </c>
      <c r="I141" s="234">
        <f t="shared" si="24"/>
        <v>1</v>
      </c>
      <c r="J141" s="234">
        <f t="shared" si="25"/>
        <v>0</v>
      </c>
      <c r="K141" s="234">
        <f t="shared" si="26"/>
        <v>0</v>
      </c>
      <c r="L141" s="234">
        <f t="shared" si="27"/>
        <v>0</v>
      </c>
      <c r="M141" s="270"/>
      <c r="N141" s="289"/>
      <c r="O141" s="128"/>
      <c r="P141"/>
    </row>
    <row r="142" spans="1:66" s="281" customFormat="1" ht="11.25" customHeight="1" x14ac:dyDescent="0.25">
      <c r="A142" s="34"/>
      <c r="B142" s="290" t="s">
        <v>482</v>
      </c>
      <c r="C142" s="291"/>
      <c r="D142"/>
      <c r="E142"/>
      <c r="F142" s="693" t="str">
        <f t="shared" si="29"/>
        <v/>
      </c>
      <c r="G142" s="16" t="str">
        <f t="shared" si="28"/>
        <v/>
      </c>
      <c r="H142" s="280"/>
      <c r="I142" s="234">
        <f t="shared" si="24"/>
        <v>0</v>
      </c>
      <c r="J142" s="234">
        <f t="shared" si="25"/>
        <v>1</v>
      </c>
      <c r="K142" s="234">
        <f t="shared" si="26"/>
        <v>0</v>
      </c>
      <c r="L142" s="234">
        <f t="shared" si="27"/>
        <v>0</v>
      </c>
      <c r="M142" s="34"/>
      <c r="N142" s="290"/>
      <c r="O142" s="291"/>
      <c r="P142"/>
      <c r="Q142" s="280"/>
      <c r="R142" s="280"/>
      <c r="S142" s="280"/>
      <c r="T142" s="280">
        <v>6</v>
      </c>
      <c r="U142" s="280">
        <v>0</v>
      </c>
      <c r="V142" s="280">
        <v>1</v>
      </c>
      <c r="W142" s="280"/>
      <c r="X142" s="280"/>
      <c r="Y142" s="280"/>
      <c r="Z142" s="280"/>
      <c r="AA142" s="280"/>
      <c r="AB142" s="280"/>
      <c r="AC142" s="280"/>
      <c r="AD142" s="280"/>
      <c r="AE142" s="280"/>
      <c r="AF142" s="280"/>
      <c r="AG142" s="280"/>
    </row>
    <row r="143" spans="1:66" s="281" customFormat="1" ht="11.25" customHeight="1" x14ac:dyDescent="0.25">
      <c r="A143" s="272"/>
      <c r="B143" s="292" t="s">
        <v>698</v>
      </c>
      <c r="C143" s="39" t="s">
        <v>201</v>
      </c>
      <c r="D143" t="s">
        <v>2019</v>
      </c>
      <c r="E143">
        <v>3</v>
      </c>
      <c r="F143" s="693">
        <f t="shared" si="29"/>
        <v>1</v>
      </c>
      <c r="G143" s="16">
        <f t="shared" si="28"/>
        <v>1</v>
      </c>
      <c r="H143" s="280"/>
      <c r="I143" s="234">
        <f t="shared" si="24"/>
        <v>0</v>
      </c>
      <c r="J143" s="234">
        <f t="shared" si="25"/>
        <v>0</v>
      </c>
      <c r="K143" s="234">
        <f t="shared" si="26"/>
        <v>0</v>
      </c>
      <c r="L143" s="234">
        <f t="shared" si="27"/>
        <v>1</v>
      </c>
      <c r="M143" s="272"/>
      <c r="N143" s="292"/>
      <c r="O143" s="39"/>
      <c r="P143"/>
      <c r="Q143" s="280"/>
      <c r="R143" s="280"/>
      <c r="S143" s="280"/>
      <c r="T143" s="280">
        <v>6</v>
      </c>
      <c r="U143" s="280">
        <v>0</v>
      </c>
      <c r="V143" s="280">
        <v>1</v>
      </c>
      <c r="W143" s="280"/>
      <c r="X143" s="280"/>
      <c r="Y143" s="280"/>
      <c r="Z143" s="280"/>
      <c r="AA143" s="280"/>
      <c r="AB143" s="280"/>
      <c r="AC143" s="280"/>
      <c r="AD143" s="280"/>
      <c r="AE143" s="280"/>
      <c r="AF143" s="280"/>
      <c r="AG143" s="280"/>
    </row>
    <row r="144" spans="1:66" s="281" customFormat="1" ht="11.25" customHeight="1" x14ac:dyDescent="0.25">
      <c r="A144" s="272"/>
      <c r="B144" s="292" t="s">
        <v>700</v>
      </c>
      <c r="C144" s="39" t="s">
        <v>766</v>
      </c>
      <c r="D144" t="s">
        <v>2020</v>
      </c>
      <c r="E144">
        <v>3</v>
      </c>
      <c r="F144" s="693">
        <f>IF(LEN(B144)=4,1,"")</f>
        <v>1</v>
      </c>
      <c r="G144" s="16">
        <f t="shared" si="28"/>
        <v>1</v>
      </c>
      <c r="H144" s="280"/>
      <c r="I144" s="234">
        <f t="shared" si="24"/>
        <v>0</v>
      </c>
      <c r="J144" s="234">
        <f t="shared" si="25"/>
        <v>1</v>
      </c>
      <c r="K144" s="234">
        <f t="shared" si="26"/>
        <v>0</v>
      </c>
      <c r="L144" s="234">
        <f t="shared" si="27"/>
        <v>0</v>
      </c>
      <c r="M144" s="272"/>
      <c r="N144" s="292"/>
      <c r="O144" s="39"/>
      <c r="P144"/>
      <c r="Q144" s="280"/>
      <c r="R144" s="280"/>
      <c r="S144" s="280"/>
      <c r="T144" s="280">
        <v>6</v>
      </c>
      <c r="U144" s="280">
        <v>0</v>
      </c>
      <c r="V144" s="280">
        <v>1</v>
      </c>
      <c r="W144" s="280"/>
      <c r="X144" s="280"/>
      <c r="Y144" s="280"/>
      <c r="Z144" s="280"/>
      <c r="AA144" s="280"/>
      <c r="AB144" s="280"/>
      <c r="AC144" s="280"/>
      <c r="AD144" s="280"/>
      <c r="AE144" s="280"/>
      <c r="AF144" s="280"/>
      <c r="AG144" s="280"/>
    </row>
    <row r="145" spans="1:33" ht="12" customHeight="1" x14ac:dyDescent="0.25">
      <c r="A145" s="272"/>
      <c r="B145" s="293" t="s">
        <v>702</v>
      </c>
      <c r="C145" s="215" t="s">
        <v>767</v>
      </c>
      <c r="D145"/>
      <c r="E145"/>
      <c r="F145" s="693">
        <f>IF(LEN(B145)=4,1,"")</f>
        <v>1</v>
      </c>
      <c r="G145" s="16" t="str">
        <f t="shared" si="28"/>
        <v/>
      </c>
      <c r="I145" s="234">
        <f t="shared" si="24"/>
        <v>0</v>
      </c>
      <c r="J145" s="234">
        <f t="shared" si="25"/>
        <v>1</v>
      </c>
      <c r="K145" s="234">
        <f t="shared" si="26"/>
        <v>0</v>
      </c>
      <c r="L145" s="234">
        <f t="shared" si="27"/>
        <v>0</v>
      </c>
      <c r="M145" s="272"/>
      <c r="N145" s="293"/>
      <c r="O145" s="215"/>
      <c r="P145"/>
    </row>
    <row r="146" spans="1:33" s="281" customFormat="1" ht="16.95" customHeight="1" x14ac:dyDescent="0.25">
      <c r="A146" s="270"/>
      <c r="B146" s="293" t="s">
        <v>4476</v>
      </c>
      <c r="C146" s="36" t="s">
        <v>4475</v>
      </c>
      <c r="D146" t="s">
        <v>6279</v>
      </c>
      <c r="E146">
        <v>4</v>
      </c>
      <c r="F146" s="693">
        <f t="shared" si="29"/>
        <v>1</v>
      </c>
      <c r="G146" s="16">
        <f t="shared" si="28"/>
        <v>1</v>
      </c>
      <c r="H146" s="280"/>
      <c r="I146" s="234">
        <f t="shared" si="24"/>
        <v>0</v>
      </c>
      <c r="J146" s="234">
        <f t="shared" si="25"/>
        <v>1</v>
      </c>
      <c r="K146" s="234">
        <f t="shared" si="26"/>
        <v>0</v>
      </c>
      <c r="L146" s="234">
        <f t="shared" si="27"/>
        <v>0</v>
      </c>
      <c r="M146" s="270"/>
      <c r="N146" s="293"/>
      <c r="O146" s="36"/>
      <c r="P146"/>
      <c r="Q146" s="280"/>
      <c r="R146" s="280"/>
      <c r="S146" s="280"/>
      <c r="T146" s="280">
        <v>4</v>
      </c>
      <c r="U146" s="280">
        <v>0</v>
      </c>
      <c r="V146" s="280">
        <v>1</v>
      </c>
      <c r="W146" s="280"/>
      <c r="X146" s="280"/>
      <c r="Y146" s="280"/>
      <c r="Z146" s="280"/>
      <c r="AA146" s="280"/>
      <c r="AB146" s="280"/>
      <c r="AC146" s="280"/>
      <c r="AD146" s="280"/>
      <c r="AE146" s="280"/>
      <c r="AF146" s="280"/>
      <c r="AG146" s="280"/>
    </row>
    <row r="147" spans="1:33" s="281" customFormat="1" ht="11.25" customHeight="1" x14ac:dyDescent="0.25">
      <c r="A147" s="272"/>
      <c r="B147" s="54" t="s">
        <v>768</v>
      </c>
      <c r="C147" s="53"/>
      <c r="D147"/>
      <c r="E147"/>
      <c r="F147" s="693" t="str">
        <f t="shared" si="29"/>
        <v/>
      </c>
      <c r="G147" s="16" t="str">
        <f t="shared" si="28"/>
        <v/>
      </c>
      <c r="H147" s="280"/>
      <c r="I147" s="234">
        <f t="shared" si="24"/>
        <v>0</v>
      </c>
      <c r="J147" s="234">
        <f t="shared" si="25"/>
        <v>1</v>
      </c>
      <c r="K147" s="234">
        <f t="shared" si="26"/>
        <v>0</v>
      </c>
      <c r="L147" s="234">
        <f t="shared" si="27"/>
        <v>0</v>
      </c>
      <c r="M147" s="272"/>
      <c r="N147" s="54"/>
      <c r="O147" s="53"/>
      <c r="P147"/>
      <c r="Q147" s="280"/>
      <c r="R147" s="280"/>
      <c r="S147" s="280"/>
      <c r="T147" s="280">
        <v>5</v>
      </c>
      <c r="U147" s="280">
        <v>0</v>
      </c>
      <c r="V147" s="280">
        <v>2</v>
      </c>
      <c r="W147" s="280"/>
      <c r="X147" s="280"/>
      <c r="Y147" s="280"/>
      <c r="Z147" s="280"/>
      <c r="AA147" s="280"/>
      <c r="AB147" s="280"/>
      <c r="AC147" s="280"/>
      <c r="AD147" s="280"/>
      <c r="AE147" s="280"/>
      <c r="AF147" s="280"/>
      <c r="AG147" s="280"/>
    </row>
    <row r="148" spans="1:33" ht="15" customHeight="1" x14ac:dyDescent="0.25">
      <c r="A148" s="272"/>
      <c r="B148" s="216" t="s">
        <v>769</v>
      </c>
      <c r="C148" s="53" t="s">
        <v>55</v>
      </c>
      <c r="D148" t="s">
        <v>2036</v>
      </c>
      <c r="E148">
        <v>4</v>
      </c>
      <c r="F148" s="693">
        <f t="shared" si="29"/>
        <v>1</v>
      </c>
      <c r="G148" s="16">
        <f t="shared" si="28"/>
        <v>1</v>
      </c>
      <c r="I148" s="234">
        <f t="shared" si="24"/>
        <v>0</v>
      </c>
      <c r="J148" s="234">
        <f t="shared" si="25"/>
        <v>0</v>
      </c>
      <c r="K148" s="234">
        <f t="shared" si="26"/>
        <v>0</v>
      </c>
      <c r="L148" s="234">
        <f t="shared" si="27"/>
        <v>1</v>
      </c>
      <c r="M148" s="272"/>
      <c r="N148" s="216"/>
      <c r="O148" s="53"/>
      <c r="P148"/>
    </row>
    <row r="149" spans="1:33" s="34" customFormat="1" ht="13.5" customHeight="1" x14ac:dyDescent="0.25">
      <c r="A149" s="272"/>
      <c r="B149" s="216" t="s">
        <v>770</v>
      </c>
      <c r="C149" s="36" t="s">
        <v>328</v>
      </c>
      <c r="D149" t="s">
        <v>2036</v>
      </c>
      <c r="E149">
        <v>4</v>
      </c>
      <c r="F149" s="693">
        <f t="shared" si="29"/>
        <v>1</v>
      </c>
      <c r="G149" s="16">
        <f t="shared" si="28"/>
        <v>1</v>
      </c>
      <c r="H149" s="234"/>
      <c r="I149" s="234">
        <f t="shared" si="24"/>
        <v>0</v>
      </c>
      <c r="J149" s="234">
        <f t="shared" si="25"/>
        <v>1</v>
      </c>
      <c r="K149" s="234">
        <f t="shared" si="26"/>
        <v>0</v>
      </c>
      <c r="L149" s="234">
        <f t="shared" si="27"/>
        <v>0</v>
      </c>
      <c r="M149" s="272"/>
      <c r="N149" s="216"/>
      <c r="O149" s="36"/>
      <c r="P149"/>
      <c r="Q149" s="234"/>
      <c r="R149" s="234"/>
      <c r="S149" s="234"/>
      <c r="T149" s="234"/>
      <c r="U149" s="234"/>
      <c r="V149" s="234"/>
      <c r="W149" s="234"/>
      <c r="X149" s="234"/>
      <c r="Y149" s="234"/>
      <c r="Z149" s="234"/>
      <c r="AA149" s="234"/>
      <c r="AB149" s="234"/>
      <c r="AC149" s="234"/>
      <c r="AD149" s="234"/>
      <c r="AE149" s="234"/>
      <c r="AF149" s="234"/>
      <c r="AG149" s="234"/>
    </row>
    <row r="150" spans="1:33" s="34" customFormat="1" ht="11.25" customHeight="1" x14ac:dyDescent="0.25">
      <c r="A150" s="272"/>
      <c r="B150" s="216" t="s">
        <v>771</v>
      </c>
      <c r="C150" s="53" t="s">
        <v>3251</v>
      </c>
      <c r="D150" t="s">
        <v>2036</v>
      </c>
      <c r="E150">
        <v>4</v>
      </c>
      <c r="F150" s="693">
        <f t="shared" si="29"/>
        <v>1</v>
      </c>
      <c r="G150" s="16">
        <f t="shared" si="28"/>
        <v>1</v>
      </c>
      <c r="H150" s="234"/>
      <c r="I150" s="234">
        <f t="shared" si="24"/>
        <v>0</v>
      </c>
      <c r="J150" s="234">
        <f t="shared" si="25"/>
        <v>1</v>
      </c>
      <c r="K150" s="234">
        <f t="shared" si="26"/>
        <v>0</v>
      </c>
      <c r="L150" s="234">
        <f t="shared" si="27"/>
        <v>0</v>
      </c>
      <c r="M150" s="272"/>
      <c r="N150" s="216"/>
      <c r="O150" s="53"/>
      <c r="P150"/>
      <c r="Q150" s="234"/>
      <c r="R150" s="234"/>
      <c r="S150" s="234"/>
      <c r="T150" s="234">
        <v>10</v>
      </c>
      <c r="U150" s="234">
        <v>0</v>
      </c>
      <c r="V150" s="234">
        <v>5</v>
      </c>
      <c r="W150" s="234"/>
      <c r="X150" s="234"/>
      <c r="Y150" s="234"/>
      <c r="Z150" s="234"/>
      <c r="AA150" s="234"/>
      <c r="AB150" s="234"/>
      <c r="AC150" s="234"/>
      <c r="AD150" s="234"/>
      <c r="AE150" s="234"/>
      <c r="AF150" s="234"/>
      <c r="AG150" s="234"/>
    </row>
    <row r="151" spans="1:33" s="34" customFormat="1" ht="12" customHeight="1" x14ac:dyDescent="0.25">
      <c r="A151" s="272"/>
      <c r="B151" s="216" t="s">
        <v>4591</v>
      </c>
      <c r="C151" s="53" t="s">
        <v>4590</v>
      </c>
      <c r="D151" t="s">
        <v>2036</v>
      </c>
      <c r="E151">
        <v>4</v>
      </c>
      <c r="F151" s="693">
        <f t="shared" si="29"/>
        <v>1</v>
      </c>
      <c r="G151" s="16">
        <f t="shared" si="28"/>
        <v>1</v>
      </c>
      <c r="H151" s="234"/>
      <c r="I151" s="234">
        <f t="shared" si="24"/>
        <v>0</v>
      </c>
      <c r="J151" s="234">
        <f t="shared" si="25"/>
        <v>1</v>
      </c>
      <c r="K151" s="234">
        <f t="shared" si="26"/>
        <v>0</v>
      </c>
      <c r="L151" s="234">
        <f t="shared" si="27"/>
        <v>0</v>
      </c>
      <c r="M151" s="272"/>
      <c r="N151" s="216"/>
      <c r="O151" s="53"/>
      <c r="P151"/>
      <c r="Q151" s="234"/>
      <c r="R151" s="234"/>
      <c r="S151" s="234"/>
      <c r="T151" s="234">
        <v>7</v>
      </c>
      <c r="U151" s="234">
        <v>0</v>
      </c>
      <c r="V151" s="234">
        <v>2</v>
      </c>
      <c r="W151" s="234"/>
      <c r="X151" s="234"/>
      <c r="Y151" s="234"/>
      <c r="Z151" s="234"/>
      <c r="AA151" s="234"/>
      <c r="AB151" s="234"/>
      <c r="AC151" s="234"/>
      <c r="AD151" s="234"/>
      <c r="AE151" s="234"/>
      <c r="AF151" s="234"/>
      <c r="AG151" s="234"/>
    </row>
    <row r="152" spans="1:33" s="34" customFormat="1" ht="12" customHeight="1" x14ac:dyDescent="0.25">
      <c r="A152" s="287"/>
      <c r="B152" s="288" t="s">
        <v>3091</v>
      </c>
      <c r="C152" s="289"/>
      <c r="D152"/>
      <c r="E152"/>
      <c r="F152" s="693" t="str">
        <f t="shared" si="29"/>
        <v/>
      </c>
      <c r="G152" s="16" t="str">
        <f t="shared" si="28"/>
        <v/>
      </c>
      <c r="H152" s="234"/>
      <c r="I152" s="234">
        <f t="shared" si="24"/>
        <v>0</v>
      </c>
      <c r="J152" s="234">
        <f t="shared" si="25"/>
        <v>0</v>
      </c>
      <c r="K152" s="234">
        <f t="shared" si="26"/>
        <v>0</v>
      </c>
      <c r="L152" s="234">
        <f t="shared" si="27"/>
        <v>1</v>
      </c>
      <c r="M152" s="287"/>
      <c r="N152" s="288"/>
      <c r="O152" s="289"/>
      <c r="P152"/>
      <c r="Q152" s="234"/>
      <c r="R152" s="234"/>
      <c r="S152" s="234"/>
      <c r="T152" s="234"/>
      <c r="U152" s="234"/>
      <c r="V152" s="234"/>
      <c r="W152" s="234"/>
      <c r="X152" s="234"/>
      <c r="Y152" s="234"/>
      <c r="Z152" s="234"/>
      <c r="AA152" s="234"/>
      <c r="AB152" s="234"/>
      <c r="AC152" s="234"/>
      <c r="AD152" s="234"/>
      <c r="AE152" s="234"/>
      <c r="AF152" s="234"/>
      <c r="AG152" s="234"/>
    </row>
    <row r="153" spans="1:33" s="34" customFormat="1" ht="11.25" customHeight="1" x14ac:dyDescent="0.25">
      <c r="A153" s="300"/>
      <c r="B153" s="327" t="s">
        <v>1607</v>
      </c>
      <c r="C153" s="135" t="s">
        <v>2313</v>
      </c>
      <c r="D153" t="s">
        <v>2033</v>
      </c>
      <c r="E153">
        <v>4</v>
      </c>
      <c r="F153" s="693"/>
      <c r="G153" s="16">
        <f t="shared" si="28"/>
        <v>1</v>
      </c>
      <c r="H153" s="234"/>
      <c r="I153" s="234">
        <f t="shared" si="24"/>
        <v>0</v>
      </c>
      <c r="J153" s="234">
        <f t="shared" si="25"/>
        <v>1</v>
      </c>
      <c r="K153" s="234">
        <f t="shared" si="26"/>
        <v>0</v>
      </c>
      <c r="L153" s="234">
        <f t="shared" si="27"/>
        <v>0</v>
      </c>
      <c r="M153" s="300"/>
      <c r="N153" s="327"/>
      <c r="O153" s="135"/>
      <c r="P153"/>
      <c r="Q153" s="234"/>
      <c r="R153" s="234"/>
      <c r="S153" s="234"/>
      <c r="T153" s="234"/>
      <c r="U153" s="234"/>
      <c r="V153" s="234"/>
      <c r="W153" s="234"/>
      <c r="X153" s="234"/>
      <c r="Y153" s="234"/>
      <c r="Z153" s="234"/>
      <c r="AA153" s="234"/>
      <c r="AB153" s="234"/>
      <c r="AC153" s="234"/>
      <c r="AD153" s="234"/>
      <c r="AE153" s="234"/>
      <c r="AF153" s="234"/>
      <c r="AG153" s="234"/>
    </row>
    <row r="154" spans="1:33" s="240" customFormat="1" ht="13.95" customHeight="1" x14ac:dyDescent="0.25">
      <c r="A154" s="300"/>
      <c r="B154" s="327" t="s">
        <v>1608</v>
      </c>
      <c r="C154" s="128" t="s">
        <v>1921</v>
      </c>
      <c r="D154" t="s">
        <v>2031</v>
      </c>
      <c r="E154">
        <v>4</v>
      </c>
      <c r="F154" s="693">
        <f t="shared" si="29"/>
        <v>1</v>
      </c>
      <c r="G154" s="16">
        <f t="shared" si="28"/>
        <v>1</v>
      </c>
      <c r="H154" s="239"/>
      <c r="I154" s="234">
        <f t="shared" ref="I154:I185" si="30">IF(AND(D158="",H154=1),1,0)</f>
        <v>0</v>
      </c>
      <c r="J154" s="234">
        <f t="shared" ref="J154:J185" si="31">IF(AND(NOT(D158=""),H154=0),1,0)</f>
        <v>1</v>
      </c>
      <c r="K154" s="234">
        <f t="shared" ref="K154:K185" si="32">IF(AND(NOT(D158=""),H154=1),1,0)</f>
        <v>0</v>
      </c>
      <c r="L154" s="234">
        <f t="shared" ref="L154:L185" si="33">IF(AND(D158="",H154=0,LEN(B155)=4),1,0)</f>
        <v>0</v>
      </c>
      <c r="M154" s="300"/>
      <c r="N154" s="327"/>
      <c r="O154" s="128"/>
      <c r="P154"/>
      <c r="Q154" s="239"/>
      <c r="R154" s="239"/>
      <c r="S154" s="239"/>
      <c r="T154" s="239">
        <v>8</v>
      </c>
      <c r="U154" s="239">
        <v>0</v>
      </c>
      <c r="V154" s="239">
        <v>23</v>
      </c>
      <c r="W154" s="239"/>
      <c r="X154" s="239"/>
      <c r="Y154" s="239"/>
      <c r="Z154" s="239"/>
      <c r="AA154" s="239"/>
      <c r="AB154" s="239"/>
      <c r="AC154" s="239"/>
      <c r="AD154" s="239"/>
      <c r="AE154" s="239"/>
      <c r="AF154" s="239"/>
      <c r="AG154" s="239"/>
    </row>
    <row r="155" spans="1:33" s="240" customFormat="1" ht="24" customHeight="1" x14ac:dyDescent="0.25">
      <c r="A155" s="300"/>
      <c r="B155" s="327" t="s">
        <v>3087</v>
      </c>
      <c r="C155" s="128" t="s">
        <v>4680</v>
      </c>
      <c r="D155" t="s">
        <v>3102</v>
      </c>
      <c r="E155">
        <v>4</v>
      </c>
      <c r="F155" s="693">
        <f t="shared" si="29"/>
        <v>1</v>
      </c>
      <c r="G155" s="16">
        <f t="shared" si="28"/>
        <v>1</v>
      </c>
      <c r="H155" s="239"/>
      <c r="I155" s="234">
        <f t="shared" si="30"/>
        <v>0</v>
      </c>
      <c r="J155" s="234">
        <f t="shared" si="31"/>
        <v>0</v>
      </c>
      <c r="K155" s="234">
        <f t="shared" si="32"/>
        <v>0</v>
      </c>
      <c r="L155" s="234">
        <f t="shared" si="33"/>
        <v>0</v>
      </c>
      <c r="M155" s="300"/>
      <c r="N155" s="327"/>
      <c r="O155" s="128"/>
      <c r="P155"/>
      <c r="Q155" s="239"/>
      <c r="R155" s="239"/>
      <c r="S155" s="239"/>
      <c r="T155" s="239">
        <v>7</v>
      </c>
      <c r="U155" s="239">
        <v>0</v>
      </c>
      <c r="V155" s="239">
        <v>7</v>
      </c>
      <c r="W155" s="239"/>
      <c r="X155" s="239"/>
      <c r="Y155" s="239"/>
      <c r="Z155" s="239"/>
      <c r="AA155" s="239"/>
      <c r="AB155" s="239"/>
      <c r="AC155" s="239"/>
      <c r="AD155" s="239"/>
      <c r="AE155" s="239"/>
      <c r="AF155" s="239"/>
      <c r="AG155" s="239"/>
    </row>
    <row r="156" spans="1:33" s="34" customFormat="1" ht="12.75" customHeight="1" x14ac:dyDescent="0.25">
      <c r="A156" s="287"/>
      <c r="B156" s="288" t="s">
        <v>1609</v>
      </c>
      <c r="C156" s="289"/>
      <c r="D156"/>
      <c r="E156"/>
      <c r="F156" s="693" t="str">
        <f t="shared" si="29"/>
        <v/>
      </c>
      <c r="G156" s="16" t="str">
        <f t="shared" si="28"/>
        <v/>
      </c>
      <c r="H156" s="234"/>
      <c r="I156" s="234">
        <f t="shared" si="30"/>
        <v>0</v>
      </c>
      <c r="J156" s="234">
        <f t="shared" si="31"/>
        <v>0</v>
      </c>
      <c r="K156" s="234">
        <f t="shared" si="32"/>
        <v>0</v>
      </c>
      <c r="L156" s="234">
        <f t="shared" si="33"/>
        <v>1</v>
      </c>
      <c r="M156" s="287"/>
      <c r="N156" s="288"/>
      <c r="O156" s="289"/>
      <c r="P156"/>
      <c r="Q156" s="234"/>
      <c r="R156" s="234"/>
      <c r="S156" s="234"/>
      <c r="T156" s="234">
        <v>8</v>
      </c>
      <c r="U156" s="234">
        <v>0</v>
      </c>
      <c r="V156" s="234">
        <v>12</v>
      </c>
      <c r="W156" s="234"/>
      <c r="X156" s="234"/>
      <c r="Y156" s="234"/>
      <c r="Z156" s="234"/>
      <c r="AA156" s="234"/>
      <c r="AB156" s="234"/>
      <c r="AC156" s="234"/>
      <c r="AD156" s="234"/>
      <c r="AE156" s="234"/>
      <c r="AF156" s="234"/>
      <c r="AG156" s="234"/>
    </row>
    <row r="157" spans="1:33" s="34" customFormat="1" ht="13.5" customHeight="1" x14ac:dyDescent="0.25">
      <c r="A157" s="300"/>
      <c r="B157" s="327" t="s">
        <v>1610</v>
      </c>
      <c r="C157" s="135" t="s">
        <v>1936</v>
      </c>
      <c r="D157" t="s">
        <v>2033</v>
      </c>
      <c r="E157">
        <v>4</v>
      </c>
      <c r="F157" s="693">
        <f t="shared" si="29"/>
        <v>1</v>
      </c>
      <c r="G157" s="16">
        <f t="shared" si="28"/>
        <v>1</v>
      </c>
      <c r="H157" s="234"/>
      <c r="I157" s="234">
        <f t="shared" si="30"/>
        <v>0</v>
      </c>
      <c r="J157" s="234">
        <f t="shared" si="31"/>
        <v>1</v>
      </c>
      <c r="K157" s="234">
        <f t="shared" si="32"/>
        <v>0</v>
      </c>
      <c r="L157" s="234">
        <f t="shared" si="33"/>
        <v>0</v>
      </c>
      <c r="M157" s="300"/>
      <c r="N157" s="327"/>
      <c r="O157" s="135"/>
      <c r="P157"/>
      <c r="Q157" s="234"/>
      <c r="R157" s="234"/>
      <c r="S157" s="234"/>
      <c r="T157" s="234">
        <v>5</v>
      </c>
      <c r="U157" s="234">
        <v>0</v>
      </c>
      <c r="V157" s="234">
        <v>10</v>
      </c>
      <c r="W157" s="234"/>
      <c r="X157" s="234"/>
      <c r="Y157" s="234"/>
      <c r="Z157" s="234"/>
      <c r="AA157" s="234"/>
      <c r="AB157" s="234"/>
      <c r="AC157" s="234"/>
      <c r="AD157" s="234"/>
      <c r="AE157" s="234"/>
      <c r="AF157" s="234"/>
      <c r="AG157" s="234"/>
    </row>
    <row r="158" spans="1:33" s="34" customFormat="1" ht="13.5" customHeight="1" x14ac:dyDescent="0.25">
      <c r="A158" s="300"/>
      <c r="B158" s="327" t="s">
        <v>1611</v>
      </c>
      <c r="C158" s="128" t="s">
        <v>1938</v>
      </c>
      <c r="D158" t="s">
        <v>2028</v>
      </c>
      <c r="E158">
        <v>4</v>
      </c>
      <c r="F158" s="693">
        <f t="shared" si="29"/>
        <v>1</v>
      </c>
      <c r="G158" s="16">
        <f t="shared" si="28"/>
        <v>1</v>
      </c>
      <c r="H158" s="234"/>
      <c r="I158" s="234">
        <f t="shared" si="30"/>
        <v>0</v>
      </c>
      <c r="J158" s="234">
        <f t="shared" si="31"/>
        <v>1</v>
      </c>
      <c r="K158" s="234">
        <f t="shared" si="32"/>
        <v>0</v>
      </c>
      <c r="L158" s="234">
        <f t="shared" si="33"/>
        <v>0</v>
      </c>
      <c r="M158" s="300"/>
      <c r="N158" s="327"/>
      <c r="O158" s="128"/>
      <c r="P158"/>
      <c r="Q158" s="234"/>
      <c r="R158" s="234"/>
      <c r="S158" s="234"/>
      <c r="T158" s="234">
        <v>6</v>
      </c>
      <c r="U158" s="234">
        <v>0</v>
      </c>
      <c r="V158" s="234">
        <v>1</v>
      </c>
      <c r="W158" s="234"/>
      <c r="X158" s="234"/>
      <c r="Y158" s="234"/>
      <c r="Z158" s="234"/>
      <c r="AA158" s="234"/>
      <c r="AB158" s="234"/>
      <c r="AC158" s="234"/>
      <c r="AD158" s="234"/>
      <c r="AE158" s="234"/>
      <c r="AF158" s="234"/>
      <c r="AG158" s="234"/>
    </row>
    <row r="159" spans="1:33" s="34" customFormat="1" ht="12.75" customHeight="1" x14ac:dyDescent="0.25">
      <c r="A159" s="269" t="s">
        <v>1402</v>
      </c>
      <c r="B159" s="230" t="s">
        <v>1403</v>
      </c>
      <c r="C159" s="1055"/>
      <c r="D159"/>
      <c r="E159"/>
      <c r="F159" s="693" t="str">
        <f t="shared" si="29"/>
        <v/>
      </c>
      <c r="G159" s="16" t="str">
        <f t="shared" si="28"/>
        <v/>
      </c>
      <c r="I159" s="234">
        <f t="shared" si="30"/>
        <v>0</v>
      </c>
      <c r="J159" s="234">
        <f t="shared" si="31"/>
        <v>1</v>
      </c>
      <c r="K159" s="234">
        <f t="shared" si="32"/>
        <v>0</v>
      </c>
      <c r="L159" s="234">
        <f t="shared" si="33"/>
        <v>0</v>
      </c>
      <c r="M159" s="269"/>
      <c r="N159" s="230"/>
      <c r="O159" s="231"/>
      <c r="P159"/>
    </row>
    <row r="160" spans="1:33" s="34" customFormat="1" ht="12.75" customHeight="1" x14ac:dyDescent="0.25">
      <c r="A160" s="37"/>
      <c r="B160" s="246" t="s">
        <v>793</v>
      </c>
      <c r="C160" s="48"/>
      <c r="D160"/>
      <c r="E160"/>
      <c r="F160" s="693" t="str">
        <f>IF(LEN(B160)=4,1,"")</f>
        <v/>
      </c>
      <c r="G160" s="16" t="str">
        <f t="shared" si="28"/>
        <v/>
      </c>
      <c r="I160" s="234">
        <f t="shared" si="30"/>
        <v>0</v>
      </c>
      <c r="J160" s="234">
        <f t="shared" si="31"/>
        <v>0</v>
      </c>
      <c r="K160" s="234">
        <f t="shared" si="32"/>
        <v>0</v>
      </c>
      <c r="L160" s="234">
        <f t="shared" si="33"/>
        <v>1</v>
      </c>
      <c r="M160" s="37"/>
      <c r="N160" s="246"/>
      <c r="O160" s="48"/>
      <c r="P160"/>
    </row>
    <row r="161" spans="1:72" s="34" customFormat="1" ht="11.25" customHeight="1" outlineLevel="1" x14ac:dyDescent="0.25">
      <c r="A161" s="37"/>
      <c r="B161" s="47" t="s">
        <v>644</v>
      </c>
      <c r="C161" s="49" t="s">
        <v>383</v>
      </c>
      <c r="D161" t="s">
        <v>2110</v>
      </c>
      <c r="E161">
        <v>4</v>
      </c>
      <c r="F161" s="693">
        <f t="shared" si="29"/>
        <v>1</v>
      </c>
      <c r="G161" s="16">
        <f t="shared" si="28"/>
        <v>1</v>
      </c>
      <c r="I161" s="234">
        <f t="shared" si="30"/>
        <v>0</v>
      </c>
      <c r="J161" s="234">
        <f t="shared" si="31"/>
        <v>1</v>
      </c>
      <c r="K161" s="234">
        <f t="shared" si="32"/>
        <v>0</v>
      </c>
      <c r="L161" s="234">
        <f t="shared" si="33"/>
        <v>0</v>
      </c>
      <c r="M161" s="37"/>
      <c r="N161" s="47"/>
      <c r="O161" s="49"/>
      <c r="P161"/>
    </row>
    <row r="162" spans="1:72" s="34" customFormat="1" ht="12" customHeight="1" outlineLevel="1" x14ac:dyDescent="0.25">
      <c r="A162" s="270"/>
      <c r="B162" s="47" t="s">
        <v>645</v>
      </c>
      <c r="C162" s="49" t="s">
        <v>385</v>
      </c>
      <c r="D162" t="s">
        <v>2037</v>
      </c>
      <c r="E162">
        <v>4</v>
      </c>
      <c r="F162" s="693">
        <f t="shared" si="29"/>
        <v>1</v>
      </c>
      <c r="G162" s="16">
        <f t="shared" si="28"/>
        <v>1</v>
      </c>
      <c r="I162" s="234">
        <f t="shared" si="30"/>
        <v>0</v>
      </c>
      <c r="J162" s="234">
        <f t="shared" si="31"/>
        <v>1</v>
      </c>
      <c r="K162" s="234">
        <f t="shared" si="32"/>
        <v>0</v>
      </c>
      <c r="L162" s="234">
        <f t="shared" si="33"/>
        <v>0</v>
      </c>
      <c r="M162" s="270"/>
      <c r="N162" s="47"/>
      <c r="O162" s="49"/>
      <c r="P162"/>
    </row>
    <row r="163" spans="1:72" s="34" customFormat="1" ht="12" customHeight="1" outlineLevel="1" x14ac:dyDescent="0.25">
      <c r="A163" s="270"/>
      <c r="B163" s="47" t="s">
        <v>4601</v>
      </c>
      <c r="C163" s="49" t="s">
        <v>4602</v>
      </c>
      <c r="D163" t="s">
        <v>2039</v>
      </c>
      <c r="E163">
        <v>4</v>
      </c>
      <c r="F163" s="693">
        <f t="shared" si="29"/>
        <v>1</v>
      </c>
      <c r="G163" s="16">
        <f t="shared" si="28"/>
        <v>1</v>
      </c>
      <c r="I163" s="234">
        <f t="shared" si="30"/>
        <v>0</v>
      </c>
      <c r="J163" s="234">
        <f t="shared" si="31"/>
        <v>1</v>
      </c>
      <c r="K163" s="234">
        <f t="shared" si="32"/>
        <v>0</v>
      </c>
      <c r="L163" s="234">
        <f t="shared" si="33"/>
        <v>0</v>
      </c>
      <c r="M163" s="270"/>
      <c r="N163" s="47"/>
      <c r="O163" s="49"/>
      <c r="P163"/>
    </row>
    <row r="164" spans="1:72" ht="16.5" customHeight="1" x14ac:dyDescent="0.25">
      <c r="A164" s="37"/>
      <c r="B164" s="246" t="s">
        <v>794</v>
      </c>
      <c r="C164" s="294"/>
      <c r="D164"/>
      <c r="E164"/>
      <c r="F164" s="693" t="str">
        <f t="shared" si="29"/>
        <v/>
      </c>
      <c r="G164" s="16" t="str">
        <f t="shared" si="28"/>
        <v/>
      </c>
      <c r="I164" s="234">
        <f t="shared" si="30"/>
        <v>0</v>
      </c>
      <c r="J164" s="234">
        <f t="shared" si="31"/>
        <v>1</v>
      </c>
      <c r="K164" s="234">
        <f t="shared" si="32"/>
        <v>0</v>
      </c>
      <c r="L164" s="234">
        <f t="shared" si="33"/>
        <v>0</v>
      </c>
      <c r="M164" s="37"/>
      <c r="N164" s="246"/>
      <c r="O164" s="294"/>
      <c r="P164"/>
    </row>
    <row r="165" spans="1:72" ht="12.75" customHeight="1" outlineLevel="1" x14ac:dyDescent="0.25">
      <c r="A165" s="37"/>
      <c r="B165" s="47" t="s">
        <v>646</v>
      </c>
      <c r="C165" s="49" t="s">
        <v>104</v>
      </c>
      <c r="D165" t="s">
        <v>1994</v>
      </c>
      <c r="E165">
        <v>4</v>
      </c>
      <c r="F165" s="693">
        <f t="shared" si="29"/>
        <v>1</v>
      </c>
      <c r="G165" s="16">
        <f t="shared" si="28"/>
        <v>1</v>
      </c>
      <c r="I165" s="234">
        <f t="shared" si="30"/>
        <v>0</v>
      </c>
      <c r="J165" s="234">
        <f t="shared" si="31"/>
        <v>1</v>
      </c>
      <c r="K165" s="234">
        <f t="shared" si="32"/>
        <v>0</v>
      </c>
      <c r="L165" s="234">
        <f t="shared" si="33"/>
        <v>0</v>
      </c>
      <c r="M165" s="37"/>
      <c r="N165" s="47"/>
      <c r="O165" s="49"/>
      <c r="P165"/>
    </row>
    <row r="166" spans="1:72" ht="12" customHeight="1" outlineLevel="1" x14ac:dyDescent="0.25">
      <c r="A166" s="37"/>
      <c r="B166" s="47" t="s">
        <v>647</v>
      </c>
      <c r="C166" s="49" t="s">
        <v>384</v>
      </c>
      <c r="D166" t="s">
        <v>2030</v>
      </c>
      <c r="E166">
        <v>4</v>
      </c>
      <c r="F166" s="693">
        <f t="shared" si="29"/>
        <v>1</v>
      </c>
      <c r="G166" s="16">
        <f t="shared" si="28"/>
        <v>1</v>
      </c>
      <c r="I166" s="234">
        <f t="shared" si="30"/>
        <v>0</v>
      </c>
      <c r="J166" s="234">
        <f t="shared" si="31"/>
        <v>1</v>
      </c>
      <c r="K166" s="234">
        <f t="shared" si="32"/>
        <v>0</v>
      </c>
      <c r="L166" s="234">
        <f t="shared" si="33"/>
        <v>0</v>
      </c>
      <c r="M166" s="37"/>
      <c r="N166" s="47"/>
      <c r="O166" s="49"/>
      <c r="P166"/>
      <c r="T166" s="229">
        <v>5</v>
      </c>
      <c r="U166" s="229">
        <v>5</v>
      </c>
      <c r="V166" s="229">
        <v>0</v>
      </c>
    </row>
    <row r="167" spans="1:72" ht="12" customHeight="1" outlineLevel="1" x14ac:dyDescent="0.25">
      <c r="A167" s="37"/>
      <c r="B167" s="47" t="s">
        <v>648</v>
      </c>
      <c r="C167" s="219" t="s">
        <v>28</v>
      </c>
      <c r="D167" t="s">
        <v>2039</v>
      </c>
      <c r="E167">
        <v>4</v>
      </c>
      <c r="F167" s="693">
        <f t="shared" si="29"/>
        <v>1</v>
      </c>
      <c r="G167" s="16">
        <f t="shared" si="28"/>
        <v>1</v>
      </c>
      <c r="I167" s="234">
        <f t="shared" si="30"/>
        <v>0</v>
      </c>
      <c r="J167" s="234">
        <f t="shared" si="31"/>
        <v>1</v>
      </c>
      <c r="K167" s="234">
        <f t="shared" si="32"/>
        <v>0</v>
      </c>
      <c r="L167" s="234">
        <f t="shared" si="33"/>
        <v>0</v>
      </c>
      <c r="M167" s="37"/>
      <c r="N167" s="47"/>
      <c r="O167" s="219"/>
      <c r="P167"/>
      <c r="T167" s="229">
        <v>4</v>
      </c>
      <c r="U167" s="229">
        <v>4</v>
      </c>
      <c r="V167" s="229">
        <v>0</v>
      </c>
    </row>
    <row r="168" spans="1:72" ht="12" customHeight="1" outlineLevel="1" x14ac:dyDescent="0.25">
      <c r="A168" s="37"/>
      <c r="B168" s="47" t="s">
        <v>649</v>
      </c>
      <c r="C168" s="36" t="s">
        <v>169</v>
      </c>
      <c r="D168" t="s">
        <v>2017</v>
      </c>
      <c r="E168">
        <v>3</v>
      </c>
      <c r="F168" s="693">
        <f t="shared" si="29"/>
        <v>1</v>
      </c>
      <c r="G168" s="16">
        <f t="shared" si="28"/>
        <v>1</v>
      </c>
      <c r="I168" s="234">
        <f t="shared" si="30"/>
        <v>0</v>
      </c>
      <c r="J168" s="234">
        <f t="shared" si="31"/>
        <v>0</v>
      </c>
      <c r="K168" s="234">
        <f t="shared" si="32"/>
        <v>0</v>
      </c>
      <c r="L168" s="234">
        <f t="shared" si="33"/>
        <v>1</v>
      </c>
      <c r="M168" s="37"/>
      <c r="N168" s="47"/>
      <c r="O168" s="36"/>
      <c r="P168"/>
      <c r="T168" s="229">
        <v>4</v>
      </c>
      <c r="U168" s="229">
        <v>4</v>
      </c>
      <c r="V168" s="229">
        <v>0</v>
      </c>
    </row>
    <row r="169" spans="1:72" ht="12" customHeight="1" outlineLevel="1" x14ac:dyDescent="0.25">
      <c r="A169" s="37"/>
      <c r="B169" s="47" t="s">
        <v>795</v>
      </c>
      <c r="C169" s="217" t="s">
        <v>283</v>
      </c>
      <c r="D169" t="s">
        <v>2113</v>
      </c>
      <c r="E169">
        <v>4</v>
      </c>
      <c r="F169" s="693">
        <f t="shared" si="29"/>
        <v>1</v>
      </c>
      <c r="G169" s="16">
        <f t="shared" si="28"/>
        <v>1</v>
      </c>
      <c r="H169" s="229">
        <v>1</v>
      </c>
      <c r="I169" s="234">
        <f t="shared" si="30"/>
        <v>1</v>
      </c>
      <c r="J169" s="234">
        <f t="shared" si="31"/>
        <v>0</v>
      </c>
      <c r="K169" s="234">
        <f t="shared" si="32"/>
        <v>0</v>
      </c>
      <c r="L169" s="234">
        <f t="shared" si="33"/>
        <v>0</v>
      </c>
      <c r="M169" s="37"/>
      <c r="N169" s="47"/>
      <c r="O169" s="217"/>
      <c r="P169"/>
    </row>
    <row r="170" spans="1:72" ht="12" customHeight="1" outlineLevel="1" x14ac:dyDescent="0.25">
      <c r="A170" s="37"/>
      <c r="B170" s="47" t="s">
        <v>2152</v>
      </c>
      <c r="C170" s="128" t="s">
        <v>2153</v>
      </c>
      <c r="D170" t="s">
        <v>2017</v>
      </c>
      <c r="E170">
        <v>3</v>
      </c>
      <c r="F170" s="693">
        <f t="shared" si="29"/>
        <v>1</v>
      </c>
      <c r="G170" s="16">
        <f t="shared" si="28"/>
        <v>1</v>
      </c>
      <c r="H170" s="229">
        <v>1</v>
      </c>
      <c r="I170" s="234">
        <f t="shared" si="30"/>
        <v>0</v>
      </c>
      <c r="J170" s="234">
        <f t="shared" si="31"/>
        <v>0</v>
      </c>
      <c r="K170" s="234">
        <f t="shared" si="32"/>
        <v>1</v>
      </c>
      <c r="L170" s="234">
        <f t="shared" si="33"/>
        <v>0</v>
      </c>
      <c r="M170" s="37"/>
      <c r="N170" s="47"/>
      <c r="O170" s="128"/>
      <c r="P170"/>
      <c r="T170" s="229">
        <v>4</v>
      </c>
      <c r="U170" s="229">
        <v>4</v>
      </c>
      <c r="V170" s="229">
        <v>0</v>
      </c>
    </row>
    <row r="171" spans="1:72" s="229" customFormat="1" ht="12" customHeight="1" outlineLevel="1" x14ac:dyDescent="0.25">
      <c r="A171" s="37"/>
      <c r="B171" s="47" t="s">
        <v>4461</v>
      </c>
      <c r="C171" s="128" t="s">
        <v>4507</v>
      </c>
      <c r="D171" t="s">
        <v>2017</v>
      </c>
      <c r="E171">
        <v>3</v>
      </c>
      <c r="F171" s="693">
        <f t="shared" si="29"/>
        <v>1</v>
      </c>
      <c r="G171" s="16">
        <f t="shared" si="28"/>
        <v>1</v>
      </c>
      <c r="I171" s="234">
        <f t="shared" si="30"/>
        <v>0</v>
      </c>
      <c r="J171" s="234">
        <f t="shared" si="31"/>
        <v>0</v>
      </c>
      <c r="K171" s="234">
        <f t="shared" si="32"/>
        <v>0</v>
      </c>
      <c r="L171" s="234">
        <f t="shared" si="33"/>
        <v>0</v>
      </c>
      <c r="M171" s="37"/>
      <c r="N171" s="47"/>
      <c r="O171" s="128"/>
      <c r="P171"/>
      <c r="T171" s="229">
        <v>6</v>
      </c>
      <c r="U171" s="229">
        <v>6</v>
      </c>
      <c r="V171" s="229">
        <v>0</v>
      </c>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row>
    <row r="172" spans="1:72" s="229" customFormat="1" ht="12" customHeight="1" outlineLevel="1" x14ac:dyDescent="0.25">
      <c r="A172" s="37"/>
      <c r="B172" s="246" t="s">
        <v>2180</v>
      </c>
      <c r="C172" s="220"/>
      <c r="D172"/>
      <c r="E172"/>
      <c r="F172" s="693" t="str">
        <f t="shared" si="29"/>
        <v/>
      </c>
      <c r="G172" s="16" t="str">
        <f t="shared" si="28"/>
        <v/>
      </c>
      <c r="I172" s="234">
        <f t="shared" si="30"/>
        <v>0</v>
      </c>
      <c r="J172" s="234">
        <f t="shared" si="31"/>
        <v>0</v>
      </c>
      <c r="K172" s="234">
        <f t="shared" si="32"/>
        <v>0</v>
      </c>
      <c r="L172" s="234">
        <f t="shared" si="33"/>
        <v>1</v>
      </c>
      <c r="M172" s="37"/>
      <c r="N172" s="246"/>
      <c r="O172" s="220"/>
      <c r="P172"/>
      <c r="T172" s="229">
        <v>5</v>
      </c>
      <c r="U172" s="229">
        <v>5</v>
      </c>
      <c r="V172" s="229">
        <v>0</v>
      </c>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row>
    <row r="173" spans="1:72" s="229" customFormat="1" ht="12" customHeight="1" outlineLevel="1" x14ac:dyDescent="0.25">
      <c r="A173" s="270"/>
      <c r="B173" s="47" t="s">
        <v>2156</v>
      </c>
      <c r="C173" s="128" t="s">
        <v>2157</v>
      </c>
      <c r="D173"/>
      <c r="E173"/>
      <c r="F173" s="693">
        <f t="shared" si="29"/>
        <v>1</v>
      </c>
      <c r="G173" s="16" t="str">
        <f t="shared" si="28"/>
        <v/>
      </c>
      <c r="H173" s="229">
        <v>1</v>
      </c>
      <c r="I173" s="234">
        <f t="shared" si="30"/>
        <v>1</v>
      </c>
      <c r="J173" s="234">
        <f t="shared" si="31"/>
        <v>0</v>
      </c>
      <c r="K173" s="234">
        <f t="shared" si="32"/>
        <v>0</v>
      </c>
      <c r="L173" s="234">
        <f t="shared" si="33"/>
        <v>0</v>
      </c>
      <c r="M173" s="270"/>
      <c r="N173" s="47"/>
      <c r="O173" s="128"/>
      <c r="P173"/>
      <c r="T173" s="229">
        <v>11</v>
      </c>
      <c r="U173" s="229">
        <v>8</v>
      </c>
      <c r="V173" s="229">
        <v>3</v>
      </c>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row>
    <row r="174" spans="1:72" s="229" customFormat="1" ht="12" customHeight="1" outlineLevel="1" x14ac:dyDescent="0.25">
      <c r="A174" s="270"/>
      <c r="B174" s="47" t="s">
        <v>2165</v>
      </c>
      <c r="C174" s="128" t="s">
        <v>2166</v>
      </c>
      <c r="D174" t="s">
        <v>2209</v>
      </c>
      <c r="E174">
        <v>4</v>
      </c>
      <c r="F174" s="693">
        <f t="shared" si="29"/>
        <v>1</v>
      </c>
      <c r="G174" s="16">
        <f t="shared" si="28"/>
        <v>1</v>
      </c>
      <c r="H174" s="229">
        <v>1</v>
      </c>
      <c r="I174" s="234">
        <f t="shared" si="30"/>
        <v>1</v>
      </c>
      <c r="J174" s="234">
        <f t="shared" si="31"/>
        <v>0</v>
      </c>
      <c r="K174" s="234">
        <f t="shared" si="32"/>
        <v>0</v>
      </c>
      <c r="L174" s="234">
        <f t="shared" si="33"/>
        <v>0</v>
      </c>
      <c r="M174" s="270"/>
      <c r="N174" s="47"/>
      <c r="O174" s="128"/>
      <c r="P174"/>
      <c r="T174" s="229">
        <v>6</v>
      </c>
      <c r="U174" s="229">
        <v>6</v>
      </c>
      <c r="V174" s="229">
        <v>0</v>
      </c>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row>
    <row r="175" spans="1:72" s="229" customFormat="1" ht="12" customHeight="1" outlineLevel="1" x14ac:dyDescent="0.25">
      <c r="A175" s="269" t="s">
        <v>1518</v>
      </c>
      <c r="B175" s="1058" t="s">
        <v>1519</v>
      </c>
      <c r="C175" s="1059"/>
      <c r="D175"/>
      <c r="E175"/>
      <c r="F175" s="693" t="str">
        <f t="shared" si="29"/>
        <v/>
      </c>
      <c r="G175" s="16" t="str">
        <f t="shared" si="28"/>
        <v/>
      </c>
      <c r="H175" s="229">
        <v>1</v>
      </c>
      <c r="I175" s="234">
        <f t="shared" si="30"/>
        <v>1</v>
      </c>
      <c r="J175" s="234">
        <f t="shared" si="31"/>
        <v>0</v>
      </c>
      <c r="K175" s="234">
        <f t="shared" si="32"/>
        <v>0</v>
      </c>
      <c r="L175" s="234">
        <f t="shared" si="33"/>
        <v>0</v>
      </c>
      <c r="M175" s="269"/>
      <c r="N175" s="230"/>
      <c r="O175" s="231"/>
      <c r="P175"/>
      <c r="T175" s="229">
        <v>2</v>
      </c>
      <c r="U175" s="229">
        <v>2</v>
      </c>
      <c r="V175" s="229">
        <v>0</v>
      </c>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row>
    <row r="176" spans="1:72" s="229" customFormat="1" ht="12" customHeight="1" outlineLevel="1" x14ac:dyDescent="0.25">
      <c r="A176" s="295"/>
      <c r="B176" s="142" t="s">
        <v>290</v>
      </c>
      <c r="C176" s="39"/>
      <c r="D176"/>
      <c r="E176"/>
      <c r="F176" s="693" t="str">
        <f t="shared" si="29"/>
        <v/>
      </c>
      <c r="G176" s="16" t="str">
        <f t="shared" si="28"/>
        <v/>
      </c>
      <c r="I176" s="234">
        <f t="shared" si="30"/>
        <v>0</v>
      </c>
      <c r="J176" s="234">
        <f t="shared" si="31"/>
        <v>0</v>
      </c>
      <c r="K176" s="234">
        <f t="shared" si="32"/>
        <v>0</v>
      </c>
      <c r="L176" s="234">
        <f t="shared" si="33"/>
        <v>1</v>
      </c>
      <c r="M176" s="295"/>
      <c r="N176" s="35"/>
      <c r="O176" s="37"/>
      <c r="P176"/>
      <c r="T176" s="229">
        <v>5</v>
      </c>
      <c r="U176" s="229">
        <v>5</v>
      </c>
      <c r="V176" s="229">
        <v>1</v>
      </c>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row>
    <row r="177" spans="1:72" s="229" customFormat="1" ht="12" customHeight="1" x14ac:dyDescent="0.25">
      <c r="A177" s="295"/>
      <c r="B177" s="296" t="s">
        <v>772</v>
      </c>
      <c r="C177" s="45" t="s">
        <v>773</v>
      </c>
      <c r="D177"/>
      <c r="E177"/>
      <c r="F177" s="693">
        <f t="shared" si="29"/>
        <v>1</v>
      </c>
      <c r="G177" s="16" t="str">
        <f t="shared" si="28"/>
        <v/>
      </c>
      <c r="H177" s="229">
        <v>1</v>
      </c>
      <c r="I177" s="234">
        <f t="shared" si="30"/>
        <v>1</v>
      </c>
      <c r="J177" s="234">
        <f t="shared" si="31"/>
        <v>0</v>
      </c>
      <c r="K177" s="234">
        <f t="shared" si="32"/>
        <v>0</v>
      </c>
      <c r="L177" s="234">
        <f t="shared" si="33"/>
        <v>0</v>
      </c>
      <c r="M177" s="295"/>
      <c r="N177" s="296"/>
      <c r="O177" s="45"/>
      <c r="P177"/>
      <c r="T177" s="229">
        <v>9</v>
      </c>
      <c r="U177" s="229">
        <v>0</v>
      </c>
      <c r="V177" s="229">
        <v>6</v>
      </c>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row>
    <row r="178" spans="1:72" s="229" customFormat="1" ht="12" customHeight="1" x14ac:dyDescent="0.25">
      <c r="A178" s="295"/>
      <c r="B178" s="296" t="s">
        <v>774</v>
      </c>
      <c r="C178" s="45" t="s">
        <v>775</v>
      </c>
      <c r="D178"/>
      <c r="E178"/>
      <c r="F178" s="693">
        <f t="shared" si="29"/>
        <v>1</v>
      </c>
      <c r="G178" s="16" t="str">
        <f t="shared" si="28"/>
        <v/>
      </c>
      <c r="H178" s="229">
        <v>1</v>
      </c>
      <c r="I178" s="234">
        <f t="shared" si="30"/>
        <v>0</v>
      </c>
      <c r="J178" s="234">
        <f t="shared" si="31"/>
        <v>0</v>
      </c>
      <c r="K178" s="234">
        <f t="shared" si="32"/>
        <v>1</v>
      </c>
      <c r="L178" s="234">
        <f t="shared" si="33"/>
        <v>0</v>
      </c>
      <c r="M178" s="295"/>
      <c r="N178" s="296"/>
      <c r="O178" s="45"/>
      <c r="P178"/>
      <c r="T178" s="229">
        <v>5</v>
      </c>
      <c r="U178" s="229">
        <v>0</v>
      </c>
      <c r="V178" s="229">
        <v>2</v>
      </c>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row>
    <row r="179" spans="1:72" s="229" customFormat="1" ht="16.5" customHeight="1" x14ac:dyDescent="0.25">
      <c r="A179" s="295"/>
      <c r="B179" s="296" t="s">
        <v>776</v>
      </c>
      <c r="C179" s="45" t="s">
        <v>777</v>
      </c>
      <c r="D179"/>
      <c r="E179"/>
      <c r="F179" s="693">
        <f t="shared" si="29"/>
        <v>1</v>
      </c>
      <c r="G179" s="16" t="str">
        <f t="shared" si="28"/>
        <v/>
      </c>
      <c r="H179" s="229">
        <v>1</v>
      </c>
      <c r="I179" s="234">
        <f t="shared" si="30"/>
        <v>1</v>
      </c>
      <c r="J179" s="234">
        <f t="shared" si="31"/>
        <v>0</v>
      </c>
      <c r="K179" s="234">
        <f t="shared" si="32"/>
        <v>0</v>
      </c>
      <c r="L179" s="234">
        <f t="shared" si="33"/>
        <v>0</v>
      </c>
      <c r="M179" s="295"/>
      <c r="N179" s="296"/>
      <c r="O179" s="46"/>
      <c r="P179"/>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row>
    <row r="180" spans="1:72" s="229" customFormat="1" ht="12.75" customHeight="1" outlineLevel="1" x14ac:dyDescent="0.25">
      <c r="A180" s="295"/>
      <c r="B180" s="142" t="s">
        <v>369</v>
      </c>
      <c r="C180" s="39"/>
      <c r="D180"/>
      <c r="E180"/>
      <c r="F180" s="693" t="str">
        <f t="shared" si="29"/>
        <v/>
      </c>
      <c r="G180" s="16" t="str">
        <f t="shared" si="28"/>
        <v/>
      </c>
      <c r="H180" s="229">
        <v>1</v>
      </c>
      <c r="I180" s="234">
        <f t="shared" si="30"/>
        <v>1</v>
      </c>
      <c r="J180" s="234">
        <f t="shared" si="31"/>
        <v>0</v>
      </c>
      <c r="K180" s="234">
        <f t="shared" si="32"/>
        <v>0</v>
      </c>
      <c r="L180" s="234">
        <f t="shared" si="33"/>
        <v>0</v>
      </c>
      <c r="M180" s="295"/>
      <c r="N180" s="35"/>
      <c r="O180" s="37"/>
      <c r="P18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row>
    <row r="181" spans="1:72" s="229" customFormat="1" ht="12.75" customHeight="1" outlineLevel="1" x14ac:dyDescent="0.25">
      <c r="A181" s="295"/>
      <c r="B181" s="1064" t="s">
        <v>778</v>
      </c>
      <c r="C181" s="45" t="s">
        <v>779</v>
      </c>
      <c r="D181"/>
      <c r="E181"/>
      <c r="F181" s="693">
        <f t="shared" si="29"/>
        <v>1</v>
      </c>
      <c r="G181" s="16" t="str">
        <f t="shared" si="28"/>
        <v/>
      </c>
      <c r="H181" s="229">
        <v>1</v>
      </c>
      <c r="I181" s="234">
        <f t="shared" si="30"/>
        <v>1</v>
      </c>
      <c r="J181" s="234">
        <f t="shared" si="31"/>
        <v>0</v>
      </c>
      <c r="K181" s="234">
        <f t="shared" si="32"/>
        <v>0</v>
      </c>
      <c r="L181" s="234">
        <f t="shared" si="33"/>
        <v>0</v>
      </c>
      <c r="M181" s="295"/>
      <c r="N181" s="42"/>
      <c r="O181" s="45"/>
      <c r="P181"/>
      <c r="T181" s="229">
        <v>4</v>
      </c>
      <c r="U181" s="229">
        <v>4</v>
      </c>
      <c r="V181" s="229">
        <v>1</v>
      </c>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row>
    <row r="182" spans="1:72" s="229" customFormat="1" ht="12.75" customHeight="1" outlineLevel="1" x14ac:dyDescent="0.25">
      <c r="A182" s="295"/>
      <c r="B182" s="1064" t="s">
        <v>780</v>
      </c>
      <c r="C182" s="45" t="s">
        <v>4611</v>
      </c>
      <c r="D182" t="s">
        <v>6564</v>
      </c>
      <c r="E182">
        <v>4</v>
      </c>
      <c r="F182" s="693">
        <f t="shared" si="29"/>
        <v>1</v>
      </c>
      <c r="G182" s="16">
        <f t="shared" si="28"/>
        <v>1</v>
      </c>
      <c r="H182" s="229">
        <v>1</v>
      </c>
      <c r="I182" s="234">
        <f t="shared" si="30"/>
        <v>1</v>
      </c>
      <c r="J182" s="234">
        <f t="shared" si="31"/>
        <v>0</v>
      </c>
      <c r="K182" s="234">
        <f t="shared" si="32"/>
        <v>0</v>
      </c>
      <c r="L182" s="234">
        <f t="shared" si="33"/>
        <v>0</v>
      </c>
      <c r="M182" s="295"/>
      <c r="N182" s="42"/>
      <c r="O182" s="46"/>
      <c r="P182"/>
      <c r="T182" s="229">
        <v>1</v>
      </c>
      <c r="U182" s="229">
        <v>1</v>
      </c>
      <c r="V182" s="229">
        <v>0</v>
      </c>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row>
    <row r="183" spans="1:72" s="229" customFormat="1" ht="12.75" customHeight="1" outlineLevel="1" x14ac:dyDescent="0.25">
      <c r="A183" s="295"/>
      <c r="B183" s="1064" t="s">
        <v>782</v>
      </c>
      <c r="C183" s="45" t="s">
        <v>784</v>
      </c>
      <c r="D183"/>
      <c r="E183"/>
      <c r="F183" s="693">
        <f t="shared" si="29"/>
        <v>1</v>
      </c>
      <c r="G183" s="16" t="str">
        <f t="shared" si="28"/>
        <v/>
      </c>
      <c r="H183" s="229">
        <v>1</v>
      </c>
      <c r="I183" s="234">
        <f t="shared" si="30"/>
        <v>1</v>
      </c>
      <c r="J183" s="234">
        <f t="shared" si="31"/>
        <v>0</v>
      </c>
      <c r="K183" s="234">
        <f t="shared" si="32"/>
        <v>0</v>
      </c>
      <c r="L183" s="234">
        <f t="shared" si="33"/>
        <v>0</v>
      </c>
      <c r="M183" s="295"/>
      <c r="N183" s="42"/>
      <c r="O183" s="46"/>
      <c r="P183"/>
      <c r="T183" s="229">
        <v>2</v>
      </c>
      <c r="U183" s="229">
        <v>2</v>
      </c>
      <c r="V183" s="229">
        <v>0</v>
      </c>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row>
    <row r="184" spans="1:72" s="229" customFormat="1" ht="12.75" customHeight="1" outlineLevel="1" x14ac:dyDescent="0.25">
      <c r="A184" s="295"/>
      <c r="B184" s="1064" t="s">
        <v>783</v>
      </c>
      <c r="C184" s="40" t="s">
        <v>787</v>
      </c>
      <c r="D184"/>
      <c r="E184"/>
      <c r="F184" s="693">
        <f t="shared" si="29"/>
        <v>1</v>
      </c>
      <c r="G184" s="16" t="str">
        <f t="shared" si="28"/>
        <v/>
      </c>
      <c r="I184" s="234">
        <f t="shared" si="30"/>
        <v>0</v>
      </c>
      <c r="J184" s="234">
        <f t="shared" si="31"/>
        <v>1</v>
      </c>
      <c r="K184" s="234">
        <f t="shared" si="32"/>
        <v>0</v>
      </c>
      <c r="L184" s="234">
        <f t="shared" si="33"/>
        <v>0</v>
      </c>
      <c r="M184" s="295"/>
      <c r="N184" s="42"/>
      <c r="O184" s="36"/>
      <c r="P184"/>
      <c r="T184" s="229">
        <v>4</v>
      </c>
      <c r="U184" s="229">
        <v>4</v>
      </c>
      <c r="V184" s="229">
        <v>0</v>
      </c>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row>
    <row r="185" spans="1:72" s="229" customFormat="1" ht="12.75" customHeight="1" outlineLevel="1" x14ac:dyDescent="0.25">
      <c r="A185" s="295"/>
      <c r="B185" s="1064" t="s">
        <v>785</v>
      </c>
      <c r="C185" s="40" t="s">
        <v>789</v>
      </c>
      <c r="D185"/>
      <c r="E185"/>
      <c r="F185" s="693">
        <f t="shared" si="29"/>
        <v>1</v>
      </c>
      <c r="G185" s="16" t="str">
        <f t="shared" si="28"/>
        <v/>
      </c>
      <c r="I185" s="234">
        <f t="shared" si="30"/>
        <v>0</v>
      </c>
      <c r="J185" s="234">
        <f t="shared" si="31"/>
        <v>1</v>
      </c>
      <c r="K185" s="234">
        <f t="shared" si="32"/>
        <v>0</v>
      </c>
      <c r="L185" s="234">
        <f t="shared" si="33"/>
        <v>0</v>
      </c>
      <c r="M185" s="295"/>
      <c r="N185" s="42"/>
      <c r="O185" s="40"/>
      <c r="P185"/>
      <c r="T185" s="229">
        <v>2</v>
      </c>
      <c r="U185" s="229">
        <v>2</v>
      </c>
      <c r="V185" s="229">
        <v>0</v>
      </c>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row>
    <row r="186" spans="1:72" s="229" customFormat="1" ht="12.75" customHeight="1" outlineLevel="1" x14ac:dyDescent="0.25">
      <c r="A186" s="295"/>
      <c r="B186" s="1064" t="s">
        <v>786</v>
      </c>
      <c r="C186" s="40" t="s">
        <v>1883</v>
      </c>
      <c r="D186"/>
      <c r="E186"/>
      <c r="F186" s="693">
        <f>IF(LEN(B186)=4,1,"")</f>
        <v>1</v>
      </c>
      <c r="G186" s="16" t="str">
        <f t="shared" si="28"/>
        <v/>
      </c>
      <c r="I186" s="234">
        <f t="shared" ref="I186:I199" si="34">IF(AND(D190="",H186=1),1,0)</f>
        <v>0</v>
      </c>
      <c r="J186" s="234">
        <f t="shared" ref="J186:J199" si="35">IF(AND(NOT(D190=""),H186=0),1,0)</f>
        <v>1</v>
      </c>
      <c r="K186" s="234">
        <f t="shared" ref="K186:K199" si="36">IF(AND(NOT(D190=""),H186=1),1,0)</f>
        <v>0</v>
      </c>
      <c r="L186" s="234">
        <f t="shared" ref="L186:L199" si="37">IF(AND(D190="",H186=0,LEN(B187)=4),1,0)</f>
        <v>0</v>
      </c>
      <c r="M186" s="295"/>
      <c r="N186" s="42"/>
      <c r="O186" s="40"/>
      <c r="P186"/>
      <c r="T186" s="229">
        <v>2</v>
      </c>
      <c r="U186" s="229">
        <v>2</v>
      </c>
      <c r="V186" s="229">
        <v>0</v>
      </c>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row>
    <row r="187" spans="1:72" s="229" customFormat="1" ht="12.75" customHeight="1" outlineLevel="1" x14ac:dyDescent="0.25">
      <c r="A187" s="295"/>
      <c r="B187" s="1064" t="s">
        <v>788</v>
      </c>
      <c r="C187" s="40" t="s">
        <v>792</v>
      </c>
      <c r="D187"/>
      <c r="E187"/>
      <c r="F187" s="693">
        <f>IF(LEN(B187)=4,1,"")</f>
        <v>1</v>
      </c>
      <c r="G187" s="16" t="str">
        <f t="shared" si="28"/>
        <v/>
      </c>
      <c r="I187" s="234">
        <f t="shared" si="34"/>
        <v>0</v>
      </c>
      <c r="J187" s="234">
        <f t="shared" si="35"/>
        <v>0</v>
      </c>
      <c r="K187" s="234">
        <f t="shared" si="36"/>
        <v>0</v>
      </c>
      <c r="L187" s="234">
        <f t="shared" si="37"/>
        <v>1</v>
      </c>
      <c r="M187" s="295"/>
      <c r="N187" s="42"/>
      <c r="O187" s="40"/>
      <c r="P187"/>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row>
    <row r="188" spans="1:72" s="229" customFormat="1" ht="12.75" customHeight="1" outlineLevel="1" x14ac:dyDescent="0.25">
      <c r="A188" s="295"/>
      <c r="B188" s="1064" t="s">
        <v>790</v>
      </c>
      <c r="C188" s="45" t="s">
        <v>370</v>
      </c>
      <c r="D188" t="s">
        <v>2026</v>
      </c>
      <c r="E188">
        <v>4</v>
      </c>
      <c r="F188" s="693">
        <f t="shared" si="29"/>
        <v>1</v>
      </c>
      <c r="G188" s="16">
        <f t="shared" si="28"/>
        <v>1</v>
      </c>
      <c r="I188" s="234">
        <f t="shared" si="34"/>
        <v>0</v>
      </c>
      <c r="J188" s="234">
        <f t="shared" si="35"/>
        <v>0</v>
      </c>
      <c r="K188" s="234">
        <f t="shared" si="36"/>
        <v>0</v>
      </c>
      <c r="L188" s="234">
        <f t="shared" si="37"/>
        <v>1</v>
      </c>
      <c r="M188" s="295"/>
      <c r="N188" s="42"/>
      <c r="O188" s="46"/>
      <c r="P188"/>
      <c r="T188" s="229">
        <v>5</v>
      </c>
      <c r="U188" s="229">
        <v>5</v>
      </c>
      <c r="V188" s="229">
        <v>0</v>
      </c>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row>
    <row r="189" spans="1:72" s="229" customFormat="1" ht="12.75" customHeight="1" outlineLevel="1" x14ac:dyDescent="0.25">
      <c r="A189" s="295"/>
      <c r="B189" s="1064" t="s">
        <v>791</v>
      </c>
      <c r="C189" s="40" t="s">
        <v>6807</v>
      </c>
      <c r="D189" t="s">
        <v>6567</v>
      </c>
      <c r="E189">
        <v>4</v>
      </c>
      <c r="F189" s="693">
        <f t="shared" si="29"/>
        <v>1</v>
      </c>
      <c r="G189" s="16">
        <f t="shared" si="28"/>
        <v>1</v>
      </c>
      <c r="H189" s="229">
        <v>1</v>
      </c>
      <c r="I189" s="234">
        <f t="shared" si="34"/>
        <v>0</v>
      </c>
      <c r="J189" s="234">
        <f t="shared" si="35"/>
        <v>0</v>
      </c>
      <c r="K189" s="234">
        <f t="shared" si="36"/>
        <v>1</v>
      </c>
      <c r="L189" s="234">
        <f t="shared" si="37"/>
        <v>0</v>
      </c>
      <c r="M189" s="295"/>
      <c r="N189" s="42"/>
      <c r="O189" s="36"/>
      <c r="P189"/>
      <c r="T189" s="229">
        <v>4</v>
      </c>
      <c r="U189" s="229">
        <v>4</v>
      </c>
      <c r="V189" s="229">
        <v>0</v>
      </c>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row>
    <row r="190" spans="1:72" s="229" customFormat="1" ht="12.75" customHeight="1" outlineLevel="1" x14ac:dyDescent="0.25">
      <c r="A190" s="295"/>
      <c r="B190" s="1064" t="s">
        <v>6736</v>
      </c>
      <c r="C190" s="40" t="s">
        <v>6737</v>
      </c>
      <c r="D190" t="s">
        <v>6836</v>
      </c>
      <c r="E190">
        <v>4</v>
      </c>
      <c r="F190" s="693">
        <f t="shared" si="29"/>
        <v>1</v>
      </c>
      <c r="G190" s="16">
        <f t="shared" si="28"/>
        <v>1</v>
      </c>
      <c r="I190" s="234">
        <f t="shared" si="34"/>
        <v>0</v>
      </c>
      <c r="J190" s="234">
        <f t="shared" si="35"/>
        <v>1</v>
      </c>
      <c r="K190" s="234">
        <f t="shared" si="36"/>
        <v>0</v>
      </c>
      <c r="L190" s="234">
        <f t="shared" si="37"/>
        <v>0</v>
      </c>
      <c r="M190" s="295"/>
      <c r="N190" s="1064"/>
      <c r="O190" s="40"/>
      <c r="P190"/>
      <c r="T190" s="229">
        <v>3</v>
      </c>
      <c r="U190" s="229">
        <v>3</v>
      </c>
      <c r="V190" s="229">
        <v>0</v>
      </c>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row>
    <row r="191" spans="1:72" s="229" customFormat="1" ht="12.75" customHeight="1" x14ac:dyDescent="0.25">
      <c r="A191" s="269" t="s">
        <v>1520</v>
      </c>
      <c r="B191" s="1061" t="s">
        <v>6243</v>
      </c>
      <c r="C191" s="1062"/>
      <c r="D191"/>
      <c r="E191"/>
      <c r="F191" s="693" t="str">
        <f t="shared" si="29"/>
        <v/>
      </c>
      <c r="G191" s="16" t="str">
        <f t="shared" si="28"/>
        <v/>
      </c>
      <c r="I191" s="234">
        <f t="shared" si="34"/>
        <v>0</v>
      </c>
      <c r="J191" s="234">
        <f t="shared" si="35"/>
        <v>1</v>
      </c>
      <c r="K191" s="234">
        <f t="shared" si="36"/>
        <v>0</v>
      </c>
      <c r="L191" s="234">
        <f t="shared" si="37"/>
        <v>0</v>
      </c>
      <c r="M191" s="269"/>
      <c r="N191" s="230"/>
      <c r="O191" s="231"/>
      <c r="P191"/>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row>
    <row r="192" spans="1:72" s="229" customFormat="1" ht="15" customHeight="1" x14ac:dyDescent="0.25">
      <c r="A192" s="295"/>
      <c r="B192" s="218" t="s">
        <v>796</v>
      </c>
      <c r="C192" s="34"/>
      <c r="D192"/>
      <c r="E192"/>
      <c r="F192" s="693" t="str">
        <f t="shared" si="29"/>
        <v/>
      </c>
      <c r="G192" s="16" t="str">
        <f t="shared" si="28"/>
        <v/>
      </c>
      <c r="I192" s="234">
        <f t="shared" si="34"/>
        <v>0</v>
      </c>
      <c r="J192" s="234">
        <f t="shared" si="35"/>
        <v>0</v>
      </c>
      <c r="K192" s="234">
        <f t="shared" si="36"/>
        <v>0</v>
      </c>
      <c r="L192" s="234">
        <f t="shared" si="37"/>
        <v>1</v>
      </c>
      <c r="M192" s="295"/>
      <c r="N192" s="218"/>
      <c r="O192" s="34"/>
      <c r="P192"/>
      <c r="T192" s="229">
        <v>-1</v>
      </c>
      <c r="U192" s="229">
        <v>0</v>
      </c>
      <c r="V192" s="229">
        <v>1</v>
      </c>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row>
    <row r="193" spans="1:72" s="229" customFormat="1" ht="14.25" customHeight="1" x14ac:dyDescent="0.25">
      <c r="A193" s="295"/>
      <c r="B193" s="297" t="s">
        <v>797</v>
      </c>
      <c r="C193" s="219" t="s">
        <v>4539</v>
      </c>
      <c r="D193" t="s">
        <v>6837</v>
      </c>
      <c r="E193">
        <v>4</v>
      </c>
      <c r="F193" s="379">
        <f t="shared" si="29"/>
        <v>1</v>
      </c>
      <c r="G193" s="16">
        <f t="shared" si="28"/>
        <v>1</v>
      </c>
      <c r="H193" s="229">
        <v>1</v>
      </c>
      <c r="I193" s="234">
        <f t="shared" si="34"/>
        <v>0</v>
      </c>
      <c r="J193" s="234">
        <f t="shared" si="35"/>
        <v>0</v>
      </c>
      <c r="K193" s="234">
        <f t="shared" si="36"/>
        <v>1</v>
      </c>
      <c r="L193" s="234">
        <f t="shared" si="37"/>
        <v>0</v>
      </c>
      <c r="M193" s="295"/>
      <c r="N193" s="297"/>
      <c r="O193" s="219"/>
      <c r="P193"/>
      <c r="T193" s="229">
        <v>3</v>
      </c>
      <c r="U193" s="229">
        <v>0</v>
      </c>
      <c r="V193" s="229">
        <v>1</v>
      </c>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row>
    <row r="194" spans="1:72" s="229" customFormat="1" ht="11.25" customHeight="1" x14ac:dyDescent="0.25">
      <c r="A194" s="295"/>
      <c r="B194" s="297" t="s">
        <v>799</v>
      </c>
      <c r="C194" s="219" t="s">
        <v>4572</v>
      </c>
      <c r="D194" t="s">
        <v>6837</v>
      </c>
      <c r="E194">
        <v>4</v>
      </c>
      <c r="F194" s="693">
        <f t="shared" si="29"/>
        <v>1</v>
      </c>
      <c r="G194" s="16">
        <f t="shared" si="28"/>
        <v>1</v>
      </c>
      <c r="I194" s="234">
        <f t="shared" si="34"/>
        <v>0</v>
      </c>
      <c r="J194" s="234">
        <f t="shared" si="35"/>
        <v>1</v>
      </c>
      <c r="K194" s="234">
        <f t="shared" si="36"/>
        <v>0</v>
      </c>
      <c r="L194" s="234">
        <f t="shared" si="37"/>
        <v>0</v>
      </c>
      <c r="M194" s="295"/>
      <c r="N194" s="297"/>
      <c r="O194" s="219"/>
      <c r="P194"/>
      <c r="T194" s="229">
        <v>4</v>
      </c>
      <c r="U194" s="229">
        <v>0</v>
      </c>
      <c r="V194" s="229">
        <v>1</v>
      </c>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row>
    <row r="195" spans="1:72" s="229" customFormat="1" ht="12" customHeight="1" x14ac:dyDescent="0.25">
      <c r="A195" s="295"/>
      <c r="B195" s="297" t="s">
        <v>800</v>
      </c>
      <c r="C195" s="219" t="s">
        <v>4552</v>
      </c>
      <c r="D195" t="s">
        <v>6837</v>
      </c>
      <c r="E195">
        <v>4</v>
      </c>
      <c r="F195" s="693">
        <f t="shared" si="29"/>
        <v>1</v>
      </c>
      <c r="G195" s="16">
        <f t="shared" si="28"/>
        <v>1</v>
      </c>
      <c r="I195" s="234">
        <f t="shared" si="34"/>
        <v>0</v>
      </c>
      <c r="J195" s="234">
        <f t="shared" si="35"/>
        <v>1</v>
      </c>
      <c r="K195" s="234">
        <f t="shared" si="36"/>
        <v>0</v>
      </c>
      <c r="L195" s="234">
        <f t="shared" si="37"/>
        <v>0</v>
      </c>
      <c r="M195" s="295"/>
      <c r="N195" s="297"/>
      <c r="O195" s="219"/>
      <c r="P195"/>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row>
    <row r="196" spans="1:72" s="229" customFormat="1" ht="12" customHeight="1" x14ac:dyDescent="0.25">
      <c r="A196" s="295"/>
      <c r="B196" s="218" t="s">
        <v>4576</v>
      </c>
      <c r="C196" s="34"/>
      <c r="D196"/>
      <c r="E196"/>
      <c r="F196" s="693" t="str">
        <f t="shared" si="29"/>
        <v/>
      </c>
      <c r="G196" s="16" t="str">
        <f t="shared" si="28"/>
        <v/>
      </c>
      <c r="I196" s="234">
        <f t="shared" si="34"/>
        <v>0</v>
      </c>
      <c r="J196" s="234">
        <f t="shared" si="35"/>
        <v>0</v>
      </c>
      <c r="K196" s="234">
        <f t="shared" si="36"/>
        <v>0</v>
      </c>
      <c r="L196" s="234">
        <f t="shared" si="37"/>
        <v>1</v>
      </c>
      <c r="M196" s="295"/>
      <c r="N196" s="218"/>
      <c r="O196" s="34"/>
      <c r="P196"/>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row>
    <row r="197" spans="1:72" s="229" customFormat="1" ht="12" customHeight="1" x14ac:dyDescent="0.25">
      <c r="A197" s="295"/>
      <c r="B197" s="298" t="s">
        <v>807</v>
      </c>
      <c r="C197" s="219" t="s">
        <v>4566</v>
      </c>
      <c r="D197" t="s">
        <v>6838</v>
      </c>
      <c r="E197">
        <v>4</v>
      </c>
      <c r="F197" s="693">
        <f t="shared" si="29"/>
        <v>1</v>
      </c>
      <c r="G197" s="16">
        <f t="shared" si="28"/>
        <v>1</v>
      </c>
      <c r="H197" s="229">
        <v>1</v>
      </c>
      <c r="I197" s="234">
        <f t="shared" si="34"/>
        <v>1</v>
      </c>
      <c r="J197" s="234">
        <f t="shared" si="35"/>
        <v>0</v>
      </c>
      <c r="K197" s="234">
        <f t="shared" si="36"/>
        <v>0</v>
      </c>
      <c r="L197" s="234">
        <f t="shared" si="37"/>
        <v>0</v>
      </c>
      <c r="M197" s="295"/>
      <c r="N197" s="298"/>
      <c r="O197" s="219"/>
      <c r="P197"/>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row>
    <row r="198" spans="1:72" s="229" customFormat="1" ht="12" customHeight="1" x14ac:dyDescent="0.25">
      <c r="A198" s="295"/>
      <c r="B198" s="298" t="s">
        <v>808</v>
      </c>
      <c r="C198" s="219" t="s">
        <v>6781</v>
      </c>
      <c r="D198" t="s">
        <v>6838</v>
      </c>
      <c r="E198">
        <v>4</v>
      </c>
      <c r="F198" s="693">
        <f t="shared" si="29"/>
        <v>1</v>
      </c>
      <c r="G198" s="16">
        <f t="shared" si="28"/>
        <v>1</v>
      </c>
      <c r="H198" s="229">
        <v>1</v>
      </c>
      <c r="I198" s="234">
        <f t="shared" si="34"/>
        <v>1</v>
      </c>
      <c r="J198" s="234">
        <f t="shared" si="35"/>
        <v>0</v>
      </c>
      <c r="K198" s="234">
        <f t="shared" si="36"/>
        <v>0</v>
      </c>
      <c r="L198" s="234">
        <f t="shared" si="37"/>
        <v>0</v>
      </c>
      <c r="M198" s="295"/>
      <c r="N198" s="298"/>
      <c r="O198" s="219"/>
      <c r="P198"/>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row>
    <row r="199" spans="1:72" s="229" customFormat="1" ht="12" customHeight="1" x14ac:dyDescent="0.25">
      <c r="A199" s="295"/>
      <c r="B199" s="298" t="s">
        <v>810</v>
      </c>
      <c r="C199" s="219" t="s">
        <v>4573</v>
      </c>
      <c r="D199" t="s">
        <v>6838</v>
      </c>
      <c r="E199">
        <v>4</v>
      </c>
      <c r="F199" s="693">
        <f t="shared" si="29"/>
        <v>1</v>
      </c>
      <c r="G199" s="16">
        <f>IF(AND(LEN(B199)=4,NOT(D199="")),1,"")</f>
        <v>1</v>
      </c>
      <c r="H199" s="229">
        <v>1</v>
      </c>
      <c r="I199" s="234">
        <f t="shared" si="34"/>
        <v>1</v>
      </c>
      <c r="J199" s="234">
        <f t="shared" si="35"/>
        <v>0</v>
      </c>
      <c r="K199" s="234">
        <f t="shared" si="36"/>
        <v>0</v>
      </c>
      <c r="L199" s="234">
        <f t="shared" si="37"/>
        <v>0</v>
      </c>
      <c r="M199" s="295"/>
      <c r="N199" s="298"/>
      <c r="O199" s="219"/>
      <c r="P199"/>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row>
    <row r="200" spans="1:72" s="229" customFormat="1" ht="12" customHeight="1" x14ac:dyDescent="0.25">
      <c r="A200" s="295"/>
      <c r="B200" s="1279" t="s">
        <v>4577</v>
      </c>
      <c r="C200" s="1279"/>
      <c r="D200"/>
      <c r="E200"/>
      <c r="F200" s="693" t="str">
        <f t="shared" si="29"/>
        <v/>
      </c>
      <c r="G200" s="16" t="str">
        <f>IF(AND(LEN(B200)=4,NOT(D203="")),1,"")</f>
        <v/>
      </c>
      <c r="H200" s="886"/>
      <c r="I200" s="886"/>
      <c r="J200" s="886"/>
      <c r="K200" s="886"/>
      <c r="M200" s="295"/>
      <c r="N200" s="1279"/>
      <c r="O200" s="1279"/>
      <c r="P20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row>
    <row r="201" spans="1:72" s="228" customFormat="1" ht="12" customHeight="1" x14ac:dyDescent="0.25">
      <c r="A201" s="295"/>
      <c r="B201" s="297" t="s">
        <v>813</v>
      </c>
      <c r="C201" s="219" t="s">
        <v>83</v>
      </c>
      <c r="D201"/>
      <c r="E201" s="886"/>
      <c r="F201" s="886"/>
      <c r="G201" s="886"/>
      <c r="H201" s="229"/>
      <c r="I201" s="229" t="e">
        <f>SUM(I7:I200)</f>
        <v>#REF!</v>
      </c>
      <c r="J201" s="229" t="e">
        <f>SUM(J7:J200)</f>
        <v>#REF!</v>
      </c>
      <c r="K201" s="229" t="e">
        <f>SUM(K7:K200)</f>
        <v>#REF!</v>
      </c>
      <c r="L201" s="229" t="e">
        <f>SUM(L7:L200)</f>
        <v>#REF!</v>
      </c>
      <c r="M201" s="295"/>
      <c r="N201" s="297"/>
      <c r="O201" s="219"/>
      <c r="P201"/>
      <c r="Q201" s="229"/>
      <c r="R201" s="229"/>
      <c r="S201" s="229"/>
      <c r="T201" s="229"/>
      <c r="U201" s="229"/>
      <c r="V201" s="229"/>
      <c r="W201" s="229"/>
      <c r="X201" s="229"/>
      <c r="Y201" s="229"/>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row>
    <row r="202" spans="1:72" s="228" customFormat="1" ht="12" customHeight="1" x14ac:dyDescent="0.25">
      <c r="A202" s="295"/>
      <c r="B202" s="297" t="s">
        <v>815</v>
      </c>
      <c r="C202" s="219" t="s">
        <v>809</v>
      </c>
      <c r="D202"/>
      <c r="E202" s="378"/>
      <c r="F202" s="229"/>
      <c r="G202" s="228">
        <f>SUM(G16:G196)</f>
        <v>88</v>
      </c>
      <c r="H202" s="229"/>
      <c r="I202" s="229"/>
      <c r="J202" s="229"/>
      <c r="K202" s="229"/>
      <c r="L202" s="229"/>
      <c r="M202" s="295"/>
      <c r="N202" s="297"/>
      <c r="O202" s="219"/>
      <c r="P202"/>
      <c r="Q202" s="229"/>
      <c r="R202" s="229"/>
      <c r="S202" s="229"/>
      <c r="T202" s="229"/>
      <c r="U202" s="229"/>
      <c r="V202" s="229"/>
      <c r="W202" s="229"/>
      <c r="X202" s="229"/>
      <c r="Y202" s="229"/>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row>
    <row r="203" spans="1:72" s="228" customFormat="1" ht="12" customHeight="1" x14ac:dyDescent="0.25">
      <c r="A203" s="295"/>
      <c r="B203" s="248"/>
      <c r="C203" s="249" t="s">
        <v>2271</v>
      </c>
      <c r="D203"/>
      <c r="E203" s="378"/>
      <c r="F203" s="229"/>
      <c r="G203" s="229"/>
      <c r="H203" s="229"/>
      <c r="I203" s="229"/>
      <c r="J203" s="229"/>
      <c r="K203" s="229"/>
      <c r="L203" s="229"/>
      <c r="M203" s="295"/>
      <c r="N203" s="297"/>
      <c r="O203" s="219"/>
      <c r="P203"/>
      <c r="Q203" s="229"/>
      <c r="R203" s="229"/>
      <c r="S203" s="229"/>
      <c r="T203" s="229"/>
      <c r="U203" s="229"/>
      <c r="V203" s="229"/>
      <c r="W203" s="229"/>
      <c r="X203" s="229"/>
      <c r="Y203" s="229"/>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row>
    <row r="204" spans="1:72" s="228" customFormat="1" ht="12" customHeight="1" x14ac:dyDescent="0.25">
      <c r="A204" s="295"/>
      <c r="B204" s="248"/>
      <c r="C204" s="249"/>
      <c r="D204" s="886"/>
      <c r="E204" s="378"/>
      <c r="F204" s="229"/>
      <c r="G204" s="229"/>
      <c r="H204" s="229"/>
      <c r="I204" s="229"/>
      <c r="J204" s="229"/>
      <c r="K204" s="229"/>
      <c r="L204" s="229"/>
      <c r="M204" s="229"/>
      <c r="N204" s="229"/>
      <c r="O204" s="229"/>
      <c r="P204" s="886"/>
      <c r="Q204" s="229"/>
      <c r="R204" s="229"/>
      <c r="S204" s="229"/>
      <c r="T204" s="229"/>
      <c r="U204" s="229"/>
      <c r="V204" s="229"/>
      <c r="W204" s="229"/>
      <c r="X204" s="229"/>
      <c r="Y204" s="229"/>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row>
    <row r="205" spans="1:72" s="228" customFormat="1" ht="12" customHeight="1" x14ac:dyDescent="0.25">
      <c r="A205" s="295"/>
      <c r="B205" s="248"/>
      <c r="C205" s="249"/>
      <c r="D205" s="378">
        <f>SUM(F7:F200)</f>
        <v>151</v>
      </c>
      <c r="E205" s="378"/>
      <c r="F205" s="229"/>
      <c r="G205" s="229"/>
      <c r="H205" s="229"/>
      <c r="I205" s="229"/>
      <c r="J205" s="229"/>
      <c r="K205" s="229"/>
      <c r="L205" s="229"/>
      <c r="M205" s="229"/>
      <c r="N205" s="229"/>
      <c r="O205" s="229"/>
      <c r="P205" s="378"/>
      <c r="Q205" s="229"/>
      <c r="R205" s="229"/>
      <c r="S205" s="229"/>
      <c r="T205" s="229"/>
      <c r="U205" s="229"/>
      <c r="V205" s="229"/>
      <c r="W205" s="229"/>
      <c r="X205" s="229"/>
      <c r="Y205" s="229"/>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row>
    <row r="206" spans="1:72" s="228" customFormat="1" ht="12" customHeight="1" x14ac:dyDescent="0.25">
      <c r="A206" s="295"/>
      <c r="B206" s="248"/>
      <c r="C206" s="249"/>
      <c r="D206" s="499">
        <f>G202/D205</f>
        <v>0.58278145695364236</v>
      </c>
      <c r="E206" s="378"/>
      <c r="F206" s="229"/>
      <c r="G206" s="229"/>
      <c r="H206" s="229"/>
      <c r="I206" s="229"/>
      <c r="J206" s="229"/>
      <c r="K206" s="229"/>
      <c r="L206" s="229"/>
      <c r="M206" s="229"/>
      <c r="N206" s="229"/>
      <c r="O206" s="229"/>
      <c r="P206" s="499"/>
      <c r="Q206" s="229"/>
      <c r="R206" s="229"/>
      <c r="S206" s="229"/>
      <c r="T206" s="229"/>
      <c r="U206" s="229"/>
      <c r="V206" s="229"/>
      <c r="W206" s="229"/>
      <c r="X206" s="229"/>
      <c r="Y206" s="229"/>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row>
    <row r="207" spans="1:72" s="228" customFormat="1" ht="12" customHeight="1" x14ac:dyDescent="0.25">
      <c r="A207" s="295"/>
      <c r="B207" s="248"/>
      <c r="C207" s="249"/>
      <c r="E207" s="378"/>
      <c r="F207" s="229"/>
      <c r="G207" s="229"/>
      <c r="H207" s="229"/>
      <c r="I207" s="229"/>
      <c r="J207" s="229"/>
      <c r="K207" s="229"/>
      <c r="L207" s="229"/>
      <c r="M207" s="229"/>
      <c r="N207" s="229"/>
      <c r="O207" s="229"/>
      <c r="Q207" s="229"/>
      <c r="R207" s="229"/>
      <c r="S207" s="229"/>
      <c r="T207" s="229"/>
      <c r="U207" s="229"/>
      <c r="V207" s="229"/>
      <c r="W207" s="229"/>
      <c r="X207" s="229"/>
      <c r="Y207" s="229"/>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row>
    <row r="208" spans="1:72" s="228" customFormat="1" ht="12" customHeight="1" x14ac:dyDescent="0.25">
      <c r="A208" s="295"/>
      <c r="B208" s="248"/>
      <c r="C208" s="249"/>
      <c r="E208" s="378"/>
      <c r="F208" s="229"/>
      <c r="G208" s="229"/>
      <c r="H208" s="229"/>
      <c r="I208" s="229"/>
      <c r="J208" s="229"/>
      <c r="K208" s="229"/>
      <c r="L208" s="229"/>
      <c r="M208" s="229"/>
      <c r="N208" s="229"/>
      <c r="O208" s="229"/>
      <c r="Q208" s="229"/>
      <c r="R208" s="229"/>
      <c r="S208" s="229"/>
      <c r="T208" s="229"/>
      <c r="U208" s="229"/>
      <c r="V208" s="229"/>
      <c r="W208" s="229"/>
      <c r="X208" s="229"/>
      <c r="Y208" s="229"/>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row>
    <row r="209" spans="1:64" s="228" customFormat="1" ht="12" customHeight="1" x14ac:dyDescent="0.25">
      <c r="A209" s="295"/>
      <c r="B209" s="248"/>
      <c r="C209" s="249"/>
      <c r="E209" s="378"/>
      <c r="F209" s="229"/>
      <c r="G209" s="229"/>
      <c r="H209" s="229"/>
      <c r="I209" s="229"/>
      <c r="J209" s="229"/>
      <c r="K209" s="229"/>
      <c r="L209" s="229"/>
      <c r="M209" s="229"/>
      <c r="N209" s="229"/>
      <c r="O209" s="229"/>
      <c r="Q209" s="229"/>
      <c r="R209" s="229"/>
      <c r="S209" s="229"/>
      <c r="T209" s="229"/>
      <c r="U209" s="229"/>
      <c r="V209" s="229"/>
      <c r="W209" s="229"/>
      <c r="X209" s="229"/>
      <c r="Y209" s="229"/>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row>
    <row r="210" spans="1:64" s="228" customFormat="1" ht="12" customHeight="1" x14ac:dyDescent="0.25">
      <c r="A210" s="295"/>
      <c r="B210" s="248"/>
      <c r="C210" s="249"/>
      <c r="E210" s="378"/>
      <c r="F210" s="229"/>
      <c r="G210" s="229"/>
      <c r="H210" s="229"/>
      <c r="I210" s="229"/>
      <c r="J210" s="229"/>
      <c r="K210" s="229"/>
      <c r="L210" s="229"/>
      <c r="M210" s="229"/>
      <c r="N210" s="229"/>
      <c r="O210" s="229"/>
      <c r="Q210" s="229"/>
      <c r="R210" s="229"/>
      <c r="S210" s="229"/>
      <c r="T210" s="229"/>
      <c r="U210" s="229"/>
      <c r="V210" s="229"/>
      <c r="W210" s="229"/>
      <c r="X210" s="229"/>
      <c r="Y210" s="229"/>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row>
    <row r="211" spans="1:64" s="228" customFormat="1" ht="12" customHeight="1" x14ac:dyDescent="0.25">
      <c r="A211" s="295"/>
      <c r="B211" s="248"/>
      <c r="C211" s="249"/>
      <c r="E211" s="378"/>
      <c r="F211" s="229"/>
      <c r="G211" s="229"/>
      <c r="H211" s="229"/>
      <c r="I211" s="229"/>
      <c r="J211" s="229"/>
      <c r="K211" s="229"/>
      <c r="L211" s="229"/>
      <c r="M211" s="229"/>
      <c r="N211" s="229"/>
      <c r="O211" s="229"/>
      <c r="Q211" s="229"/>
      <c r="R211" s="229"/>
      <c r="S211" s="229"/>
      <c r="T211" s="229"/>
      <c r="U211" s="229"/>
      <c r="V211" s="229"/>
      <c r="W211" s="229"/>
      <c r="X211" s="229"/>
      <c r="Y211" s="229"/>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row>
    <row r="212" spans="1:64" s="228" customFormat="1" ht="12" customHeight="1" x14ac:dyDescent="0.25">
      <c r="A212" s="295"/>
      <c r="B212" s="248"/>
      <c r="C212" s="249"/>
      <c r="E212" s="378"/>
      <c r="F212" s="229"/>
      <c r="G212" s="229"/>
      <c r="H212" s="229"/>
      <c r="I212" s="229"/>
      <c r="J212" s="229"/>
      <c r="K212" s="229"/>
      <c r="L212" s="229"/>
      <c r="M212" s="229"/>
      <c r="N212" s="229"/>
      <c r="O212" s="229"/>
      <c r="Q212" s="229"/>
      <c r="R212" s="229"/>
      <c r="S212" s="229"/>
      <c r="T212" s="229"/>
      <c r="U212" s="229"/>
      <c r="V212" s="229"/>
      <c r="W212" s="229"/>
      <c r="X212" s="229"/>
      <c r="Y212" s="229"/>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row>
    <row r="213" spans="1:64" s="228" customFormat="1" ht="12" customHeight="1" x14ac:dyDescent="0.25">
      <c r="A213" s="295"/>
      <c r="B213" s="248"/>
      <c r="C213" s="249"/>
      <c r="E213" s="378"/>
      <c r="F213" s="229"/>
      <c r="G213" s="229"/>
      <c r="H213" s="229"/>
      <c r="I213" s="229"/>
      <c r="J213" s="229"/>
      <c r="K213" s="229"/>
      <c r="L213" s="229"/>
      <c r="M213" s="229"/>
      <c r="N213" s="229"/>
      <c r="O213" s="229"/>
      <c r="Q213" s="229"/>
      <c r="R213" s="229"/>
      <c r="S213" s="229"/>
      <c r="T213" s="229"/>
      <c r="U213" s="229"/>
      <c r="V213" s="229"/>
      <c r="W213" s="229"/>
      <c r="X213" s="229"/>
      <c r="Y213" s="229"/>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row>
    <row r="214" spans="1:64" s="228" customFormat="1" ht="12" customHeight="1" x14ac:dyDescent="0.25">
      <c r="A214" s="295"/>
      <c r="B214" s="248"/>
      <c r="C214" s="249"/>
      <c r="E214" s="378"/>
      <c r="F214" s="229"/>
      <c r="G214" s="229"/>
      <c r="H214" s="229"/>
      <c r="I214" s="229"/>
      <c r="J214" s="229"/>
      <c r="K214" s="229"/>
      <c r="L214" s="229"/>
      <c r="M214" s="229"/>
      <c r="N214" s="229"/>
      <c r="O214" s="229"/>
      <c r="Q214" s="229"/>
      <c r="R214" s="229"/>
      <c r="S214" s="229"/>
      <c r="T214" s="229"/>
      <c r="U214" s="229"/>
      <c r="V214" s="229"/>
      <c r="W214" s="229"/>
      <c r="X214" s="229"/>
      <c r="Y214" s="229"/>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row>
    <row r="215" spans="1:64" ht="12" customHeight="1" x14ac:dyDescent="0.25">
      <c r="Z215" s="50"/>
      <c r="AA215" s="50"/>
      <c r="AB215" s="50"/>
      <c r="AC215" s="50"/>
      <c r="AD215" s="50"/>
      <c r="AE215" s="50"/>
      <c r="AF215" s="50"/>
      <c r="AG215" s="50"/>
    </row>
    <row r="216" spans="1:64" ht="12" customHeight="1" x14ac:dyDescent="0.25">
      <c r="Z216" s="50"/>
      <c r="AA216" s="50"/>
      <c r="AB216" s="50"/>
      <c r="AC216" s="50"/>
      <c r="AD216" s="50"/>
      <c r="AE216" s="50"/>
      <c r="AF216" s="50"/>
      <c r="AG216" s="50"/>
    </row>
    <row r="217" spans="1:64" ht="12" customHeight="1" x14ac:dyDescent="0.25">
      <c r="Z217" s="50"/>
      <c r="AA217" s="50"/>
      <c r="AB217" s="50"/>
      <c r="AC217" s="50"/>
      <c r="AD217" s="50"/>
      <c r="AE217" s="50"/>
      <c r="AF217" s="50"/>
      <c r="AG217" s="50"/>
    </row>
    <row r="218" spans="1:64" ht="12" customHeight="1" x14ac:dyDescent="0.25">
      <c r="Z218" s="50"/>
      <c r="AA218" s="50"/>
      <c r="AB218" s="50"/>
      <c r="AC218" s="50"/>
      <c r="AD218" s="50"/>
      <c r="AE218" s="50"/>
      <c r="AF218" s="50"/>
      <c r="AG218" s="50"/>
    </row>
    <row r="219" spans="1:64" ht="12" customHeight="1" x14ac:dyDescent="0.25">
      <c r="Z219" s="50"/>
      <c r="AA219" s="50"/>
      <c r="AB219" s="50"/>
      <c r="AC219" s="50"/>
      <c r="AD219" s="50"/>
      <c r="AE219" s="50"/>
      <c r="AF219" s="50"/>
      <c r="AG219" s="50"/>
    </row>
    <row r="220" spans="1:64" ht="12" customHeight="1" x14ac:dyDescent="0.25">
      <c r="Z220" s="50"/>
      <c r="AA220" s="50"/>
      <c r="AB220" s="50"/>
      <c r="AC220" s="50"/>
      <c r="AD220" s="50"/>
      <c r="AE220" s="50"/>
      <c r="AF220" s="50"/>
      <c r="AG220" s="50"/>
    </row>
    <row r="221" spans="1:64" ht="12" customHeight="1" x14ac:dyDescent="0.25">
      <c r="Z221" s="50"/>
      <c r="AA221" s="50"/>
      <c r="AB221" s="50"/>
      <c r="AC221" s="50"/>
      <c r="AD221" s="50"/>
      <c r="AE221" s="50"/>
      <c r="AF221" s="50"/>
      <c r="AG221" s="50"/>
    </row>
    <row r="222" spans="1:64" ht="12" customHeight="1" x14ac:dyDescent="0.25">
      <c r="Z222" s="50"/>
      <c r="AA222" s="50"/>
      <c r="AB222" s="50"/>
      <c r="AC222" s="50"/>
      <c r="AD222" s="50"/>
      <c r="AE222" s="50"/>
      <c r="AF222" s="50"/>
      <c r="AG222" s="50"/>
    </row>
    <row r="223" spans="1:64" ht="12" customHeight="1" x14ac:dyDescent="0.25">
      <c r="Z223" s="50"/>
      <c r="AA223" s="50"/>
      <c r="AB223" s="50"/>
      <c r="AC223" s="50"/>
      <c r="AD223" s="50"/>
      <c r="AE223" s="50"/>
      <c r="AF223" s="50"/>
      <c r="AG223" s="50"/>
    </row>
    <row r="224" spans="1:64" ht="12" customHeight="1" x14ac:dyDescent="0.25">
      <c r="Z224" s="50"/>
      <c r="AA224" s="50"/>
      <c r="AB224" s="50"/>
      <c r="AC224" s="50"/>
      <c r="AD224" s="50"/>
      <c r="AE224" s="50"/>
      <c r="AF224" s="50"/>
      <c r="AG224" s="50"/>
    </row>
    <row r="225" spans="26:33" ht="12" customHeight="1" x14ac:dyDescent="0.25">
      <c r="Z225" s="50"/>
      <c r="AA225" s="50"/>
      <c r="AB225" s="50"/>
      <c r="AC225" s="50"/>
      <c r="AD225" s="50"/>
      <c r="AE225" s="50"/>
      <c r="AF225" s="50"/>
      <c r="AG225" s="50"/>
    </row>
    <row r="226" spans="26:33" ht="12" customHeight="1" x14ac:dyDescent="0.25">
      <c r="Z226" s="50"/>
      <c r="AA226" s="50"/>
      <c r="AB226" s="50"/>
      <c r="AC226" s="50"/>
      <c r="AD226" s="50"/>
      <c r="AE226" s="50"/>
      <c r="AF226" s="50"/>
      <c r="AG226" s="50"/>
    </row>
    <row r="227" spans="26:33" ht="12" customHeight="1" x14ac:dyDescent="0.25">
      <c r="Z227" s="50"/>
      <c r="AA227" s="50"/>
      <c r="AB227" s="50"/>
      <c r="AC227" s="50"/>
      <c r="AD227" s="50"/>
      <c r="AE227" s="50"/>
      <c r="AF227" s="50"/>
      <c r="AG227" s="50"/>
    </row>
    <row r="228" spans="26:33" ht="12" customHeight="1" x14ac:dyDescent="0.25">
      <c r="Z228" s="50"/>
      <c r="AA228" s="50"/>
      <c r="AB228" s="50"/>
      <c r="AC228" s="50"/>
      <c r="AD228" s="50"/>
      <c r="AE228" s="50"/>
      <c r="AF228" s="50"/>
      <c r="AG228" s="50"/>
    </row>
    <row r="229" spans="26:33" ht="12" customHeight="1" x14ac:dyDescent="0.25">
      <c r="Z229" s="50"/>
      <c r="AA229" s="50"/>
      <c r="AB229" s="50"/>
      <c r="AC229" s="50"/>
      <c r="AD229" s="50"/>
      <c r="AE229" s="50"/>
      <c r="AF229" s="50"/>
      <c r="AG229" s="50"/>
    </row>
    <row r="230" spans="26:33" ht="12" customHeight="1" x14ac:dyDescent="0.25">
      <c r="Z230" s="50"/>
      <c r="AA230" s="50"/>
      <c r="AB230" s="50"/>
      <c r="AC230" s="50"/>
      <c r="AD230" s="50"/>
      <c r="AE230" s="50"/>
      <c r="AF230" s="50"/>
      <c r="AG230" s="50"/>
    </row>
    <row r="231" spans="26:33" ht="12" customHeight="1" x14ac:dyDescent="0.25">
      <c r="Z231" s="50"/>
      <c r="AA231" s="50"/>
      <c r="AB231" s="50"/>
      <c r="AC231" s="50"/>
      <c r="AD231" s="50"/>
      <c r="AE231" s="50"/>
      <c r="AF231" s="50"/>
      <c r="AG231" s="50"/>
    </row>
    <row r="232" spans="26:33" ht="12" customHeight="1" x14ac:dyDescent="0.25">
      <c r="Z232" s="50"/>
      <c r="AA232" s="50"/>
      <c r="AB232" s="50"/>
      <c r="AC232" s="50"/>
      <c r="AD232" s="50"/>
      <c r="AE232" s="50"/>
      <c r="AF232" s="50"/>
      <c r="AG232" s="50"/>
    </row>
    <row r="233" spans="26:33" ht="12" customHeight="1" x14ac:dyDescent="0.25">
      <c r="Z233" s="50"/>
      <c r="AA233" s="50"/>
      <c r="AB233" s="50"/>
      <c r="AC233" s="50"/>
      <c r="AD233" s="50"/>
      <c r="AE233" s="50"/>
      <c r="AF233" s="50"/>
      <c r="AG233" s="50"/>
    </row>
    <row r="234" spans="26:33" ht="12" customHeight="1" x14ac:dyDescent="0.25">
      <c r="Z234" s="50"/>
      <c r="AA234" s="50"/>
      <c r="AB234" s="50"/>
      <c r="AC234" s="50"/>
      <c r="AD234" s="50"/>
      <c r="AE234" s="50"/>
      <c r="AF234" s="50"/>
      <c r="AG234" s="50"/>
    </row>
    <row r="235" spans="26:33" ht="12" customHeight="1" x14ac:dyDescent="0.25">
      <c r="Z235" s="50"/>
      <c r="AA235" s="50"/>
      <c r="AB235" s="50"/>
      <c r="AC235" s="50"/>
      <c r="AD235" s="50"/>
      <c r="AE235" s="50"/>
      <c r="AF235" s="50"/>
      <c r="AG235" s="50"/>
    </row>
    <row r="236" spans="26:33" ht="12" customHeight="1" x14ac:dyDescent="0.25">
      <c r="Z236" s="50"/>
      <c r="AA236" s="50"/>
      <c r="AB236" s="50"/>
      <c r="AC236" s="50"/>
      <c r="AD236" s="50"/>
      <c r="AE236" s="50"/>
      <c r="AF236" s="50"/>
      <c r="AG236" s="50"/>
    </row>
    <row r="237" spans="26:33" ht="12" customHeight="1" x14ac:dyDescent="0.25">
      <c r="Z237" s="50"/>
      <c r="AA237" s="50"/>
      <c r="AB237" s="50"/>
      <c r="AC237" s="50"/>
      <c r="AD237" s="50"/>
      <c r="AE237" s="50"/>
      <c r="AF237" s="50"/>
      <c r="AG237" s="50"/>
    </row>
    <row r="238" spans="26:33" ht="12" customHeight="1" x14ac:dyDescent="0.25">
      <c r="Z238" s="50"/>
      <c r="AA238" s="50"/>
      <c r="AB238" s="50"/>
      <c r="AC238" s="50"/>
      <c r="AD238" s="50"/>
      <c r="AE238" s="50"/>
      <c r="AF238" s="50"/>
      <c r="AG238" s="50"/>
    </row>
    <row r="239" spans="26:33" ht="12" customHeight="1" x14ac:dyDescent="0.25">
      <c r="Z239" s="50"/>
      <c r="AA239" s="50"/>
      <c r="AB239" s="50"/>
      <c r="AC239" s="50"/>
      <c r="AD239" s="50"/>
      <c r="AE239" s="50"/>
      <c r="AF239" s="50"/>
      <c r="AG239" s="50"/>
    </row>
    <row r="240" spans="26:33" ht="12" customHeight="1" x14ac:dyDescent="0.25">
      <c r="Z240" s="50"/>
      <c r="AA240" s="50"/>
      <c r="AB240" s="50"/>
      <c r="AC240" s="50"/>
      <c r="AD240" s="50"/>
      <c r="AE240" s="50"/>
      <c r="AF240" s="50"/>
      <c r="AG240" s="50"/>
    </row>
    <row r="241" spans="26:33" ht="12" customHeight="1" x14ac:dyDescent="0.25">
      <c r="Z241" s="50"/>
      <c r="AA241" s="50"/>
      <c r="AB241" s="50"/>
      <c r="AC241" s="50"/>
      <c r="AD241" s="50"/>
      <c r="AE241" s="50"/>
      <c r="AF241" s="50"/>
      <c r="AG241" s="50"/>
    </row>
    <row r="242" spans="26:33" ht="12" customHeight="1" x14ac:dyDescent="0.25">
      <c r="Z242" s="50"/>
      <c r="AA242" s="50"/>
      <c r="AB242" s="50"/>
      <c r="AC242" s="50"/>
      <c r="AD242" s="50"/>
      <c r="AE242" s="50"/>
      <c r="AF242" s="50"/>
      <c r="AG242" s="50"/>
    </row>
    <row r="243" spans="26:33" ht="12" customHeight="1" x14ac:dyDescent="0.25">
      <c r="Z243" s="50"/>
      <c r="AA243" s="50"/>
      <c r="AB243" s="50"/>
      <c r="AC243" s="50"/>
      <c r="AD243" s="50"/>
      <c r="AE243" s="50"/>
      <c r="AF243" s="50"/>
      <c r="AG243" s="50"/>
    </row>
    <row r="244" spans="26:33" ht="12" customHeight="1" x14ac:dyDescent="0.25">
      <c r="Z244" s="50"/>
      <c r="AA244" s="50"/>
      <c r="AB244" s="50"/>
      <c r="AC244" s="50"/>
      <c r="AD244" s="50"/>
      <c r="AE244" s="50"/>
      <c r="AF244" s="50"/>
      <c r="AG244" s="50"/>
    </row>
    <row r="245" spans="26:33" ht="12" customHeight="1" x14ac:dyDescent="0.25">
      <c r="Z245" s="50"/>
      <c r="AA245" s="50"/>
      <c r="AB245" s="50"/>
      <c r="AC245" s="50"/>
      <c r="AD245" s="50"/>
      <c r="AE245" s="50"/>
      <c r="AF245" s="50"/>
      <c r="AG245" s="50"/>
    </row>
    <row r="246" spans="26:33" ht="12" customHeight="1" x14ac:dyDescent="0.25">
      <c r="Z246" s="50"/>
      <c r="AA246" s="50"/>
      <c r="AB246" s="50"/>
      <c r="AC246" s="50"/>
      <c r="AD246" s="50"/>
      <c r="AE246" s="50"/>
      <c r="AF246" s="50"/>
      <c r="AG246" s="50"/>
    </row>
    <row r="247" spans="26:33" ht="12" customHeight="1" x14ac:dyDescent="0.25">
      <c r="Z247" s="50"/>
      <c r="AA247" s="50"/>
      <c r="AB247" s="50"/>
      <c r="AC247" s="50"/>
      <c r="AD247" s="50"/>
      <c r="AE247" s="50"/>
      <c r="AF247" s="50"/>
      <c r="AG247" s="50"/>
    </row>
    <row r="248" spans="26:33" ht="12" customHeight="1" x14ac:dyDescent="0.25">
      <c r="Z248" s="50"/>
      <c r="AA248" s="50"/>
      <c r="AB248" s="50"/>
      <c r="AC248" s="50"/>
      <c r="AD248" s="50"/>
      <c r="AE248" s="50"/>
      <c r="AF248" s="50"/>
      <c r="AG248" s="50"/>
    </row>
    <row r="249" spans="26:33" ht="12" customHeight="1" x14ac:dyDescent="0.25">
      <c r="Z249" s="50"/>
      <c r="AA249" s="50"/>
      <c r="AB249" s="50"/>
      <c r="AC249" s="50"/>
      <c r="AD249" s="50"/>
      <c r="AE249" s="50"/>
      <c r="AF249" s="50"/>
      <c r="AG249" s="50"/>
    </row>
    <row r="250" spans="26:33" ht="12" customHeight="1" x14ac:dyDescent="0.25">
      <c r="Z250" s="50"/>
      <c r="AA250" s="50"/>
      <c r="AB250" s="50"/>
      <c r="AC250" s="50"/>
      <c r="AD250" s="50"/>
      <c r="AE250" s="50"/>
      <c r="AF250" s="50"/>
      <c r="AG250" s="50"/>
    </row>
    <row r="251" spans="26:33" ht="12" customHeight="1" x14ac:dyDescent="0.25">
      <c r="Z251" s="50"/>
      <c r="AA251" s="50"/>
      <c r="AB251" s="50"/>
      <c r="AC251" s="50"/>
      <c r="AD251" s="50"/>
      <c r="AE251" s="50"/>
      <c r="AF251" s="50"/>
      <c r="AG251" s="50"/>
    </row>
    <row r="252" spans="26:33" ht="12" customHeight="1" x14ac:dyDescent="0.25">
      <c r="Z252" s="50"/>
      <c r="AA252" s="50"/>
      <c r="AB252" s="50"/>
      <c r="AC252" s="50"/>
      <c r="AD252" s="50"/>
      <c r="AE252" s="50"/>
      <c r="AF252" s="50"/>
      <c r="AG252" s="50"/>
    </row>
    <row r="253" spans="26:33" ht="12" customHeight="1" x14ac:dyDescent="0.25">
      <c r="Z253" s="50"/>
      <c r="AA253" s="50"/>
      <c r="AB253" s="50"/>
      <c r="AC253" s="50"/>
      <c r="AD253" s="50"/>
      <c r="AE253" s="50"/>
      <c r="AF253" s="50"/>
      <c r="AG253" s="50"/>
    </row>
    <row r="254" spans="26:33" ht="12" customHeight="1" x14ac:dyDescent="0.25">
      <c r="Z254" s="50"/>
      <c r="AA254" s="50"/>
      <c r="AB254" s="50"/>
      <c r="AC254" s="50"/>
      <c r="AD254" s="50"/>
      <c r="AE254" s="50"/>
      <c r="AF254" s="50"/>
      <c r="AG254" s="50"/>
    </row>
    <row r="255" spans="26:33" ht="12" customHeight="1" x14ac:dyDescent="0.25">
      <c r="Z255" s="50"/>
      <c r="AA255" s="50"/>
      <c r="AB255" s="50"/>
      <c r="AC255" s="50"/>
      <c r="AD255" s="50"/>
      <c r="AE255" s="50"/>
      <c r="AF255" s="50"/>
      <c r="AG255" s="50"/>
    </row>
    <row r="256" spans="26:33" ht="12" customHeight="1" x14ac:dyDescent="0.25">
      <c r="Z256" s="50"/>
      <c r="AA256" s="50"/>
      <c r="AB256" s="50"/>
      <c r="AC256" s="50"/>
      <c r="AD256" s="50"/>
      <c r="AE256" s="50"/>
      <c r="AF256" s="50"/>
      <c r="AG256" s="50"/>
    </row>
    <row r="257" spans="26:33" ht="12" customHeight="1" x14ac:dyDescent="0.25">
      <c r="Z257" s="50"/>
      <c r="AA257" s="50"/>
      <c r="AB257" s="50"/>
      <c r="AC257" s="50"/>
      <c r="AD257" s="50"/>
      <c r="AE257" s="50"/>
      <c r="AF257" s="50"/>
      <c r="AG257" s="50"/>
    </row>
    <row r="258" spans="26:33" ht="12" customHeight="1" x14ac:dyDescent="0.25">
      <c r="Z258" s="50"/>
      <c r="AA258" s="50"/>
      <c r="AB258" s="50"/>
      <c r="AC258" s="50"/>
      <c r="AD258" s="50"/>
      <c r="AE258" s="50"/>
      <c r="AF258" s="50"/>
      <c r="AG258" s="50"/>
    </row>
    <row r="259" spans="26:33" ht="12" customHeight="1" x14ac:dyDescent="0.25">
      <c r="Z259" s="50"/>
      <c r="AA259" s="50"/>
      <c r="AB259" s="50"/>
      <c r="AC259" s="50"/>
      <c r="AD259" s="50"/>
      <c r="AE259" s="50"/>
      <c r="AF259" s="50"/>
      <c r="AG259" s="50"/>
    </row>
    <row r="260" spans="26:33" ht="12" customHeight="1" x14ac:dyDescent="0.25">
      <c r="Z260" s="50"/>
      <c r="AA260" s="50"/>
      <c r="AB260" s="50"/>
      <c r="AC260" s="50"/>
      <c r="AD260" s="50"/>
      <c r="AE260" s="50"/>
      <c r="AF260" s="50"/>
      <c r="AG260" s="50"/>
    </row>
    <row r="261" spans="26:33" ht="12" customHeight="1" x14ac:dyDescent="0.25">
      <c r="Z261" s="50"/>
      <c r="AA261" s="50"/>
      <c r="AB261" s="50"/>
      <c r="AC261" s="50"/>
      <c r="AD261" s="50"/>
      <c r="AE261" s="50"/>
      <c r="AF261" s="50"/>
      <c r="AG261" s="50"/>
    </row>
    <row r="262" spans="26:33" ht="12" customHeight="1" x14ac:dyDescent="0.25">
      <c r="Z262" s="50"/>
      <c r="AA262" s="50"/>
      <c r="AB262" s="50"/>
      <c r="AC262" s="50"/>
      <c r="AD262" s="50"/>
      <c r="AE262" s="50"/>
      <c r="AF262" s="50"/>
      <c r="AG262" s="50"/>
    </row>
    <row r="263" spans="26:33" ht="12" customHeight="1" x14ac:dyDescent="0.25">
      <c r="Z263" s="50"/>
      <c r="AA263" s="50"/>
      <c r="AB263" s="50"/>
      <c r="AC263" s="50"/>
      <c r="AD263" s="50"/>
      <c r="AE263" s="50"/>
      <c r="AF263" s="50"/>
      <c r="AG263" s="50"/>
    </row>
    <row r="264" spans="26:33" ht="12" customHeight="1" x14ac:dyDescent="0.25">
      <c r="Z264" s="50"/>
      <c r="AA264" s="50"/>
      <c r="AB264" s="50"/>
      <c r="AC264" s="50"/>
      <c r="AD264" s="50"/>
      <c r="AE264" s="50"/>
      <c r="AF264" s="50"/>
      <c r="AG264" s="50"/>
    </row>
    <row r="265" spans="26:33" ht="12" customHeight="1" x14ac:dyDescent="0.25">
      <c r="Z265" s="50"/>
      <c r="AA265" s="50"/>
      <c r="AB265" s="50"/>
      <c r="AC265" s="50"/>
      <c r="AD265" s="50"/>
      <c r="AE265" s="50"/>
      <c r="AF265" s="50"/>
      <c r="AG265" s="50"/>
    </row>
    <row r="266" spans="26:33" ht="12" customHeight="1" x14ac:dyDescent="0.25">
      <c r="Z266" s="50"/>
      <c r="AA266" s="50"/>
      <c r="AB266" s="50"/>
      <c r="AC266" s="50"/>
      <c r="AD266" s="50"/>
      <c r="AE266" s="50"/>
      <c r="AF266" s="50"/>
      <c r="AG266" s="50"/>
    </row>
    <row r="267" spans="26:33" ht="12" customHeight="1" x14ac:dyDescent="0.25">
      <c r="Z267" s="50"/>
      <c r="AA267" s="50"/>
      <c r="AB267" s="50"/>
      <c r="AC267" s="50"/>
      <c r="AD267" s="50"/>
      <c r="AE267" s="50"/>
      <c r="AF267" s="50"/>
      <c r="AG267" s="50"/>
    </row>
    <row r="268" spans="26:33" ht="12" customHeight="1" x14ac:dyDescent="0.25">
      <c r="Z268" s="50"/>
      <c r="AA268" s="50"/>
      <c r="AB268" s="50"/>
      <c r="AC268" s="50"/>
      <c r="AD268" s="50"/>
      <c r="AE268" s="50"/>
      <c r="AF268" s="50"/>
      <c r="AG268" s="50"/>
    </row>
    <row r="269" spans="26:33" ht="12" customHeight="1" x14ac:dyDescent="0.25">
      <c r="Z269" s="50"/>
      <c r="AA269" s="50"/>
      <c r="AB269" s="50"/>
      <c r="AC269" s="50"/>
      <c r="AD269" s="50"/>
      <c r="AE269" s="50"/>
      <c r="AF269" s="50"/>
      <c r="AG269" s="50"/>
    </row>
    <row r="270" spans="26:33" ht="12" customHeight="1" x14ac:dyDescent="0.25">
      <c r="Z270" s="50"/>
      <c r="AA270" s="50"/>
      <c r="AB270" s="50"/>
      <c r="AC270" s="50"/>
      <c r="AD270" s="50"/>
      <c r="AE270" s="50"/>
      <c r="AF270" s="50"/>
      <c r="AG270" s="50"/>
    </row>
    <row r="271" spans="26:33" ht="12" customHeight="1" x14ac:dyDescent="0.25">
      <c r="Z271" s="50"/>
      <c r="AA271" s="50"/>
      <c r="AB271" s="50"/>
      <c r="AC271" s="50"/>
      <c r="AD271" s="50"/>
      <c r="AE271" s="50"/>
      <c r="AF271" s="50"/>
      <c r="AG271" s="50"/>
    </row>
    <row r="272" spans="26:33" ht="12" customHeight="1" x14ac:dyDescent="0.25">
      <c r="Z272" s="50"/>
      <c r="AA272" s="50"/>
      <c r="AB272" s="50"/>
      <c r="AC272" s="50"/>
      <c r="AD272" s="50"/>
      <c r="AE272" s="50"/>
      <c r="AF272" s="50"/>
      <c r="AG272" s="50"/>
    </row>
    <row r="273" spans="26:33" ht="12" customHeight="1" x14ac:dyDescent="0.25">
      <c r="Z273" s="50"/>
      <c r="AA273" s="50"/>
      <c r="AB273" s="50"/>
      <c r="AC273" s="50"/>
      <c r="AD273" s="50"/>
      <c r="AE273" s="50"/>
      <c r="AF273" s="50"/>
      <c r="AG273" s="50"/>
    </row>
    <row r="274" spans="26:33" ht="12" customHeight="1" x14ac:dyDescent="0.25">
      <c r="Z274" s="50"/>
      <c r="AA274" s="50"/>
      <c r="AB274" s="50"/>
      <c r="AC274" s="50"/>
      <c r="AD274" s="50"/>
      <c r="AE274" s="50"/>
      <c r="AF274" s="50"/>
      <c r="AG274" s="50"/>
    </row>
    <row r="275" spans="26:33" ht="12" customHeight="1" x14ac:dyDescent="0.25">
      <c r="Z275" s="50"/>
      <c r="AA275" s="50"/>
      <c r="AB275" s="50"/>
      <c r="AC275" s="50"/>
      <c r="AD275" s="50"/>
      <c r="AE275" s="50"/>
      <c r="AF275" s="50"/>
      <c r="AG275" s="50"/>
    </row>
    <row r="276" spans="26:33" ht="12" customHeight="1" x14ac:dyDescent="0.25">
      <c r="Z276" s="50"/>
      <c r="AA276" s="50"/>
      <c r="AB276" s="50"/>
      <c r="AC276" s="50"/>
      <c r="AD276" s="50"/>
      <c r="AE276" s="50"/>
      <c r="AF276" s="50"/>
      <c r="AG276" s="50"/>
    </row>
    <row r="277" spans="26:33" ht="12" customHeight="1" x14ac:dyDescent="0.25">
      <c r="Z277" s="50"/>
      <c r="AA277" s="50"/>
      <c r="AB277" s="50"/>
      <c r="AC277" s="50"/>
      <c r="AD277" s="50"/>
      <c r="AE277" s="50"/>
      <c r="AF277" s="50"/>
      <c r="AG277" s="50"/>
    </row>
    <row r="278" spans="26:33" ht="12" customHeight="1" x14ac:dyDescent="0.25">
      <c r="Z278" s="50"/>
      <c r="AA278" s="50"/>
      <c r="AB278" s="50"/>
      <c r="AC278" s="50"/>
      <c r="AD278" s="50"/>
      <c r="AE278" s="50"/>
      <c r="AF278" s="50"/>
      <c r="AG278" s="50"/>
    </row>
    <row r="279" spans="26:33" ht="12" customHeight="1" x14ac:dyDescent="0.25">
      <c r="Z279" s="50"/>
      <c r="AA279" s="50"/>
      <c r="AB279" s="50"/>
      <c r="AC279" s="50"/>
      <c r="AD279" s="50"/>
      <c r="AE279" s="50"/>
      <c r="AF279" s="50"/>
      <c r="AG279" s="50"/>
    </row>
    <row r="280" spans="26:33" ht="12" customHeight="1" x14ac:dyDescent="0.25">
      <c r="Z280" s="50"/>
      <c r="AA280" s="50"/>
      <c r="AB280" s="50"/>
      <c r="AC280" s="50"/>
      <c r="AD280" s="50"/>
      <c r="AE280" s="50"/>
      <c r="AF280" s="50"/>
      <c r="AG280" s="50"/>
    </row>
    <row r="281" spans="26:33" ht="12" customHeight="1" x14ac:dyDescent="0.25">
      <c r="Z281" s="50"/>
      <c r="AA281" s="50"/>
      <c r="AB281" s="50"/>
      <c r="AC281" s="50"/>
      <c r="AD281" s="50"/>
      <c r="AE281" s="50"/>
      <c r="AF281" s="50"/>
      <c r="AG281" s="50"/>
    </row>
    <row r="282" spans="26:33" ht="12" customHeight="1" x14ac:dyDescent="0.25">
      <c r="Z282" s="50"/>
      <c r="AA282" s="50"/>
      <c r="AB282" s="50"/>
      <c r="AC282" s="50"/>
      <c r="AD282" s="50"/>
      <c r="AE282" s="50"/>
      <c r="AF282" s="50"/>
      <c r="AG282" s="50"/>
    </row>
    <row r="283" spans="26:33" ht="12" customHeight="1" x14ac:dyDescent="0.25">
      <c r="Z283" s="50"/>
      <c r="AA283" s="50"/>
      <c r="AB283" s="50"/>
      <c r="AC283" s="50"/>
      <c r="AD283" s="50"/>
      <c r="AE283" s="50"/>
      <c r="AF283" s="50"/>
      <c r="AG283" s="50"/>
    </row>
    <row r="284" spans="26:33" ht="12" customHeight="1" x14ac:dyDescent="0.25">
      <c r="Z284" s="50"/>
      <c r="AA284" s="50"/>
      <c r="AB284" s="50"/>
      <c r="AC284" s="50"/>
      <c r="AD284" s="50"/>
      <c r="AE284" s="50"/>
      <c r="AF284" s="50"/>
      <c r="AG284" s="50"/>
    </row>
    <row r="285" spans="26:33" ht="12" customHeight="1" x14ac:dyDescent="0.25">
      <c r="Z285" s="50"/>
      <c r="AA285" s="50"/>
      <c r="AB285" s="50"/>
      <c r="AC285" s="50"/>
      <c r="AD285" s="50"/>
      <c r="AE285" s="50"/>
      <c r="AF285" s="50"/>
      <c r="AG285" s="50"/>
    </row>
    <row r="286" spans="26:33" ht="12" customHeight="1" x14ac:dyDescent="0.25">
      <c r="Z286" s="50"/>
      <c r="AA286" s="50"/>
      <c r="AB286" s="50"/>
      <c r="AC286" s="50"/>
      <c r="AD286" s="50"/>
      <c r="AE286" s="50"/>
      <c r="AF286" s="50"/>
      <c r="AG286" s="50"/>
    </row>
    <row r="287" spans="26:33" ht="12" customHeight="1" x14ac:dyDescent="0.25">
      <c r="Z287" s="50"/>
      <c r="AA287" s="50"/>
      <c r="AB287" s="50"/>
      <c r="AC287" s="50"/>
      <c r="AD287" s="50"/>
      <c r="AE287" s="50"/>
      <c r="AF287" s="50"/>
      <c r="AG287" s="50"/>
    </row>
    <row r="288" spans="26:33" ht="12" customHeight="1" x14ac:dyDescent="0.25">
      <c r="Z288" s="50"/>
      <c r="AA288" s="50"/>
      <c r="AB288" s="50"/>
      <c r="AC288" s="50"/>
      <c r="AD288" s="50"/>
      <c r="AE288" s="50"/>
      <c r="AF288" s="50"/>
      <c r="AG288" s="50"/>
    </row>
    <row r="289" spans="26:33" ht="12" customHeight="1" x14ac:dyDescent="0.25">
      <c r="Z289" s="50"/>
      <c r="AA289" s="50"/>
      <c r="AB289" s="50"/>
      <c r="AC289" s="50"/>
      <c r="AD289" s="50"/>
      <c r="AE289" s="50"/>
      <c r="AF289" s="50"/>
      <c r="AG289" s="50"/>
    </row>
    <row r="290" spans="26:33" ht="12" customHeight="1" x14ac:dyDescent="0.25">
      <c r="Z290" s="50"/>
      <c r="AA290" s="50"/>
      <c r="AB290" s="50"/>
      <c r="AC290" s="50"/>
      <c r="AD290" s="50"/>
      <c r="AE290" s="50"/>
      <c r="AF290" s="50"/>
      <c r="AG290" s="50"/>
    </row>
    <row r="291" spans="26:33" ht="12" customHeight="1" x14ac:dyDescent="0.25">
      <c r="Z291" s="50"/>
      <c r="AA291" s="50"/>
      <c r="AB291" s="50"/>
      <c r="AC291" s="50"/>
      <c r="AD291" s="50"/>
      <c r="AE291" s="50"/>
      <c r="AF291" s="50"/>
      <c r="AG291" s="50"/>
    </row>
    <row r="292" spans="26:33" ht="12" customHeight="1" x14ac:dyDescent="0.25">
      <c r="Z292" s="50"/>
      <c r="AA292" s="50"/>
      <c r="AB292" s="50"/>
      <c r="AC292" s="50"/>
      <c r="AD292" s="50"/>
      <c r="AE292" s="50"/>
      <c r="AF292" s="50"/>
      <c r="AG292" s="50"/>
    </row>
    <row r="293" spans="26:33" ht="12" customHeight="1" x14ac:dyDescent="0.25">
      <c r="Z293" s="50"/>
      <c r="AA293" s="50"/>
      <c r="AB293" s="50"/>
      <c r="AC293" s="50"/>
      <c r="AD293" s="50"/>
      <c r="AE293" s="50"/>
      <c r="AF293" s="50"/>
      <c r="AG293" s="50"/>
    </row>
    <row r="294" spans="26:33" ht="12" customHeight="1" x14ac:dyDescent="0.25">
      <c r="Z294" s="50"/>
      <c r="AA294" s="50"/>
      <c r="AB294" s="50"/>
      <c r="AC294" s="50"/>
      <c r="AD294" s="50"/>
      <c r="AE294" s="50"/>
      <c r="AF294" s="50"/>
      <c r="AG294" s="50"/>
    </row>
    <row r="295" spans="26:33" ht="12" customHeight="1" x14ac:dyDescent="0.25">
      <c r="Z295" s="50"/>
      <c r="AA295" s="50"/>
      <c r="AB295" s="50"/>
      <c r="AC295" s="50"/>
      <c r="AD295" s="50"/>
      <c r="AE295" s="50"/>
      <c r="AF295" s="50"/>
      <c r="AG295" s="50"/>
    </row>
    <row r="296" spans="26:33" ht="12" customHeight="1" x14ac:dyDescent="0.25">
      <c r="Z296" s="50"/>
      <c r="AA296" s="50"/>
      <c r="AB296" s="50"/>
      <c r="AC296" s="50"/>
      <c r="AD296" s="50"/>
      <c r="AE296" s="50"/>
      <c r="AF296" s="50"/>
      <c r="AG296" s="50"/>
    </row>
    <row r="297" spans="26:33" ht="12" customHeight="1" x14ac:dyDescent="0.25">
      <c r="Z297" s="50"/>
      <c r="AA297" s="50"/>
      <c r="AB297" s="50"/>
      <c r="AC297" s="50"/>
      <c r="AD297" s="50"/>
      <c r="AE297" s="50"/>
      <c r="AF297" s="50"/>
      <c r="AG297" s="50"/>
    </row>
    <row r="298" spans="26:33" ht="12" customHeight="1" x14ac:dyDescent="0.25">
      <c r="Z298" s="50"/>
      <c r="AA298" s="50"/>
      <c r="AB298" s="50"/>
      <c r="AC298" s="50"/>
      <c r="AD298" s="50"/>
      <c r="AE298" s="50"/>
      <c r="AF298" s="50"/>
      <c r="AG298" s="50"/>
    </row>
    <row r="299" spans="26:33" ht="12" customHeight="1" x14ac:dyDescent="0.25">
      <c r="Z299" s="50"/>
      <c r="AA299" s="50"/>
      <c r="AB299" s="50"/>
      <c r="AC299" s="50"/>
      <c r="AD299" s="50"/>
      <c r="AE299" s="50"/>
      <c r="AF299" s="50"/>
      <c r="AG299" s="50"/>
    </row>
    <row r="300" spans="26:33" ht="12" customHeight="1" x14ac:dyDescent="0.25">
      <c r="Z300" s="50"/>
      <c r="AA300" s="50"/>
      <c r="AB300" s="50"/>
      <c r="AC300" s="50"/>
      <c r="AD300" s="50"/>
      <c r="AE300" s="50"/>
      <c r="AF300" s="50"/>
      <c r="AG300" s="50"/>
    </row>
    <row r="301" spans="26:33" ht="12" customHeight="1" x14ac:dyDescent="0.25">
      <c r="Z301" s="50"/>
      <c r="AA301" s="50"/>
      <c r="AB301" s="50"/>
      <c r="AC301" s="50"/>
      <c r="AD301" s="50"/>
      <c r="AE301" s="50"/>
      <c r="AF301" s="50"/>
      <c r="AG301" s="50"/>
    </row>
    <row r="302" spans="26:33" ht="12" customHeight="1" x14ac:dyDescent="0.25">
      <c r="Z302" s="50"/>
      <c r="AA302" s="50"/>
      <c r="AB302" s="50"/>
      <c r="AC302" s="50"/>
      <c r="AD302" s="50"/>
      <c r="AE302" s="50"/>
      <c r="AF302" s="50"/>
      <c r="AG302" s="50"/>
    </row>
    <row r="303" spans="26:33" ht="12" customHeight="1" x14ac:dyDescent="0.25">
      <c r="Z303" s="50"/>
      <c r="AA303" s="50"/>
      <c r="AB303" s="50"/>
      <c r="AC303" s="50"/>
      <c r="AD303" s="50"/>
      <c r="AE303" s="50"/>
      <c r="AF303" s="50"/>
      <c r="AG303" s="50"/>
    </row>
    <row r="304" spans="26:33" ht="12" customHeight="1" x14ac:dyDescent="0.25">
      <c r="Z304" s="50"/>
      <c r="AA304" s="50"/>
      <c r="AB304" s="50"/>
      <c r="AC304" s="50"/>
      <c r="AD304" s="50"/>
      <c r="AE304" s="50"/>
      <c r="AF304" s="50"/>
      <c r="AG304" s="50"/>
    </row>
    <row r="305" spans="26:33" ht="12" customHeight="1" x14ac:dyDescent="0.25">
      <c r="Z305" s="50"/>
      <c r="AA305" s="50"/>
      <c r="AB305" s="50"/>
      <c r="AC305" s="50"/>
      <c r="AD305" s="50"/>
      <c r="AE305" s="50"/>
      <c r="AF305" s="50"/>
      <c r="AG305" s="50"/>
    </row>
    <row r="306" spans="26:33" ht="12" customHeight="1" x14ac:dyDescent="0.25">
      <c r="Z306" s="50"/>
      <c r="AA306" s="50"/>
      <c r="AB306" s="50"/>
      <c r="AC306" s="50"/>
      <c r="AD306" s="50"/>
      <c r="AE306" s="50"/>
      <c r="AF306" s="50"/>
      <c r="AG306" s="50"/>
    </row>
    <row r="307" spans="26:33" ht="12" customHeight="1" x14ac:dyDescent="0.25">
      <c r="Z307" s="50"/>
      <c r="AA307" s="50"/>
      <c r="AB307" s="50"/>
      <c r="AC307" s="50"/>
      <c r="AD307" s="50"/>
      <c r="AE307" s="50"/>
      <c r="AF307" s="50"/>
      <c r="AG307" s="50"/>
    </row>
    <row r="308" spans="26:33" ht="12" customHeight="1" x14ac:dyDescent="0.25">
      <c r="Z308" s="50"/>
      <c r="AA308" s="50"/>
      <c r="AB308" s="50"/>
      <c r="AC308" s="50"/>
      <c r="AD308" s="50"/>
      <c r="AE308" s="50"/>
      <c r="AF308" s="50"/>
      <c r="AG308" s="50"/>
    </row>
    <row r="309" spans="26:33" ht="12" customHeight="1" x14ac:dyDescent="0.25">
      <c r="Z309" s="50"/>
      <c r="AA309" s="50"/>
      <c r="AB309" s="50"/>
      <c r="AC309" s="50"/>
      <c r="AD309" s="50"/>
      <c r="AE309" s="50"/>
      <c r="AF309" s="50"/>
      <c r="AG309" s="50"/>
    </row>
    <row r="310" spans="26:33" ht="12" customHeight="1" x14ac:dyDescent="0.25">
      <c r="Z310" s="50"/>
      <c r="AA310" s="50"/>
      <c r="AB310" s="50"/>
      <c r="AC310" s="50"/>
      <c r="AD310" s="50"/>
      <c r="AE310" s="50"/>
      <c r="AF310" s="50"/>
      <c r="AG310" s="50"/>
    </row>
    <row r="311" spans="26:33" ht="12" customHeight="1" x14ac:dyDescent="0.25">
      <c r="Z311" s="50"/>
      <c r="AA311" s="50"/>
      <c r="AB311" s="50"/>
      <c r="AC311" s="50"/>
      <c r="AD311" s="50"/>
      <c r="AE311" s="50"/>
      <c r="AF311" s="50"/>
      <c r="AG311" s="50"/>
    </row>
    <row r="312" spans="26:33" ht="12" customHeight="1" x14ac:dyDescent="0.25">
      <c r="Z312" s="50"/>
      <c r="AA312" s="50"/>
      <c r="AB312" s="50"/>
      <c r="AC312" s="50"/>
      <c r="AD312" s="50"/>
      <c r="AE312" s="50"/>
      <c r="AF312" s="50"/>
      <c r="AG312" s="50"/>
    </row>
    <row r="313" spans="26:33" ht="12" customHeight="1" x14ac:dyDescent="0.25">
      <c r="Z313" s="50"/>
      <c r="AA313" s="50"/>
      <c r="AB313" s="50"/>
      <c r="AC313" s="50"/>
      <c r="AD313" s="50"/>
      <c r="AE313" s="50"/>
      <c r="AF313" s="50"/>
      <c r="AG313" s="50"/>
    </row>
    <row r="314" spans="26:33" ht="12" customHeight="1" x14ac:dyDescent="0.25">
      <c r="Z314" s="50"/>
      <c r="AA314" s="50"/>
      <c r="AB314" s="50"/>
      <c r="AC314" s="50"/>
      <c r="AD314" s="50"/>
      <c r="AE314" s="50"/>
      <c r="AF314" s="50"/>
      <c r="AG314" s="50"/>
    </row>
    <row r="315" spans="26:33" ht="12" customHeight="1" x14ac:dyDescent="0.25">
      <c r="Z315" s="50"/>
      <c r="AA315" s="50"/>
      <c r="AB315" s="50"/>
      <c r="AC315" s="50"/>
      <c r="AD315" s="50"/>
      <c r="AE315" s="50"/>
      <c r="AF315" s="50"/>
      <c r="AG315" s="50"/>
    </row>
    <row r="316" spans="26:33" ht="12" customHeight="1" x14ac:dyDescent="0.25">
      <c r="Z316" s="50"/>
      <c r="AA316" s="50"/>
      <c r="AB316" s="50"/>
      <c r="AC316" s="50"/>
      <c r="AD316" s="50"/>
      <c r="AE316" s="50"/>
      <c r="AF316" s="50"/>
      <c r="AG316" s="50"/>
    </row>
    <row r="317" spans="26:33" ht="12" customHeight="1" x14ac:dyDescent="0.25">
      <c r="Z317" s="50"/>
      <c r="AA317" s="50"/>
      <c r="AB317" s="50"/>
      <c r="AC317" s="50"/>
      <c r="AD317" s="50"/>
      <c r="AE317" s="50"/>
      <c r="AF317" s="50"/>
      <c r="AG317" s="50"/>
    </row>
    <row r="318" spans="26:33" ht="12" customHeight="1" x14ac:dyDescent="0.25">
      <c r="Z318" s="50"/>
      <c r="AA318" s="50"/>
      <c r="AB318" s="50"/>
      <c r="AC318" s="50"/>
      <c r="AD318" s="50"/>
      <c r="AE318" s="50"/>
      <c r="AF318" s="50"/>
      <c r="AG318" s="50"/>
    </row>
    <row r="319" spans="26:33" ht="12" customHeight="1" x14ac:dyDescent="0.25">
      <c r="Z319" s="50"/>
      <c r="AA319" s="50"/>
      <c r="AB319" s="50"/>
      <c r="AC319" s="50"/>
      <c r="AD319" s="50"/>
      <c r="AE319" s="50"/>
      <c r="AF319" s="50"/>
      <c r="AG319" s="50"/>
    </row>
    <row r="320" spans="26:33" ht="12" customHeight="1" x14ac:dyDescent="0.25">
      <c r="Z320" s="50"/>
      <c r="AA320" s="50"/>
      <c r="AB320" s="50"/>
      <c r="AC320" s="50"/>
      <c r="AD320" s="50"/>
      <c r="AE320" s="50"/>
      <c r="AF320" s="50"/>
      <c r="AG320" s="50"/>
    </row>
    <row r="321" spans="26:33" ht="12" customHeight="1" x14ac:dyDescent="0.25">
      <c r="Z321" s="50"/>
      <c r="AA321" s="50"/>
      <c r="AB321" s="50"/>
      <c r="AC321" s="50"/>
      <c r="AD321" s="50"/>
      <c r="AE321" s="50"/>
      <c r="AF321" s="50"/>
      <c r="AG321" s="50"/>
    </row>
    <row r="322" spans="26:33" ht="12" customHeight="1" x14ac:dyDescent="0.25">
      <c r="Z322" s="50"/>
      <c r="AA322" s="50"/>
      <c r="AB322" s="50"/>
      <c r="AC322" s="50"/>
      <c r="AD322" s="50"/>
      <c r="AE322" s="50"/>
      <c r="AF322" s="50"/>
      <c r="AG322" s="50"/>
    </row>
    <row r="323" spans="26:33" ht="12" customHeight="1" x14ac:dyDescent="0.25">
      <c r="Z323" s="50"/>
      <c r="AA323" s="50"/>
      <c r="AB323" s="50"/>
      <c r="AC323" s="50"/>
      <c r="AD323" s="50"/>
      <c r="AE323" s="50"/>
      <c r="AF323" s="50"/>
      <c r="AG323" s="50"/>
    </row>
    <row r="324" spans="26:33" ht="12" customHeight="1" x14ac:dyDescent="0.25">
      <c r="Z324" s="50"/>
      <c r="AA324" s="50"/>
      <c r="AB324" s="50"/>
      <c r="AC324" s="50"/>
      <c r="AD324" s="50"/>
      <c r="AE324" s="50"/>
      <c r="AF324" s="50"/>
      <c r="AG324" s="50"/>
    </row>
    <row r="325" spans="26:33" ht="12" customHeight="1" x14ac:dyDescent="0.25">
      <c r="Z325" s="50"/>
      <c r="AA325" s="50"/>
      <c r="AB325" s="50"/>
      <c r="AC325" s="50"/>
      <c r="AD325" s="50"/>
      <c r="AE325" s="50"/>
      <c r="AF325" s="50"/>
      <c r="AG325" s="50"/>
    </row>
    <row r="326" spans="26:33" ht="12" customHeight="1" x14ac:dyDescent="0.25">
      <c r="Z326" s="50"/>
      <c r="AA326" s="50"/>
      <c r="AB326" s="50"/>
      <c r="AC326" s="50"/>
      <c r="AD326" s="50"/>
      <c r="AE326" s="50"/>
      <c r="AF326" s="50"/>
      <c r="AG326" s="50"/>
    </row>
    <row r="327" spans="26:33" ht="12" customHeight="1" x14ac:dyDescent="0.25">
      <c r="Z327" s="50"/>
      <c r="AA327" s="50"/>
      <c r="AB327" s="50"/>
      <c r="AC327" s="50"/>
      <c r="AD327" s="50"/>
      <c r="AE327" s="50"/>
      <c r="AF327" s="50"/>
      <c r="AG327" s="50"/>
    </row>
    <row r="328" spans="26:33" ht="12" customHeight="1" x14ac:dyDescent="0.25">
      <c r="Z328" s="50"/>
      <c r="AA328" s="50"/>
      <c r="AB328" s="50"/>
      <c r="AC328" s="50"/>
      <c r="AD328" s="50"/>
      <c r="AE328" s="50"/>
      <c r="AF328" s="50"/>
      <c r="AG328" s="50"/>
    </row>
    <row r="329" spans="26:33" ht="12" customHeight="1" x14ac:dyDescent="0.25">
      <c r="Z329" s="50"/>
      <c r="AA329" s="50"/>
      <c r="AB329" s="50"/>
      <c r="AC329" s="50"/>
      <c r="AD329" s="50"/>
      <c r="AE329" s="50"/>
      <c r="AF329" s="50"/>
      <c r="AG329" s="50"/>
    </row>
    <row r="330" spans="26:33" ht="12" customHeight="1" x14ac:dyDescent="0.25">
      <c r="Z330" s="50"/>
      <c r="AA330" s="50"/>
      <c r="AB330" s="50"/>
      <c r="AC330" s="50"/>
      <c r="AD330" s="50"/>
      <c r="AE330" s="50"/>
      <c r="AF330" s="50"/>
      <c r="AG330" s="50"/>
    </row>
    <row r="331" spans="26:33" ht="12" customHeight="1" x14ac:dyDescent="0.25">
      <c r="Z331" s="50"/>
      <c r="AA331" s="50"/>
      <c r="AB331" s="50"/>
      <c r="AC331" s="50"/>
      <c r="AD331" s="50"/>
      <c r="AE331" s="50"/>
      <c r="AF331" s="50"/>
      <c r="AG331" s="50"/>
    </row>
    <row r="332" spans="26:33" ht="12" customHeight="1" x14ac:dyDescent="0.25">
      <c r="Z332" s="50"/>
      <c r="AA332" s="50"/>
      <c r="AB332" s="50"/>
      <c r="AC332" s="50"/>
      <c r="AD332" s="50"/>
      <c r="AE332" s="50"/>
      <c r="AF332" s="50"/>
      <c r="AG332" s="50"/>
    </row>
    <row r="333" spans="26:33" ht="12" customHeight="1" x14ac:dyDescent="0.25">
      <c r="Z333" s="50"/>
      <c r="AA333" s="50"/>
      <c r="AB333" s="50"/>
      <c r="AC333" s="50"/>
      <c r="AD333" s="50"/>
      <c r="AE333" s="50"/>
      <c r="AF333" s="50"/>
      <c r="AG333" s="50"/>
    </row>
    <row r="334" spans="26:33" ht="12" customHeight="1" x14ac:dyDescent="0.25">
      <c r="Z334" s="50"/>
      <c r="AA334" s="50"/>
      <c r="AB334" s="50"/>
      <c r="AC334" s="50"/>
      <c r="AD334" s="50"/>
      <c r="AE334" s="50"/>
      <c r="AF334" s="50"/>
      <c r="AG334" s="50"/>
    </row>
    <row r="335" spans="26:33" ht="12" customHeight="1" x14ac:dyDescent="0.25">
      <c r="Z335" s="50"/>
      <c r="AA335" s="50"/>
      <c r="AB335" s="50"/>
      <c r="AC335" s="50"/>
      <c r="AD335" s="50"/>
      <c r="AE335" s="50"/>
      <c r="AF335" s="50"/>
      <c r="AG335" s="50"/>
    </row>
    <row r="336" spans="26:33" ht="12" customHeight="1" x14ac:dyDescent="0.25">
      <c r="Z336" s="50"/>
      <c r="AA336" s="50"/>
      <c r="AB336" s="50"/>
      <c r="AC336" s="50"/>
      <c r="AD336" s="50"/>
      <c r="AE336" s="50"/>
      <c r="AF336" s="50"/>
      <c r="AG336" s="50"/>
    </row>
    <row r="337" spans="26:33" ht="12" customHeight="1" x14ac:dyDescent="0.25">
      <c r="Z337" s="50"/>
      <c r="AA337" s="50"/>
      <c r="AB337" s="50"/>
      <c r="AC337" s="50"/>
      <c r="AD337" s="50"/>
      <c r="AE337" s="50"/>
      <c r="AF337" s="50"/>
      <c r="AG337" s="50"/>
    </row>
    <row r="338" spans="26:33" ht="12" customHeight="1" x14ac:dyDescent="0.25">
      <c r="Z338" s="50"/>
      <c r="AA338" s="50"/>
      <c r="AB338" s="50"/>
      <c r="AC338" s="50"/>
      <c r="AD338" s="50"/>
      <c r="AE338" s="50"/>
      <c r="AF338" s="50"/>
      <c r="AG338" s="50"/>
    </row>
    <row r="339" spans="26:33" ht="12" customHeight="1" x14ac:dyDescent="0.25">
      <c r="Z339" s="50"/>
      <c r="AA339" s="50"/>
      <c r="AB339" s="50"/>
      <c r="AC339" s="50"/>
      <c r="AD339" s="50"/>
      <c r="AE339" s="50"/>
      <c r="AF339" s="50"/>
      <c r="AG339" s="50"/>
    </row>
    <row r="340" spans="26:33" ht="12" customHeight="1" x14ac:dyDescent="0.25">
      <c r="Z340" s="50"/>
      <c r="AA340" s="50"/>
      <c r="AB340" s="50"/>
      <c r="AC340" s="50"/>
      <c r="AD340" s="50"/>
      <c r="AE340" s="50"/>
      <c r="AF340" s="50"/>
      <c r="AG340" s="50"/>
    </row>
    <row r="341" spans="26:33" ht="12" customHeight="1" x14ac:dyDescent="0.25">
      <c r="Z341" s="50"/>
      <c r="AA341" s="50"/>
      <c r="AB341" s="50"/>
      <c r="AC341" s="50"/>
      <c r="AD341" s="50"/>
      <c r="AE341" s="50"/>
      <c r="AF341" s="50"/>
      <c r="AG341" s="50"/>
    </row>
    <row r="342" spans="26:33" ht="12" customHeight="1" x14ac:dyDescent="0.25">
      <c r="Z342" s="50"/>
      <c r="AA342" s="50"/>
      <c r="AB342" s="50"/>
      <c r="AC342" s="50"/>
      <c r="AD342" s="50"/>
      <c r="AE342" s="50"/>
      <c r="AF342" s="50"/>
      <c r="AG342" s="50"/>
    </row>
    <row r="343" spans="26:33" ht="12" customHeight="1" x14ac:dyDescent="0.25">
      <c r="Z343" s="50"/>
      <c r="AA343" s="50"/>
      <c r="AB343" s="50"/>
      <c r="AC343" s="50"/>
      <c r="AD343" s="50"/>
      <c r="AE343" s="50"/>
      <c r="AF343" s="50"/>
      <c r="AG343" s="50"/>
    </row>
    <row r="344" spans="26:33" ht="12" customHeight="1" x14ac:dyDescent="0.25">
      <c r="Z344" s="50"/>
      <c r="AA344" s="50"/>
      <c r="AB344" s="50"/>
      <c r="AC344" s="50"/>
      <c r="AD344" s="50"/>
      <c r="AE344" s="50"/>
      <c r="AF344" s="50"/>
      <c r="AG344" s="50"/>
    </row>
    <row r="345" spans="26:33" ht="12" customHeight="1" x14ac:dyDescent="0.25">
      <c r="Z345" s="50"/>
      <c r="AA345" s="50"/>
      <c r="AB345" s="50"/>
      <c r="AC345" s="50"/>
      <c r="AD345" s="50"/>
      <c r="AE345" s="50"/>
      <c r="AF345" s="50"/>
      <c r="AG345" s="50"/>
    </row>
    <row r="346" spans="26:33" ht="12" customHeight="1" x14ac:dyDescent="0.25">
      <c r="Z346" s="50"/>
      <c r="AA346" s="50"/>
      <c r="AB346" s="50"/>
      <c r="AC346" s="50"/>
      <c r="AD346" s="50"/>
      <c r="AE346" s="50"/>
      <c r="AF346" s="50"/>
      <c r="AG346" s="50"/>
    </row>
    <row r="347" spans="26:33" ht="12" customHeight="1" x14ac:dyDescent="0.25">
      <c r="Z347" s="50"/>
      <c r="AA347" s="50"/>
      <c r="AB347" s="50"/>
      <c r="AC347" s="50"/>
      <c r="AD347" s="50"/>
      <c r="AE347" s="50"/>
      <c r="AF347" s="50"/>
      <c r="AG347" s="50"/>
    </row>
    <row r="348" spans="26:33" ht="12" customHeight="1" x14ac:dyDescent="0.25">
      <c r="Z348" s="50"/>
      <c r="AA348" s="50"/>
      <c r="AB348" s="50"/>
      <c r="AC348" s="50"/>
      <c r="AD348" s="50"/>
      <c r="AE348" s="50"/>
      <c r="AF348" s="50"/>
      <c r="AG348" s="50"/>
    </row>
    <row r="349" spans="26:33" ht="12" customHeight="1" x14ac:dyDescent="0.25">
      <c r="Z349" s="50"/>
      <c r="AA349" s="50"/>
      <c r="AB349" s="50"/>
      <c r="AC349" s="50"/>
      <c r="AD349" s="50"/>
      <c r="AE349" s="50"/>
      <c r="AF349" s="50"/>
      <c r="AG349" s="50"/>
    </row>
    <row r="350" spans="26:33" ht="12" customHeight="1" x14ac:dyDescent="0.25">
      <c r="Z350" s="50"/>
      <c r="AA350" s="50"/>
      <c r="AB350" s="50"/>
      <c r="AC350" s="50"/>
      <c r="AD350" s="50"/>
      <c r="AE350" s="50"/>
      <c r="AF350" s="50"/>
      <c r="AG350" s="50"/>
    </row>
    <row r="351" spans="26:33" ht="12" customHeight="1" x14ac:dyDescent="0.25">
      <c r="Z351" s="50"/>
      <c r="AA351" s="50"/>
      <c r="AB351" s="50"/>
      <c r="AC351" s="50"/>
      <c r="AD351" s="50"/>
      <c r="AE351" s="50"/>
      <c r="AF351" s="50"/>
      <c r="AG351" s="50"/>
    </row>
    <row r="352" spans="26:33" ht="12" customHeight="1" x14ac:dyDescent="0.25">
      <c r="Z352" s="50"/>
      <c r="AA352" s="50"/>
      <c r="AB352" s="50"/>
      <c r="AC352" s="50"/>
      <c r="AD352" s="50"/>
      <c r="AE352" s="50"/>
      <c r="AF352" s="50"/>
      <c r="AG352" s="50"/>
    </row>
    <row r="353" spans="26:33" ht="12" customHeight="1" x14ac:dyDescent="0.25">
      <c r="Z353" s="50"/>
      <c r="AA353" s="50"/>
      <c r="AB353" s="50"/>
      <c r="AC353" s="50"/>
      <c r="AD353" s="50"/>
      <c r="AE353" s="50"/>
      <c r="AF353" s="50"/>
      <c r="AG353" s="50"/>
    </row>
    <row r="354" spans="26:33" ht="12" customHeight="1" x14ac:dyDescent="0.25">
      <c r="Z354" s="50"/>
      <c r="AA354" s="50"/>
      <c r="AB354" s="50"/>
      <c r="AC354" s="50"/>
      <c r="AD354" s="50"/>
      <c r="AE354" s="50"/>
      <c r="AF354" s="50"/>
      <c r="AG354" s="50"/>
    </row>
    <row r="355" spans="26:33" ht="12" customHeight="1" x14ac:dyDescent="0.25">
      <c r="Z355" s="50"/>
      <c r="AA355" s="50"/>
      <c r="AB355" s="50"/>
      <c r="AC355" s="50"/>
      <c r="AD355" s="50"/>
      <c r="AE355" s="50"/>
      <c r="AF355" s="50"/>
      <c r="AG355" s="50"/>
    </row>
    <row r="356" spans="26:33" ht="12" customHeight="1" x14ac:dyDescent="0.25">
      <c r="Z356" s="50"/>
      <c r="AA356" s="50"/>
      <c r="AB356" s="50"/>
      <c r="AC356" s="50"/>
      <c r="AD356" s="50"/>
      <c r="AE356" s="50"/>
      <c r="AF356" s="50"/>
      <c r="AG356" s="50"/>
    </row>
    <row r="357" spans="26:33" ht="12" customHeight="1" x14ac:dyDescent="0.25">
      <c r="Z357" s="50"/>
      <c r="AA357" s="50"/>
      <c r="AB357" s="50"/>
      <c r="AC357" s="50"/>
      <c r="AD357" s="50"/>
      <c r="AE357" s="50"/>
      <c r="AF357" s="50"/>
      <c r="AG357" s="50"/>
    </row>
    <row r="358" spans="26:33" ht="12" customHeight="1" x14ac:dyDescent="0.25">
      <c r="Z358" s="50"/>
      <c r="AA358" s="50"/>
      <c r="AB358" s="50"/>
      <c r="AC358" s="50"/>
      <c r="AD358" s="50"/>
      <c r="AE358" s="50"/>
      <c r="AF358" s="50"/>
      <c r="AG358" s="50"/>
    </row>
    <row r="359" spans="26:33" ht="12" customHeight="1" x14ac:dyDescent="0.25">
      <c r="Z359" s="50"/>
      <c r="AA359" s="50"/>
      <c r="AB359" s="50"/>
      <c r="AC359" s="50"/>
      <c r="AD359" s="50"/>
      <c r="AE359" s="50"/>
      <c r="AF359" s="50"/>
      <c r="AG359" s="50"/>
    </row>
    <row r="360" spans="26:33" ht="12" customHeight="1" x14ac:dyDescent="0.25">
      <c r="Z360" s="50"/>
      <c r="AA360" s="50"/>
      <c r="AB360" s="50"/>
      <c r="AC360" s="50"/>
      <c r="AD360" s="50"/>
      <c r="AE360" s="50"/>
      <c r="AF360" s="50"/>
      <c r="AG360" s="50"/>
    </row>
    <row r="361" spans="26:33" ht="12" customHeight="1" x14ac:dyDescent="0.25">
      <c r="Z361" s="50"/>
      <c r="AA361" s="50"/>
      <c r="AB361" s="50"/>
      <c r="AC361" s="50"/>
      <c r="AD361" s="50"/>
      <c r="AE361" s="50"/>
      <c r="AF361" s="50"/>
      <c r="AG361" s="50"/>
    </row>
    <row r="362" spans="26:33" ht="12" customHeight="1" x14ac:dyDescent="0.25">
      <c r="Z362" s="50"/>
      <c r="AA362" s="50"/>
      <c r="AB362" s="50"/>
      <c r="AC362" s="50"/>
      <c r="AD362" s="50"/>
      <c r="AE362" s="50"/>
      <c r="AF362" s="50"/>
      <c r="AG362" s="50"/>
    </row>
    <row r="363" spans="26:33" ht="12" customHeight="1" x14ac:dyDescent="0.25">
      <c r="Z363" s="50"/>
      <c r="AA363" s="50"/>
      <c r="AB363" s="50"/>
      <c r="AC363" s="50"/>
      <c r="AD363" s="50"/>
      <c r="AE363" s="50"/>
      <c r="AF363" s="50"/>
      <c r="AG363" s="50"/>
    </row>
    <row r="364" spans="26:33" ht="12" customHeight="1" x14ac:dyDescent="0.25">
      <c r="Z364" s="50"/>
      <c r="AA364" s="50"/>
      <c r="AB364" s="50"/>
      <c r="AC364" s="50"/>
      <c r="AD364" s="50"/>
      <c r="AE364" s="50"/>
      <c r="AF364" s="50"/>
      <c r="AG364" s="50"/>
    </row>
    <row r="365" spans="26:33" ht="12" customHeight="1" x14ac:dyDescent="0.25">
      <c r="Z365" s="50"/>
      <c r="AA365" s="50"/>
      <c r="AB365" s="50"/>
      <c r="AC365" s="50"/>
      <c r="AD365" s="50"/>
      <c r="AE365" s="50"/>
      <c r="AF365" s="50"/>
      <c r="AG365" s="50"/>
    </row>
    <row r="366" spans="26:33" ht="12" customHeight="1" x14ac:dyDescent="0.25">
      <c r="Z366" s="50"/>
      <c r="AA366" s="50"/>
      <c r="AB366" s="50"/>
      <c r="AC366" s="50"/>
      <c r="AD366" s="50"/>
      <c r="AE366" s="50"/>
      <c r="AF366" s="50"/>
      <c r="AG366" s="50"/>
    </row>
    <row r="367" spans="26:33" ht="12" customHeight="1" x14ac:dyDescent="0.25">
      <c r="Z367" s="50"/>
      <c r="AA367" s="50"/>
      <c r="AB367" s="50"/>
      <c r="AC367" s="50"/>
      <c r="AD367" s="50"/>
      <c r="AE367" s="50"/>
      <c r="AF367" s="50"/>
      <c r="AG367" s="50"/>
    </row>
    <row r="368" spans="26:33" ht="12" customHeight="1" x14ac:dyDescent="0.25">
      <c r="Z368" s="50"/>
      <c r="AA368" s="50"/>
      <c r="AB368" s="50"/>
      <c r="AC368" s="50"/>
      <c r="AD368" s="50"/>
      <c r="AE368" s="50"/>
      <c r="AF368" s="50"/>
      <c r="AG368" s="50"/>
    </row>
    <row r="369" spans="26:33" ht="12" customHeight="1" x14ac:dyDescent="0.25">
      <c r="Z369" s="50"/>
      <c r="AA369" s="50"/>
      <c r="AB369" s="50"/>
      <c r="AC369" s="50"/>
      <c r="AD369" s="50"/>
      <c r="AE369" s="50"/>
      <c r="AF369" s="50"/>
      <c r="AG369" s="50"/>
    </row>
    <row r="370" spans="26:33" ht="12" customHeight="1" x14ac:dyDescent="0.25">
      <c r="Z370" s="50"/>
      <c r="AA370" s="50"/>
      <c r="AB370" s="50"/>
      <c r="AC370" s="50"/>
      <c r="AD370" s="50"/>
      <c r="AE370" s="50"/>
      <c r="AF370" s="50"/>
      <c r="AG370" s="50"/>
    </row>
    <row r="371" spans="26:33" ht="12" customHeight="1" x14ac:dyDescent="0.25">
      <c r="Z371" s="50"/>
      <c r="AA371" s="50"/>
      <c r="AB371" s="50"/>
      <c r="AC371" s="50"/>
      <c r="AD371" s="50"/>
      <c r="AE371" s="50"/>
      <c r="AF371" s="50"/>
      <c r="AG371" s="50"/>
    </row>
    <row r="372" spans="26:33" ht="12" customHeight="1" x14ac:dyDescent="0.25">
      <c r="Z372" s="50"/>
      <c r="AA372" s="50"/>
      <c r="AB372" s="50"/>
      <c r="AC372" s="50"/>
      <c r="AD372" s="50"/>
      <c r="AE372" s="50"/>
      <c r="AF372" s="50"/>
      <c r="AG372" s="50"/>
    </row>
    <row r="373" spans="26:33" ht="12" customHeight="1" x14ac:dyDescent="0.25">
      <c r="Z373" s="50"/>
      <c r="AA373" s="50"/>
      <c r="AB373" s="50"/>
      <c r="AC373" s="50"/>
      <c r="AD373" s="50"/>
      <c r="AE373" s="50"/>
      <c r="AF373" s="50"/>
      <c r="AG373" s="50"/>
    </row>
    <row r="374" spans="26:33" ht="12" customHeight="1" x14ac:dyDescent="0.25">
      <c r="Z374" s="50"/>
      <c r="AA374" s="50"/>
      <c r="AB374" s="50"/>
      <c r="AC374" s="50"/>
      <c r="AD374" s="50"/>
      <c r="AE374" s="50"/>
      <c r="AF374" s="50"/>
      <c r="AG374" s="50"/>
    </row>
    <row r="375" spans="26:33" ht="12" customHeight="1" x14ac:dyDescent="0.25">
      <c r="Z375" s="50"/>
      <c r="AA375" s="50"/>
      <c r="AB375" s="50"/>
      <c r="AC375" s="50"/>
      <c r="AD375" s="50"/>
      <c r="AE375" s="50"/>
      <c r="AF375" s="50"/>
      <c r="AG375" s="50"/>
    </row>
    <row r="376" spans="26:33" ht="12" customHeight="1" x14ac:dyDescent="0.25">
      <c r="Z376" s="50"/>
      <c r="AA376" s="50"/>
      <c r="AB376" s="50"/>
      <c r="AC376" s="50"/>
      <c r="AD376" s="50"/>
      <c r="AE376" s="50"/>
      <c r="AF376" s="50"/>
      <c r="AG376" s="50"/>
    </row>
    <row r="377" spans="26:33" ht="12" customHeight="1" x14ac:dyDescent="0.25">
      <c r="Z377" s="50"/>
      <c r="AA377" s="50"/>
      <c r="AB377" s="50"/>
      <c r="AC377" s="50"/>
      <c r="AD377" s="50"/>
      <c r="AE377" s="50"/>
      <c r="AF377" s="50"/>
      <c r="AG377" s="50"/>
    </row>
    <row r="378" spans="26:33" ht="12" customHeight="1" x14ac:dyDescent="0.25">
      <c r="Z378" s="50"/>
      <c r="AA378" s="50"/>
      <c r="AB378" s="50"/>
      <c r="AC378" s="50"/>
      <c r="AD378" s="50"/>
      <c r="AE378" s="50"/>
      <c r="AF378" s="50"/>
      <c r="AG378" s="50"/>
    </row>
    <row r="379" spans="26:33" ht="12" customHeight="1" x14ac:dyDescent="0.25">
      <c r="Z379" s="50"/>
      <c r="AA379" s="50"/>
      <c r="AB379" s="50"/>
      <c r="AC379" s="50"/>
      <c r="AD379" s="50"/>
      <c r="AE379" s="50"/>
      <c r="AF379" s="50"/>
      <c r="AG379" s="50"/>
    </row>
    <row r="380" spans="26:33" ht="12" customHeight="1" x14ac:dyDescent="0.25">
      <c r="Z380" s="50"/>
      <c r="AA380" s="50"/>
      <c r="AB380" s="50"/>
      <c r="AC380" s="50"/>
      <c r="AD380" s="50"/>
      <c r="AE380" s="50"/>
      <c r="AF380" s="50"/>
      <c r="AG380" s="50"/>
    </row>
    <row r="381" spans="26:33" ht="12" customHeight="1" x14ac:dyDescent="0.25">
      <c r="Z381" s="50"/>
      <c r="AA381" s="50"/>
      <c r="AB381" s="50"/>
      <c r="AC381" s="50"/>
      <c r="AD381" s="50"/>
      <c r="AE381" s="50"/>
      <c r="AF381" s="50"/>
      <c r="AG381" s="50"/>
    </row>
    <row r="382" spans="26:33" ht="12" customHeight="1" x14ac:dyDescent="0.25">
      <c r="Z382" s="50"/>
      <c r="AA382" s="50"/>
      <c r="AB382" s="50"/>
      <c r="AC382" s="50"/>
      <c r="AD382" s="50"/>
      <c r="AE382" s="50"/>
      <c r="AF382" s="50"/>
      <c r="AG382" s="50"/>
    </row>
    <row r="383" spans="26:33" ht="12" customHeight="1" x14ac:dyDescent="0.25">
      <c r="Z383" s="50"/>
      <c r="AA383" s="50"/>
      <c r="AB383" s="50"/>
      <c r="AC383" s="50"/>
      <c r="AD383" s="50"/>
      <c r="AE383" s="50"/>
      <c r="AF383" s="50"/>
      <c r="AG383" s="50"/>
    </row>
    <row r="384" spans="26:33" ht="12" customHeight="1" x14ac:dyDescent="0.25">
      <c r="Z384" s="50"/>
      <c r="AA384" s="50"/>
      <c r="AB384" s="50"/>
      <c r="AC384" s="50"/>
      <c r="AD384" s="50"/>
      <c r="AE384" s="50"/>
      <c r="AF384" s="50"/>
      <c r="AG384" s="50"/>
    </row>
    <row r="385" spans="26:33" ht="12" customHeight="1" x14ac:dyDescent="0.25">
      <c r="Z385" s="50"/>
      <c r="AA385" s="50"/>
      <c r="AB385" s="50"/>
      <c r="AC385" s="50"/>
      <c r="AD385" s="50"/>
      <c r="AE385" s="50"/>
      <c r="AF385" s="50"/>
      <c r="AG385" s="50"/>
    </row>
    <row r="386" spans="26:33" ht="12" customHeight="1" x14ac:dyDescent="0.25">
      <c r="Z386" s="50"/>
      <c r="AA386" s="50"/>
      <c r="AB386" s="50"/>
      <c r="AC386" s="50"/>
      <c r="AD386" s="50"/>
      <c r="AE386" s="50"/>
      <c r="AF386" s="50"/>
      <c r="AG386" s="50"/>
    </row>
    <row r="387" spans="26:33" ht="12" customHeight="1" x14ac:dyDescent="0.25">
      <c r="Z387" s="50"/>
      <c r="AA387" s="50"/>
      <c r="AB387" s="50"/>
      <c r="AC387" s="50"/>
      <c r="AD387" s="50"/>
      <c r="AE387" s="50"/>
      <c r="AF387" s="50"/>
      <c r="AG387" s="50"/>
    </row>
    <row r="388" spans="26:33" ht="12" customHeight="1" x14ac:dyDescent="0.25">
      <c r="Z388" s="50"/>
      <c r="AA388" s="50"/>
      <c r="AB388" s="50"/>
      <c r="AC388" s="50"/>
      <c r="AD388" s="50"/>
      <c r="AE388" s="50"/>
      <c r="AF388" s="50"/>
      <c r="AG388" s="50"/>
    </row>
    <row r="389" spans="26:33" ht="12" customHeight="1" x14ac:dyDescent="0.25">
      <c r="Z389" s="50"/>
      <c r="AA389" s="50"/>
      <c r="AB389" s="50"/>
      <c r="AC389" s="50"/>
      <c r="AD389" s="50"/>
      <c r="AE389" s="50"/>
      <c r="AF389" s="50"/>
      <c r="AG389" s="50"/>
    </row>
    <row r="390" spans="26:33" ht="12" customHeight="1" x14ac:dyDescent="0.25">
      <c r="Z390" s="50"/>
      <c r="AA390" s="50"/>
      <c r="AB390" s="50"/>
      <c r="AC390" s="50"/>
      <c r="AD390" s="50"/>
      <c r="AE390" s="50"/>
      <c r="AF390" s="50"/>
      <c r="AG390" s="50"/>
    </row>
    <row r="391" spans="26:33" ht="12" customHeight="1" x14ac:dyDescent="0.25">
      <c r="Z391" s="50"/>
      <c r="AA391" s="50"/>
      <c r="AB391" s="50"/>
      <c r="AC391" s="50"/>
      <c r="AD391" s="50"/>
      <c r="AE391" s="50"/>
      <c r="AF391" s="50"/>
      <c r="AG391" s="50"/>
    </row>
    <row r="392" spans="26:33" ht="12" customHeight="1" x14ac:dyDescent="0.25">
      <c r="Z392" s="50"/>
      <c r="AA392" s="50"/>
      <c r="AB392" s="50"/>
      <c r="AC392" s="50"/>
      <c r="AD392" s="50"/>
      <c r="AE392" s="50"/>
      <c r="AF392" s="50"/>
      <c r="AG392" s="50"/>
    </row>
    <row r="393" spans="26:33" ht="12" customHeight="1" x14ac:dyDescent="0.25">
      <c r="Z393" s="50"/>
      <c r="AA393" s="50"/>
      <c r="AB393" s="50"/>
      <c r="AC393" s="50"/>
      <c r="AD393" s="50"/>
      <c r="AE393" s="50"/>
      <c r="AF393" s="50"/>
      <c r="AG393" s="50"/>
    </row>
    <row r="394" spans="26:33" ht="12" customHeight="1" x14ac:dyDescent="0.25">
      <c r="Z394" s="50"/>
      <c r="AA394" s="50"/>
      <c r="AB394" s="50"/>
      <c r="AC394" s="50"/>
      <c r="AD394" s="50"/>
      <c r="AE394" s="50"/>
      <c r="AF394" s="50"/>
      <c r="AG394" s="50"/>
    </row>
    <row r="395" spans="26:33" ht="12" customHeight="1" x14ac:dyDescent="0.25">
      <c r="Z395" s="50"/>
      <c r="AA395" s="50"/>
      <c r="AB395" s="50"/>
      <c r="AC395" s="50"/>
      <c r="AD395" s="50"/>
      <c r="AE395" s="50"/>
      <c r="AF395" s="50"/>
      <c r="AG395" s="50"/>
    </row>
    <row r="396" spans="26:33" ht="12" customHeight="1" x14ac:dyDescent="0.25">
      <c r="Z396" s="50"/>
      <c r="AA396" s="50"/>
      <c r="AB396" s="50"/>
      <c r="AC396" s="50"/>
      <c r="AD396" s="50"/>
      <c r="AE396" s="50"/>
      <c r="AF396" s="50"/>
      <c r="AG396" s="50"/>
    </row>
    <row r="397" spans="26:33" ht="12" customHeight="1" x14ac:dyDescent="0.25">
      <c r="Z397" s="50"/>
      <c r="AA397" s="50"/>
      <c r="AB397" s="50"/>
      <c r="AC397" s="50"/>
      <c r="AD397" s="50"/>
      <c r="AE397" s="50"/>
      <c r="AF397" s="50"/>
      <c r="AG397" s="50"/>
    </row>
    <row r="398" spans="26:33" ht="12" customHeight="1" x14ac:dyDescent="0.25">
      <c r="Z398" s="50"/>
      <c r="AA398" s="50"/>
      <c r="AB398" s="50"/>
      <c r="AC398" s="50"/>
      <c r="AD398" s="50"/>
      <c r="AE398" s="50"/>
      <c r="AF398" s="50"/>
      <c r="AG398" s="50"/>
    </row>
    <row r="399" spans="26:33" ht="12" customHeight="1" x14ac:dyDescent="0.25">
      <c r="Z399" s="50"/>
      <c r="AA399" s="50"/>
      <c r="AB399" s="50"/>
      <c r="AC399" s="50"/>
      <c r="AD399" s="50"/>
      <c r="AE399" s="50"/>
      <c r="AF399" s="50"/>
      <c r="AG399" s="50"/>
    </row>
    <row r="400" spans="26:33" ht="12" customHeight="1" x14ac:dyDescent="0.25">
      <c r="Z400" s="50"/>
      <c r="AA400" s="50"/>
      <c r="AB400" s="50"/>
      <c r="AC400" s="50"/>
      <c r="AD400" s="50"/>
      <c r="AE400" s="50"/>
      <c r="AF400" s="50"/>
      <c r="AG400" s="50"/>
    </row>
    <row r="401" spans="26:33" ht="12" customHeight="1" x14ac:dyDescent="0.25">
      <c r="Z401" s="50"/>
      <c r="AA401" s="50"/>
      <c r="AB401" s="50"/>
      <c r="AC401" s="50"/>
      <c r="AD401" s="50"/>
      <c r="AE401" s="50"/>
      <c r="AF401" s="50"/>
      <c r="AG401" s="50"/>
    </row>
    <row r="402" spans="26:33" ht="12" customHeight="1" x14ac:dyDescent="0.25">
      <c r="Z402" s="50"/>
      <c r="AA402" s="50"/>
      <c r="AB402" s="50"/>
      <c r="AC402" s="50"/>
      <c r="AD402" s="50"/>
      <c r="AE402" s="50"/>
      <c r="AF402" s="50"/>
      <c r="AG402" s="50"/>
    </row>
    <row r="403" spans="26:33" ht="12" customHeight="1" x14ac:dyDescent="0.25">
      <c r="Z403" s="50"/>
      <c r="AA403" s="50"/>
      <c r="AB403" s="50"/>
      <c r="AC403" s="50"/>
      <c r="AD403" s="50"/>
      <c r="AE403" s="50"/>
      <c r="AF403" s="50"/>
      <c r="AG403" s="50"/>
    </row>
    <row r="404" spans="26:33" ht="12" customHeight="1" x14ac:dyDescent="0.25">
      <c r="Z404" s="50"/>
      <c r="AA404" s="50"/>
      <c r="AB404" s="50"/>
      <c r="AC404" s="50"/>
      <c r="AD404" s="50"/>
      <c r="AE404" s="50"/>
      <c r="AF404" s="50"/>
      <c r="AG404" s="50"/>
    </row>
    <row r="405" spans="26:33" ht="12" customHeight="1" x14ac:dyDescent="0.25">
      <c r="Z405" s="50"/>
      <c r="AA405" s="50"/>
      <c r="AB405" s="50"/>
      <c r="AC405" s="50"/>
      <c r="AD405" s="50"/>
      <c r="AE405" s="50"/>
      <c r="AF405" s="50"/>
      <c r="AG405" s="50"/>
    </row>
    <row r="406" spans="26:33" ht="12" customHeight="1" x14ac:dyDescent="0.25">
      <c r="Z406" s="50"/>
      <c r="AA406" s="50"/>
      <c r="AB406" s="50"/>
      <c r="AC406" s="50"/>
      <c r="AD406" s="50"/>
      <c r="AE406" s="50"/>
      <c r="AF406" s="50"/>
      <c r="AG406" s="50"/>
    </row>
    <row r="407" spans="26:33" ht="12" customHeight="1" x14ac:dyDescent="0.25">
      <c r="Z407" s="50"/>
      <c r="AA407" s="50"/>
      <c r="AB407" s="50"/>
      <c r="AC407" s="50"/>
      <c r="AD407" s="50"/>
      <c r="AE407" s="50"/>
      <c r="AF407" s="50"/>
      <c r="AG407" s="50"/>
    </row>
  </sheetData>
  <sheetProtection formatCells="0" formatColumns="0" formatRows="0"/>
  <autoFilter ref="A1:C159" xr:uid="{00000000-0009-0000-0000-00001A000000}">
    <filterColumn colId="0" showButton="0"/>
    <filterColumn colId="1" showButton="0"/>
    <filterColumn colId="2" showButton="0"/>
  </autoFilter>
  <mergeCells count="4">
    <mergeCell ref="B200:C200"/>
    <mergeCell ref="N89:O89"/>
    <mergeCell ref="N200:O200"/>
    <mergeCell ref="B89:C89"/>
  </mergeCells>
  <phoneticPr fontId="6" type="noConversion"/>
  <conditionalFormatting sqref="O84 O141">
    <cfRule type="expression" dxfId="77" priority="9">
      <formula>LEN($A81)=4</formula>
    </cfRule>
  </conditionalFormatting>
  <conditionalFormatting sqref="O170:O171">
    <cfRule type="expression" dxfId="76" priority="12">
      <formula>LEN($A167)=4</formula>
    </cfRule>
  </conditionalFormatting>
  <conditionalFormatting sqref="O173:O174">
    <cfRule type="expression" dxfId="75" priority="11">
      <formula>LEN($A170)=4</formula>
    </cfRule>
  </conditionalFormatting>
  <conditionalFormatting sqref="O155">
    <cfRule type="expression" dxfId="74" priority="10">
      <formula>LEN($A152)=4</formula>
    </cfRule>
  </conditionalFormatting>
  <conditionalFormatting sqref="O171">
    <cfRule type="expression" dxfId="73" priority="13">
      <formula>LEN($A165)=4</formula>
    </cfRule>
  </conditionalFormatting>
  <conditionalFormatting sqref="C170:C171 C141">
    <cfRule type="expression" dxfId="72" priority="5">
      <formula>LEN($A141)=4</formula>
    </cfRule>
  </conditionalFormatting>
  <conditionalFormatting sqref="C173:C174">
    <cfRule type="expression" dxfId="71" priority="4">
      <formula>LEN($A173)=4</formula>
    </cfRule>
  </conditionalFormatting>
  <conditionalFormatting sqref="C155">
    <cfRule type="expression" dxfId="70" priority="3">
      <formula>LEN($A155)=4</formula>
    </cfRule>
  </conditionalFormatting>
  <conditionalFormatting sqref="C84">
    <cfRule type="expression" dxfId="69" priority="2">
      <formula>LEN($A84)=4</formula>
    </cfRule>
  </conditionalFormatting>
  <conditionalFormatting sqref="C171">
    <cfRule type="expression" dxfId="68" priority="8">
      <formula>LEN($A168)=4</formula>
    </cfRule>
  </conditionalFormatting>
  <conditionalFormatting sqref="C18:C19">
    <cfRule type="expression" dxfId="67" priority="1" stopIfTrue="1">
      <formula>AND(NOT(#REF!=""),#REF!=1)</formula>
    </cfRule>
  </conditionalFormatting>
  <conditionalFormatting sqref="C84 C155 C170 C173:C174 C141">
    <cfRule type="expression" dxfId="66" priority="1013">
      <formula>AND(NOT($J83=""),$J$1=1)</formula>
    </cfRule>
    <cfRule type="expression" dxfId="65" priority="1014">
      <formula>LEN($A84)=2</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rowBreaks count="1" manualBreakCount="1">
    <brk id="198" max="16383" man="1"/>
  </rowBreaks>
  <ignoredErrors>
    <ignoredError sqref="F188:F200 F20:F185 F6:F1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9">
    <tabColor indexed="47"/>
  </sheetPr>
  <dimension ref="A1:AC419"/>
  <sheetViews>
    <sheetView zoomScale="114" workbookViewId="0">
      <pane xSplit="3" ySplit="4" topLeftCell="D105" activePane="bottomRight" state="frozenSplit"/>
      <selection activeCell="A2" sqref="A2"/>
      <selection pane="topRight" activeCell="A2" sqref="A2"/>
      <selection pane="bottomLeft" activeCell="A2" sqref="A2"/>
      <selection pane="bottomRight" activeCell="F200" sqref="F200"/>
    </sheetView>
  </sheetViews>
  <sheetFormatPr baseColWidth="10" defaultColWidth="11.44140625" defaultRowHeight="12" customHeight="1" x14ac:dyDescent="0.25"/>
  <cols>
    <col min="1" max="1" width="3.33203125" style="295" customWidth="1"/>
    <col min="2" max="2" width="6" style="248" customWidth="1"/>
    <col min="3" max="3" width="72.44140625" style="249" customWidth="1"/>
    <col min="4" max="4" width="5.44140625" style="137" customWidth="1"/>
    <col min="5" max="7" width="3.88671875" style="137" customWidth="1"/>
    <col min="8" max="10" width="3.88671875" style="419" customWidth="1"/>
    <col min="11" max="11" width="16.88671875" style="50" customWidth="1"/>
    <col min="12" max="12" width="0.33203125" style="1161" hidden="1" customWidth="1"/>
    <col min="13" max="13" width="17.33203125" style="50" customWidth="1"/>
    <col min="14" max="16384" width="11.44140625" style="50"/>
  </cols>
  <sheetData>
    <row r="1" spans="1:12" ht="24.9" customHeight="1" x14ac:dyDescent="0.25">
      <c r="A1" s="258" t="s">
        <v>478</v>
      </c>
      <c r="B1" s="258"/>
      <c r="C1" s="259"/>
    </row>
    <row r="2" spans="1:12" ht="15.75" customHeight="1" x14ac:dyDescent="0.25">
      <c r="A2" s="260" t="s">
        <v>279</v>
      </c>
      <c r="B2" s="261"/>
      <c r="C2" s="262"/>
      <c r="D2" s="201"/>
    </row>
    <row r="3" spans="1:12" ht="15.75" customHeight="1" x14ac:dyDescent="0.25">
      <c r="A3" s="263"/>
      <c r="B3" s="264" t="s">
        <v>280</v>
      </c>
      <c r="C3" s="265"/>
    </row>
    <row r="4" spans="1:12" ht="16.5" customHeight="1" x14ac:dyDescent="0.25">
      <c r="A4" s="266"/>
      <c r="B4" s="267"/>
      <c r="C4" s="268" t="s">
        <v>281</v>
      </c>
      <c r="D4" s="455"/>
      <c r="E4" s="455"/>
      <c r="F4" s="456"/>
      <c r="G4" s="456"/>
      <c r="H4" s="419" t="s">
        <v>479</v>
      </c>
      <c r="I4" s="419" t="s">
        <v>73</v>
      </c>
      <c r="J4" s="445" t="s">
        <v>340</v>
      </c>
      <c r="L4" s="1161" t="s">
        <v>1514</v>
      </c>
    </row>
    <row r="5" spans="1:12" ht="16.5" customHeight="1" x14ac:dyDescent="0.25">
      <c r="A5" s="269" t="s">
        <v>1515</v>
      </c>
      <c r="B5" s="230" t="s">
        <v>1516</v>
      </c>
      <c r="C5" s="1055"/>
      <c r="D5" s="138" t="s">
        <v>229</v>
      </c>
      <c r="E5" s="138" t="s">
        <v>230</v>
      </c>
      <c r="F5" s="138" t="s">
        <v>265</v>
      </c>
      <c r="G5" s="138" t="s">
        <v>266</v>
      </c>
      <c r="H5" s="420"/>
      <c r="I5" s="420"/>
      <c r="J5" s="420"/>
    </row>
    <row r="6" spans="1:12" s="34" customFormat="1" ht="12" customHeight="1" x14ac:dyDescent="0.25">
      <c r="A6" s="270"/>
      <c r="B6" s="271" t="s">
        <v>2239</v>
      </c>
      <c r="C6" s="39"/>
      <c r="D6" s="457"/>
      <c r="E6" s="457"/>
      <c r="F6" s="456"/>
      <c r="G6" s="456"/>
      <c r="H6" s="446"/>
      <c r="I6" s="16"/>
      <c r="J6" s="446"/>
      <c r="L6" s="1162"/>
    </row>
    <row r="7" spans="1:12" s="34" customFormat="1" ht="12" customHeight="1" x14ac:dyDescent="0.25">
      <c r="A7" s="272"/>
      <c r="B7" s="273" t="s">
        <v>653</v>
      </c>
      <c r="C7" s="141" t="s">
        <v>80</v>
      </c>
      <c r="D7" s="139" t="str">
        <f>IF(NOT('1 Org'!C4 = ""),'1 Org'!C4,IF(COUNTIF('1 Org'!C5:C18,"&gt;=0")=0,"", MIN(MAX(SUMPRODUCT('1 Org'!C5:C18,'1 Org'!$G5:$G18)*4/(SUM('1 Org'!$G5:$G18) - SUMIF('1 Org'!C5:C18,"X",'1 Org'!$G5:$G18)),MAX('1 Org'!AA5:AA18)),MIN('1 Org'!AE5:AE18))))</f>
        <v/>
      </c>
      <c r="E7" s="139" t="str">
        <f>IF(NOT('1 Org'!D4 = ""),'1 Org'!D4,IF(COUNTIF('1 Org'!D5:D18,"&gt;=0")=0,"", MIN(MAX(SUMPRODUCT('1 Org'!D5:D18,'1 Org'!$G5:$G18)*4/(SUM('1 Org'!$G5:$G18) - SUMIF('1 Org'!D5:D18,"X",'1 Org'!$G5:$G18)),MAX('1 Org'!AB5:AB18)),MIN('1 Org'!AF5:AF18))))</f>
        <v/>
      </c>
      <c r="F7" s="456" t="str">
        <f>IF(NOT('1 Org'!E4 = ""),'1 Org'!E4,IF(COUNTIF('1 Org'!E5:E18,"&gt;=0")=0,"", MIN(MAX(SUMPRODUCT('1 Org'!E5:E18,'1 Org'!$G5:$G18)*4/(SUM('1 Org'!$G5:$G18) - SUMIF('1 Org'!E5:E18,"X",'1 Org'!$G5:$G18)),MAX('1 Org'!AC5:AC18)),MIN('1 Org'!AG5:AG18))))</f>
        <v/>
      </c>
      <c r="G7" s="456" t="str">
        <f>IF(NOT('1 Org'!F4 = ""),'1 Org'!F4,IF(COUNTIF('1 Org'!F5:F18,"&gt;=0")=0,"", MIN(MAX(SUMPRODUCT('1 Org'!F5:F18,'1 Org'!$G5:$G18)*4/(SUM('1 Org'!$G5:$G18) - SUMIF('1 Org'!F5:F18,"X",'1 Org'!$G5:$G18)),MAX('1 Org'!AD5:AD18)),MIN('1 Org'!AH5:AH18))))</f>
        <v/>
      </c>
      <c r="H7" s="447">
        <f>IF(AND(OR(D7="X",D7=""),OR(E7="X",E7=""),OR(F7="X",F7=""),OR(G7="X",G7="")),1,ROUND(MIN(IF(OR(D7="",D7="X"),4,D7),IF(OR(E7="",E7="X"),4,E7),IF(OR(F7="",F7="X"),4,F7),IF(OR(G7="",G7="X"),4,G7)),0))</f>
        <v>1</v>
      </c>
      <c r="I7" s="16"/>
      <c r="J7" s="448">
        <f>IF(IF(IndG&gt;=3,MAX(H7,I7),H7)&lt;1,1,IF(IndG&gt;=3,MAX(H7,I7),H7))</f>
        <v>1</v>
      </c>
      <c r="L7" s="1163">
        <v>14</v>
      </c>
    </row>
    <row r="8" spans="1:12" s="34" customFormat="1" ht="12" customHeight="1" x14ac:dyDescent="0.25">
      <c r="A8" s="272"/>
      <c r="B8" s="273" t="s">
        <v>655</v>
      </c>
      <c r="C8" s="274" t="s">
        <v>657</v>
      </c>
      <c r="D8" s="139" t="str">
        <f>IF(NOT('1 Org'!C19 = ""),'1 Org'!C19,IF(COUNTIF('1 Org'!C20:C22,"&gt;=0")=0,"", MIN(MAX(SUMPRODUCT('1 Org'!C20:C22,'1 Org'!$G20:$G22)*4/(SUM('1 Org'!$G20:$G22) - SUMIF('1 Org'!C20:C22,"X",'1 Org'!$G20:$G22)),MAX('1 Org'!AA20:AA22)),MIN('1 Org'!AE20:AE22))))</f>
        <v/>
      </c>
      <c r="E8" s="139" t="str">
        <f>IF(NOT('1 Org'!D19 = ""),'1 Org'!D19,IF(COUNTIF('1 Org'!D20:D22,"&gt;=0")=0,"", MIN(MAX(SUMPRODUCT('1 Org'!D20:D22,'1 Org'!$G20:$G22)*4/(SUM('1 Org'!$G20:$G22) - SUMIF('1 Org'!D20:D22,"X",'1 Org'!$G20:$G22)),MAX('1 Org'!AB20:AB22)),MIN('1 Org'!AF20:AF22))))</f>
        <v/>
      </c>
      <c r="F8" s="139" t="str">
        <f>IF(NOT('1 Org'!E19 = ""),'1 Org'!E19,IF(COUNTIF('1 Org'!E20:E22,"&gt;=0")=0,"", MIN(MAX(SUMPRODUCT('1 Org'!E20:E22,'1 Org'!$G20:$G22)*4/(SUM('1 Org'!$G20:$G22) - SUMIF('1 Org'!E20:E22,"X",'1 Org'!$G20:$G22)),MAX('1 Org'!AC20:AC22)),MIN('1 Org'!AG20:AG22))))</f>
        <v/>
      </c>
      <c r="G8" s="139" t="str">
        <f>IF(NOT('1 Org'!F19 = ""),'1 Org'!F19,IF(COUNTIF('1 Org'!F20:F22,"&gt;=0")=0,"", MIN(MAX(SUMPRODUCT('1 Org'!F20:F22,'1 Org'!$G20:$G22)*4/(SUM('1 Org'!$G20:$G22) - SUMIF('1 Org'!F20:F22,"X",'1 Org'!$G20:$G22)),MAX('1 Org'!AD20:AD22)),MIN('1 Org'!AH20:AH22))))</f>
        <v/>
      </c>
      <c r="H8" s="447">
        <f>IF(AND(OR(D8="X",D8=""),OR(E8="X",E8=""),OR(F8="X",F8=""),OR(G8="X",G8="")),1,ROUND(MIN(IF(OR(D8="",D8="X"),4,D8),IF(OR(E8="",E8="X"),4,E8),IF(OR(F8="",F8="X"),4,F8),IF(OR(G8="",G8="X"),4,G8)),0))</f>
        <v>1</v>
      </c>
      <c r="I8" s="16"/>
      <c r="J8" s="448">
        <f>IF(IF(IndG&gt;=3,MAX(H8,I8),H8)&lt;1,1,IF(IndG&gt;=3,MAX(H8,I8),H8))</f>
        <v>1</v>
      </c>
      <c r="L8" s="1163">
        <v>3</v>
      </c>
    </row>
    <row r="9" spans="1:12" s="34" customFormat="1" ht="12" customHeight="1" x14ac:dyDescent="0.25">
      <c r="A9" s="37"/>
      <c r="B9" s="35" t="s">
        <v>658</v>
      </c>
      <c r="C9" s="37"/>
      <c r="D9" s="139"/>
      <c r="E9" s="139"/>
      <c r="F9" s="139"/>
      <c r="G9" s="139"/>
      <c r="H9" s="447"/>
      <c r="I9" s="16"/>
      <c r="J9" s="448"/>
      <c r="L9" s="1162"/>
    </row>
    <row r="10" spans="1:12" s="34" customFormat="1" ht="11.25" customHeight="1" x14ac:dyDescent="0.25">
      <c r="A10" s="37"/>
      <c r="B10" s="273" t="s">
        <v>659</v>
      </c>
      <c r="C10" s="36" t="s">
        <v>1429</v>
      </c>
      <c r="D10" s="139" t="str">
        <f>IF(NOT('1 Org'!C24 = ""),'1 Org'!C24,IF(COUNTIF('1 Org'!C25:C39,"&gt;=0")=0,"", MIN(MAX(SUMPRODUCT('1 Org'!C25:C39,'1 Org'!$G25:$G39)*4/(SUM('1 Org'!$G25:$G39) - SUMIF('1 Org'!C25:C39,"X",'1 Org'!$G25:$G39)),MAX('1 Org'!AA25:AA39)),MIN('1 Org'!AE25:AE39))))</f>
        <v/>
      </c>
      <c r="E10" s="139" t="str">
        <f>IF(NOT('1 Org'!D24 = ""),'1 Org'!D24,IF(COUNTIF('1 Org'!D25:D39,"&gt;=0")=0,"", MIN(MAX(SUMPRODUCT('1 Org'!D25:D39,'1 Org'!$G25:$G39)*4/(SUM('1 Org'!$G25:$G39) - SUMIF('1 Org'!D25:D39,"X",'1 Org'!$G25:$G39)),MAX('1 Org'!AB25:AB39)),MIN('1 Org'!AF25:AF39))))</f>
        <v/>
      </c>
      <c r="F10" s="139" t="str">
        <f>IF(NOT('1 Org'!E24 = ""),'1 Org'!E24,IF(COUNTIF('1 Org'!E25:E39,"&gt;=0")=0,"", MIN(MAX(SUMPRODUCT('1 Org'!E25:E39,'1 Org'!$G25:$G39)*4/(SUM('1 Org'!$G25:$G39) - SUMIF('1 Org'!E25:E39,"X",'1 Org'!$G25:$G39)),MAX('1 Org'!AC25:AC39)),MIN('1 Org'!AG25:AG39))))</f>
        <v/>
      </c>
      <c r="G10" s="139" t="str">
        <f>IF(NOT('1 Org'!F24 = ""),'1 Org'!F24,IF(COUNTIF('1 Org'!F25:F39,"&gt;=0")=0,"", MIN(MAX(SUMPRODUCT('1 Org'!F25:F39,'1 Org'!$G25:$G39)*4/(SUM('1 Org'!$G25:$G39) - SUMIF('1 Org'!F25:F39,"X",'1 Org'!$G25:$G39)),MAX('1 Org'!AD25:AD39)),MIN('1 Org'!AH25:AH39))))</f>
        <v/>
      </c>
      <c r="H10" s="447">
        <f t="shared" ref="H10:H18" si="0">IF(AND(OR(D10="X",D10=""),OR(E10="X",E10=""),OR(F10="X",F10=""),OR(G10="X",G10="")),1,ROUND(MIN(IF(OR(D10="",D10="X"),4,D10),IF(OR(E10="",E10="X"),4,E10),IF(OR(F10="",F10="X"),4,F10),IF(OR(G10="",G10="X"),4,G10)),0))</f>
        <v>1</v>
      </c>
      <c r="I10" s="16"/>
      <c r="J10" s="448">
        <f t="shared" ref="J10:J18" si="1">IF(IF(IndG&gt;=3,MAX(H10,I10),H10)&lt;1,1,IF(IndG&gt;=3,MAX(H10,I10),H10))</f>
        <v>1</v>
      </c>
      <c r="L10" s="1163">
        <v>15</v>
      </c>
    </row>
    <row r="11" spans="1:12" s="34" customFormat="1" ht="12" customHeight="1" x14ac:dyDescent="0.25">
      <c r="A11" s="39"/>
      <c r="B11" s="273" t="s">
        <v>660</v>
      </c>
      <c r="C11" s="36" t="s">
        <v>1502</v>
      </c>
      <c r="D11" s="139">
        <f>IF(NOT('1 Org'!C40 = ""),'1 Org'!C40,IF(COUNTIF('1 Org'!C41:C43,"&gt;=0")=0,"", MIN(MAX(SUMPRODUCT('1 Org'!C41:C43,'1 Org'!$G41:$G43)*4/(SUM('1 Org'!$G41:$G43) - SUMIF('1 Org'!C41:C43,"X",'1 Org'!$G41:$G43)),MAX('1 Org'!AA41:AA43)),MIN('1 Org'!AE41:AE43))))</f>
        <v>1</v>
      </c>
      <c r="E11" s="139" t="str">
        <f>IF(NOT('1 Org'!D40 = ""),'1 Org'!D40,IF(COUNTIF('1 Org'!D41:D43,"&gt;=0")=0,"", MIN(MAX(SUMPRODUCT('1 Org'!D41:D43,'1 Org'!$G41:$G43)*4/(SUM('1 Org'!$G41:$G43) - SUMIF('1 Org'!D41:D43,"X",'1 Org'!$G41:$G43)),MAX('1 Org'!AB41:AB43)),MIN('1 Org'!AF41:AF43))))</f>
        <v/>
      </c>
      <c r="F11" s="139" t="str">
        <f>IF(NOT('1 Org'!E40 = ""),'1 Org'!E40,IF(COUNTIF('1 Org'!E41:E43,"&gt;=0")=0,"", MIN(MAX(SUMPRODUCT('1 Org'!E41:E43,'1 Org'!$G41:$G43)*4/(SUM('1 Org'!$G41:$G43) - SUMIF('1 Org'!E41:E43,"X",'1 Org'!$G41:$G43)),MAX('1 Org'!AC41:AC43)),MIN('1 Org'!AG41:AG43))))</f>
        <v/>
      </c>
      <c r="G11" s="139" t="str">
        <f>IF(NOT('1 Org'!F40 = ""),'1 Org'!F40,IF(COUNTIF('1 Org'!F41:F43,"&gt;=0")=0,"", MIN(MAX(SUMPRODUCT('1 Org'!F41:F43,'1 Org'!$G41:$G43)*4/(SUM('1 Org'!$G41:$G43) - SUMIF('1 Org'!F41:F43,"X",'1 Org'!$G41:$G43)),MAX('1 Org'!AD41:AD43)),MIN('1 Org'!AH41:AH43))))</f>
        <v/>
      </c>
      <c r="H11" s="447">
        <f t="shared" si="0"/>
        <v>1</v>
      </c>
      <c r="I11" s="16"/>
      <c r="J11" s="448">
        <f t="shared" si="1"/>
        <v>1</v>
      </c>
      <c r="L11" s="1163">
        <v>3</v>
      </c>
    </row>
    <row r="12" spans="1:12" s="34" customFormat="1" ht="12" customHeight="1" x14ac:dyDescent="0.25">
      <c r="A12" s="39"/>
      <c r="B12" s="273" t="s">
        <v>662</v>
      </c>
      <c r="C12" s="36" t="s">
        <v>663</v>
      </c>
      <c r="D12" s="139" t="str">
        <f>IF(NOT('1 Org'!C44 = ""),'1 Org'!C44,IF(COUNTIF('1 Org'!C45:C46,"&gt;=0")=0,"", MIN(MAX(SUMPRODUCT('1 Org'!C45:C46,'1 Org'!$G45:$G46)*4/(SUM('1 Org'!$G45:$G46) - SUMIF('1 Org'!C45:C46,"X",'1 Org'!$G45:$G46)),MAX('1 Org'!AA45:AA46)),MIN('1 Org'!AE45:AE46))))</f>
        <v/>
      </c>
      <c r="E12" s="139" t="str">
        <f>IF(NOT('1 Org'!D44 = ""),'1 Org'!D44,IF(COUNTIF('1 Org'!D45:D46,"&gt;=0")=0,"", MIN(MAX(SUMPRODUCT('1 Org'!D45:D46,'1 Org'!$G45:$G46)*4/(SUM('1 Org'!$G45:$G46) - SUMIF('1 Org'!D45:D46,"X",'1 Org'!$G45:$G46)),MAX('1 Org'!AB45:AB46)),MIN('1 Org'!AF45:AF46))))</f>
        <v/>
      </c>
      <c r="F12" s="139" t="str">
        <f>IF(NOT('1 Org'!E44 = ""),'1 Org'!E44,IF(COUNTIF('1 Org'!E45:E46,"&gt;=0")=0,"", MIN(MAX(SUMPRODUCT('1 Org'!E45:E46,'1 Org'!$G45:$G46)*4/(SUM('1 Org'!$G45:$G46) - SUMIF('1 Org'!E45:E46,"X",'1 Org'!$G45:$G46)),MAX('1 Org'!AC45:AC46)),MIN('1 Org'!AG45:AG46))))</f>
        <v/>
      </c>
      <c r="G12" s="139" t="str">
        <f>IF(NOT('1 Org'!F44 = ""),'1 Org'!F44,IF(COUNTIF('1 Org'!F45:F46,"&gt;=0")=0,"", MIN(MAX(SUMPRODUCT('1 Org'!F45:F46,'1 Org'!$G45:$G46)*4/(SUM('1 Org'!$G45:$G46) - SUMIF('1 Org'!F45:F46,"X",'1 Org'!$G45:$G46)),MAX('1 Org'!AD45:AD46)),MIN('1 Org'!AH45:AH46))))</f>
        <v/>
      </c>
      <c r="H12" s="447">
        <f t="shared" si="0"/>
        <v>1</v>
      </c>
      <c r="I12" s="16"/>
      <c r="J12" s="448">
        <f t="shared" si="1"/>
        <v>1</v>
      </c>
      <c r="L12" s="1163">
        <v>2</v>
      </c>
    </row>
    <row r="13" spans="1:12" s="34" customFormat="1" ht="12" customHeight="1" x14ac:dyDescent="0.25">
      <c r="A13" s="39"/>
      <c r="B13" s="273" t="s">
        <v>664</v>
      </c>
      <c r="C13" s="36" t="s">
        <v>129</v>
      </c>
      <c r="D13" s="139" t="str">
        <f>IF(NOT('1 Org'!C47 = ""),'1 Org'!C47,IF(COUNTIF('1 Org'!C48:C50,"&gt;=0")=0,"", MIN(MAX(SUMPRODUCT('1 Org'!C48:C50,'1 Org'!$G48:$G50)*4/(SUM('1 Org'!$G48:$G50) - SUMIF('1 Org'!C48:C50,"X",'1 Org'!$G48:$G50)),MAX('1 Org'!AA48:AA50)),MIN('1 Org'!AE48:AE50))))</f>
        <v/>
      </c>
      <c r="E13" s="139" t="str">
        <f>IF(NOT('1 Org'!D47 = ""),'1 Org'!D47,IF(COUNTIF('1 Org'!D48:D50,"&gt;=0")=0,"", MIN(MAX(SUMPRODUCT('1 Org'!D48:D50,'1 Org'!$G48:$G50)*4/(SUM('1 Org'!$G48:$G50) - SUMIF('1 Org'!D48:D50,"X",'1 Org'!$G48:$G50)),MAX('1 Org'!AB48:AB50)),MIN('1 Org'!AF48:AF50))))</f>
        <v/>
      </c>
      <c r="F13" s="139" t="str">
        <f>IF(NOT('1 Org'!E47 = ""),'1 Org'!E47,IF(COUNTIF('1 Org'!E48:E50,"&gt;=0")=0,"", MIN(MAX(SUMPRODUCT('1 Org'!E48:E50,'1 Org'!$G48:$G50)*4/(SUM('1 Org'!$G48:$G50) - SUMIF('1 Org'!E48:E50,"X",'1 Org'!$G48:$G50)),MAX('1 Org'!AC48:AC50)),MIN('1 Org'!AG48:AG50))))</f>
        <v/>
      </c>
      <c r="G13" s="139" t="str">
        <f>IF(NOT('1 Org'!F47 = ""),'1 Org'!F47,IF(COUNTIF('1 Org'!F48:F50,"&gt;=0")=0,"", MIN(MAX(SUMPRODUCT('1 Org'!F48:F50,'1 Org'!$G48:$G50)*4/(SUM('1 Org'!$G48:$G50) - SUMIF('1 Org'!F48:F50,"X",'1 Org'!$G48:$G50)),MAX('1 Org'!AD48:AD50)),MIN('1 Org'!AH48:AH50))))</f>
        <v/>
      </c>
      <c r="H13" s="447">
        <f t="shared" si="0"/>
        <v>1</v>
      </c>
      <c r="I13" s="16"/>
      <c r="J13" s="448">
        <f t="shared" si="1"/>
        <v>1</v>
      </c>
      <c r="L13" s="1163">
        <v>3</v>
      </c>
    </row>
    <row r="14" spans="1:12" s="34" customFormat="1" ht="12" customHeight="1" x14ac:dyDescent="0.25">
      <c r="A14" s="39"/>
      <c r="B14" s="273" t="s">
        <v>665</v>
      </c>
      <c r="C14" s="36" t="s">
        <v>45</v>
      </c>
      <c r="D14" s="139" t="str">
        <f>IF(NOT('1 Org'!C51 = ""),'1 Org'!C51,IF(COUNTIF('1 Org'!C52:C54,"&gt;=0")=0,"", MIN(MAX(SUMPRODUCT('1 Org'!C52:C54,'1 Org'!$G52:$G54)*4/(SUM('1 Org'!$G52:$G54) - SUMIF('1 Org'!C52:C54,"X",'1 Org'!$G52:$G54)),MAX('1 Org'!AA52:AA54)),MIN('1 Org'!AE52:AE54))))</f>
        <v/>
      </c>
      <c r="E14" s="139" t="str">
        <f>IF(NOT('1 Org'!D51 = ""),'1 Org'!D51,IF(COUNTIF('1 Org'!D52:D54,"&gt;=0")=0,"", MIN(MAX(SUMPRODUCT('1 Org'!D52:D54,'1 Org'!$G52:$G54)*4/(SUM('1 Org'!$G52:$G54) - SUMIF('1 Org'!D52:D54,"X",'1 Org'!$G52:$G54)),MAX('1 Org'!AB52:AB54)),MIN('1 Org'!AF52:AF54))))</f>
        <v/>
      </c>
      <c r="F14" s="139" t="str">
        <f>IF(NOT('1 Org'!E51 = ""),'1 Org'!E51,IF(COUNTIF('1 Org'!E52:E54,"&gt;=0")=0,"", MIN(MAX(SUMPRODUCT('1 Org'!E52:E54,'1 Org'!$G52:$G54)*4/(SUM('1 Org'!$G52:$G54) - SUMIF('1 Org'!E52:E54,"X",'1 Org'!$G52:$G54)),MAX('1 Org'!AC52:AC54)),MIN('1 Org'!AG52:AG54))))</f>
        <v/>
      </c>
      <c r="G14" s="139" t="str">
        <f>IF(NOT('1 Org'!F51 = ""),'1 Org'!F51,IF(COUNTIF('1 Org'!F52:F54,"&gt;=0")=0,"", MIN(MAX(SUMPRODUCT('1 Org'!F52:F54,'1 Org'!$G52:$G54)*4/(SUM('1 Org'!$G52:$G54) - SUMIF('1 Org'!F52:F54,"X",'1 Org'!$G52:$G54)),MAX('1 Org'!AD52:AD54)),MIN('1 Org'!AH52:AH54))))</f>
        <v/>
      </c>
      <c r="H14" s="447">
        <f t="shared" si="0"/>
        <v>1</v>
      </c>
      <c r="I14" s="16"/>
      <c r="J14" s="448">
        <f t="shared" si="1"/>
        <v>1</v>
      </c>
      <c r="L14" s="1163">
        <v>3</v>
      </c>
    </row>
    <row r="15" spans="1:12" s="34" customFormat="1" ht="12" customHeight="1" x14ac:dyDescent="0.25">
      <c r="A15" s="39"/>
      <c r="B15" s="273" t="s">
        <v>666</v>
      </c>
      <c r="C15" s="36" t="s">
        <v>667</v>
      </c>
      <c r="D15" s="139" t="str">
        <f>IF(NOT('1 Org'!C55 = ""),'1 Org'!C55,IF(COUNTIF('1 Org'!C56:C58,"&gt;=0")=0,"", MIN(MAX(SUMPRODUCT('1 Org'!C56:C58,'1 Org'!$G56:$G58)*4/(SUM('1 Org'!$G56:$G58) - SUMIF('1 Org'!C56:C58,"X",'1 Org'!$G56:$G58)),MAX('1 Org'!AA56:AA58)),MIN('1 Org'!AE56:AE58))))</f>
        <v/>
      </c>
      <c r="E15" s="139" t="str">
        <f>IF(NOT('1 Org'!D55 = ""),'1 Org'!D55,IF(COUNTIF('1 Org'!D56:D58,"&gt;=0")=0,"", MIN(MAX(SUMPRODUCT('1 Org'!D56:D58,'1 Org'!$G56:$G58)*4/(SUM('1 Org'!$G56:$G58) - SUMIF('1 Org'!D56:D58,"X",'1 Org'!$G56:$G58)),MAX('1 Org'!AB56:AB58)),MIN('1 Org'!AF56:AF58))))</f>
        <v/>
      </c>
      <c r="F15" s="139" t="str">
        <f>IF(NOT('1 Org'!E55 = ""),'1 Org'!E55,IF(COUNTIF('1 Org'!E56:E58,"&gt;=0")=0,"", MIN(MAX(SUMPRODUCT('1 Org'!E56:E58,'1 Org'!$G56:$G58)*4/(SUM('1 Org'!$G56:$G58) - SUMIF('1 Org'!E56:E58,"X",'1 Org'!$G56:$G58)),MAX('1 Org'!AC56:AC58)),MIN('1 Org'!AG56:AG58))))</f>
        <v/>
      </c>
      <c r="G15" s="139" t="str">
        <f>IF(NOT('1 Org'!F55 = ""),'1 Org'!F55,IF(COUNTIF('1 Org'!F56:F58,"&gt;=0")=0,"", MIN(MAX(SUMPRODUCT('1 Org'!F56:F58,'1 Org'!$G56:$G58)*4/(SUM('1 Org'!$G56:$G58) - SUMIF('1 Org'!F56:F58,"X",'1 Org'!$G56:$G58)),MAX('1 Org'!AD56:AD58)),MIN('1 Org'!AH56:AH58))))</f>
        <v/>
      </c>
      <c r="H15" s="447">
        <f t="shared" si="0"/>
        <v>1</v>
      </c>
      <c r="I15" s="16"/>
      <c r="J15" s="448">
        <f t="shared" si="1"/>
        <v>1</v>
      </c>
      <c r="L15" s="1163">
        <v>3</v>
      </c>
    </row>
    <row r="16" spans="1:12" s="34" customFormat="1" ht="12" customHeight="1" x14ac:dyDescent="0.25">
      <c r="A16" s="39"/>
      <c r="B16" s="273" t="s">
        <v>668</v>
      </c>
      <c r="C16" s="36" t="s">
        <v>6906</v>
      </c>
      <c r="D16" s="139">
        <f>IF(NOT('1 Org'!C59 = ""),'1 Org'!C59,IF(COUNTIF('1 Org'!C60:C61,"&gt;=0")=0,"", MIN(MAX(SUMPRODUCT('1 Org'!C60:C61,'1 Org'!$G60:$G61)*4/(SUM('1 Org'!$G60:$G61) - SUMIF('1 Org'!C60:C61,"X",'1 Org'!$G60:$G61)),MAX('1 Org'!AA60:AA61)),MIN('1 Org'!AE60:AE61))))</f>
        <v>0</v>
      </c>
      <c r="E16" s="139" t="str">
        <f>IF(NOT('1 Org'!D59 = ""),'1 Org'!D59,IF(COUNTIF('1 Org'!D60:D61,"&gt;=0")=0,"", MIN(MAX(SUMPRODUCT('1 Org'!D60:D61,'1 Org'!$G60:$G61)*4/(SUM('1 Org'!$G60:$G61) - SUMIF('1 Org'!D60:D61,"X",'1 Org'!$G60:$G61)),MAX('1 Org'!AB60:AB61)),MIN('1 Org'!AF60:AF61))))</f>
        <v/>
      </c>
      <c r="F16" s="139" t="str">
        <f>IF(NOT('1 Org'!E59 = ""),'1 Org'!E59,IF(COUNTIF('1 Org'!E60:E61,"&gt;=0")=0,"", MIN(MAX(SUMPRODUCT('1 Org'!E60:E61,'1 Org'!$G60:$G61)*4/(SUM('1 Org'!$G60:$G61) - SUMIF('1 Org'!E60:E61,"X",'1 Org'!$G60:$G61)),MAX('1 Org'!AC60:AC61)),MIN('1 Org'!AG60:AG61))))</f>
        <v/>
      </c>
      <c r="G16" s="139" t="str">
        <f>IF(NOT('1 Org'!F59 = ""),'1 Org'!F59,IF(COUNTIF('1 Org'!F60:F61,"&gt;=0")=0,"", MIN(MAX(SUMPRODUCT('1 Org'!F60:F61,'1 Org'!$G60:$G61)*4/(SUM('1 Org'!$G60:$G61) - SUMIF('1 Org'!F60:F61,"X",'1 Org'!$G60:$G61)),MAX('1 Org'!AD60:AD61)),MIN('1 Org'!AH60:AH61))))</f>
        <v/>
      </c>
      <c r="H16" s="447">
        <f t="shared" si="0"/>
        <v>0</v>
      </c>
      <c r="I16" s="16"/>
      <c r="J16" s="448">
        <f t="shared" si="1"/>
        <v>1</v>
      </c>
      <c r="L16" s="1163">
        <v>2</v>
      </c>
    </row>
    <row r="17" spans="1:12" s="34" customFormat="1" ht="12" customHeight="1" x14ac:dyDescent="0.25">
      <c r="A17" s="39"/>
      <c r="B17" s="273" t="s">
        <v>670</v>
      </c>
      <c r="C17" s="36" t="s">
        <v>6912</v>
      </c>
      <c r="D17" s="139" t="str">
        <f>IF(NOT('1 Org'!C62 = ""),'1 Org'!C62,IF(COUNTIF('1 Org'!C63:C65,"&gt;=0")=0,"", MIN(MAX(SUMPRODUCT('1 Org'!C63:C65,'1 Org'!$G63:$G65)*4/(SUM('1 Org'!$G63:$G65) - SUMIF('1 Org'!C63:C65,"X",'1 Org'!$G63:$G65)),MAX('1 Org'!AA63:AA65)),MIN('1 Org'!AE63:AE65))))</f>
        <v/>
      </c>
      <c r="E17" s="139" t="str">
        <f>IF(NOT('1 Org'!D62 = ""),'1 Org'!D62,IF(COUNTIF('1 Org'!D63:D65,"&gt;=0")=0,"", MIN(MAX(SUMPRODUCT('1 Org'!D63:D65,'1 Org'!$G63:$G65)*4/(SUM('1 Org'!$G63:$G65) - SUMIF('1 Org'!D63:D65,"X",'1 Org'!$G63:$G65)),MAX('1 Org'!AB63:AB65)),MIN('1 Org'!AF63:AF65))))</f>
        <v/>
      </c>
      <c r="F17" s="139" t="str">
        <f>IF(NOT('1 Org'!E62 = ""),'1 Org'!E62,IF(COUNTIF('1 Org'!E63:E65,"&gt;=0")=0,"", MIN(MAX(SUMPRODUCT('1 Org'!E63:E65,'1 Org'!$G63:$G65)*4/(SUM('1 Org'!$G63:$G65) - SUMIF('1 Org'!E63:E65,"X",'1 Org'!$G63:$G65)),MAX('1 Org'!AC63:AC65)),MIN('1 Org'!AG63:AG65))))</f>
        <v/>
      </c>
      <c r="G17" s="139" t="str">
        <f>IF(NOT('1 Org'!F62 = ""),'1 Org'!F62,IF(COUNTIF('1 Org'!F63:F65,"&gt;=0")=0,"", MIN(MAX(SUMPRODUCT('1 Org'!F63:F65,'1 Org'!$G63:$G65)*4/(SUM('1 Org'!$G63:$G65) - SUMIF('1 Org'!F63:F65,"X",'1 Org'!$G63:$G65)),MAX('1 Org'!AD63:AD65)),MIN('1 Org'!AH63:AH65))))</f>
        <v/>
      </c>
      <c r="H17" s="447">
        <f t="shared" si="0"/>
        <v>1</v>
      </c>
      <c r="I17" s="16"/>
      <c r="J17" s="448">
        <f t="shared" si="1"/>
        <v>1</v>
      </c>
      <c r="L17" s="1163">
        <v>3</v>
      </c>
    </row>
    <row r="18" spans="1:12" s="34" customFormat="1" ht="12" customHeight="1" x14ac:dyDescent="0.25">
      <c r="A18" s="39"/>
      <c r="B18" s="273" t="s">
        <v>672</v>
      </c>
      <c r="C18" s="36" t="s">
        <v>1452</v>
      </c>
      <c r="D18" s="139" t="str">
        <f>IF(NOT('1 Org'!C66 = ""),'1 Org'!C66,IF(COUNTIF('1 Org'!C67:C68,"&gt;=0")=0,"", MIN(MAX(SUMPRODUCT('1 Org'!C67:C68,'1 Org'!$G67:$G68)*4/(SUM('1 Org'!$G67:$G68) - SUMIF('1 Org'!C67:C68,"X",'1 Org'!$G67:$G68)),MAX('1 Org'!AA67:AA68)),MIN('1 Org'!AE67:AE68))))</f>
        <v/>
      </c>
      <c r="E18" s="139" t="str">
        <f>IF(NOT('1 Org'!D66 = ""),'1 Org'!D66,IF(COUNTIF('1 Org'!D67:D68,"&gt;=0")=0,"", MIN(MAX(SUMPRODUCT('1 Org'!D67:D68,'1 Org'!$G67:$G68)*4/(SUM('1 Org'!$G67:$G68) - SUMIF('1 Org'!D67:D68,"X",'1 Org'!$G67:$G68)),MAX('1 Org'!AB67:AB68)),MIN('1 Org'!AF67:AF68))))</f>
        <v/>
      </c>
      <c r="F18" s="139" t="str">
        <f>IF(NOT('1 Org'!E66 = ""),'1 Org'!E66,IF(COUNTIF('1 Org'!E67:E68,"&gt;=0")=0,"", MIN(MAX(SUMPRODUCT('1 Org'!E67:E68,'1 Org'!$G67:$G68)*4/(SUM('1 Org'!$G67:$G68) - SUMIF('1 Org'!E67:E68,"X",'1 Org'!$G67:$G68)),MAX('1 Org'!AC67:AC68)),MIN('1 Org'!AG67:AG68))))</f>
        <v/>
      </c>
      <c r="G18" s="139" t="str">
        <f>IF(NOT('1 Org'!F66 = ""),'1 Org'!F66,IF(COUNTIF('1 Org'!F67:F68,"&gt;=0")=0,"", MIN(MAX(SUMPRODUCT('1 Org'!F67:F68,'1 Org'!$G67:$G68)*4/(SUM('1 Org'!$G67:$G68) - SUMIF('1 Org'!F67:F68,"X",'1 Org'!$G67:$G68)),MAX('1 Org'!AD67:AD68)),MIN('1 Org'!AH67:AH68))))</f>
        <v/>
      </c>
      <c r="H18" s="447">
        <f t="shared" si="0"/>
        <v>1</v>
      </c>
      <c r="I18" s="16"/>
      <c r="J18" s="448">
        <f t="shared" si="1"/>
        <v>1</v>
      </c>
      <c r="L18" s="1163">
        <v>2</v>
      </c>
    </row>
    <row r="19" spans="1:12" s="34" customFormat="1" ht="12" customHeight="1" x14ac:dyDescent="0.25">
      <c r="A19" s="39"/>
      <c r="B19" s="35" t="s">
        <v>504</v>
      </c>
      <c r="C19" s="37"/>
      <c r="D19" s="139"/>
      <c r="E19" s="139"/>
      <c r="F19" s="139"/>
      <c r="G19" s="139"/>
      <c r="H19" s="447"/>
      <c r="I19" s="16"/>
      <c r="J19" s="448"/>
      <c r="L19" s="1162"/>
    </row>
    <row r="20" spans="1:12" s="34" customFormat="1" ht="12" customHeight="1" x14ac:dyDescent="0.25">
      <c r="A20" s="39"/>
      <c r="B20" s="202" t="s">
        <v>679</v>
      </c>
      <c r="C20" s="36" t="s">
        <v>556</v>
      </c>
      <c r="D20" s="139" t="str">
        <f>IF(NOT('1 Org'!C70 = ""),'1 Org'!C70,IF(COUNTIF('1 Org'!C71:C77,"&gt;=0")=0,"", MIN(MAX(SUMPRODUCT('1 Org'!C71:C77,'1 Org'!$G71:$G77)*4/(SUM('1 Org'!$G71:$G77) - SUMIF('1 Org'!C71:C77,"X",'1 Org'!$G71:$G77)),MAX('1 Org'!AA71:AA77)),MIN('1 Org'!AE71:AE77))))</f>
        <v/>
      </c>
      <c r="E20" s="139" t="str">
        <f>IF(NOT('1 Org'!D70 = ""),'1 Org'!D70,IF(COUNTIF('1 Org'!D71:D77,"&gt;=0")=0,"", MIN(MAX(SUMPRODUCT('1 Org'!D71:D77,'1 Org'!$G71:$G77)*4/(SUM('1 Org'!$G71:$G77) - SUMIF('1 Org'!D71:D77,"X",'1 Org'!$G71:$G77)),MAX('1 Org'!AB71:AB77)),MIN('1 Org'!AF71:AF77))))</f>
        <v/>
      </c>
      <c r="F20" s="139" t="str">
        <f>IF(NOT('1 Org'!E70 = ""),'1 Org'!E70,IF(COUNTIF('1 Org'!E71:E77,"&gt;=0")=0,"", MIN(MAX(SUMPRODUCT('1 Org'!E71:E77,'1 Org'!$G71:$G77)*4/(SUM('1 Org'!$G71:$G77) - SUMIF('1 Org'!E71:E77,"X",'1 Org'!$G71:$G77)),MAX('1 Org'!AC71:AC77)),MIN('1 Org'!AG71:AG77))))</f>
        <v/>
      </c>
      <c r="G20" s="139" t="str">
        <f>IF(NOT('1 Org'!F70 = ""),'1 Org'!F70,IF(COUNTIF('1 Org'!F71:F77,"&gt;=0")=0,"", MIN(MAX(SUMPRODUCT('1 Org'!F71:F77,'1 Org'!$G71:$G77)*4/(SUM('1 Org'!$G71:$G77) - SUMIF('1 Org'!F71:F77,"X",'1 Org'!$G71:$G77)),MAX('1 Org'!AD71:AD77)),MIN('1 Org'!AH71:AH77))))</f>
        <v/>
      </c>
      <c r="H20" s="447">
        <f t="shared" ref="H20:H28" si="2">IF(AND(OR(D20="X",D20=""),OR(E20="X",E20=""),OR(F20="X",F20=""),OR(G20="X",G20="")),1,ROUND(MIN(IF(OR(D20="",D20="X"),4,D20),IF(OR(E20="",E20="X"),4,E20),IF(OR(F20="",F20="X"),4,F20),IF(OR(G20="",G20="X"),4,G20)),0))</f>
        <v>1</v>
      </c>
      <c r="I20" s="16"/>
      <c r="J20" s="448">
        <f t="shared" ref="J20:J25" si="3">IF(IF(IndG&gt;=3,MAX(H20,I20),H20)&lt;1,1,IF(IndG&gt;=3,MAX(H20,I20),H20))</f>
        <v>1</v>
      </c>
      <c r="L20" s="1163">
        <v>7</v>
      </c>
    </row>
    <row r="21" spans="1:12" s="34" customFormat="1" ht="13.5" customHeight="1" x14ac:dyDescent="0.25">
      <c r="A21" s="39"/>
      <c r="B21" s="202" t="s">
        <v>680</v>
      </c>
      <c r="C21" s="126" t="s">
        <v>6789</v>
      </c>
      <c r="D21" s="139" t="str">
        <f>IF(NOT('1 Org'!C78 = ""),'1 Org'!C78,IF(COUNTIF('1 Org'!C79:C80,"&gt;=0")=0,"", MIN(MAX(SUMPRODUCT('1 Org'!C79:C80,'1 Org'!$G79:$G80)*4/(SUM('1 Org'!$G79:$G80) - SUMIF('1 Org'!C79:C80,"X",'1 Org'!$G79:$G80)),MAX('1 Org'!AA79:AA80)),MIN('1 Org'!AE79:AE80))))</f>
        <v/>
      </c>
      <c r="E21" s="139" t="str">
        <f>IF(NOT('1 Org'!D78 = ""),'1 Org'!D78,IF(COUNTIF('1 Org'!D79:D80,"&gt;=0")=0,"", MIN(MAX(SUMPRODUCT('1 Org'!D79:D80,'1 Org'!$G79:$G80)*4/(SUM('1 Org'!$G79:$G80) - SUMIF('1 Org'!D79:D80,"X",'1 Org'!$G79:$G80)),MAX('1 Org'!AB79:AB80)),MIN('1 Org'!AF79:AF80))))</f>
        <v/>
      </c>
      <c r="F21" s="139" t="str">
        <f>IF(NOT('1 Org'!E78 = ""),'1 Org'!E78,IF(COUNTIF('1 Org'!E79:E80,"&gt;=0")=0,"", MIN(MAX(SUMPRODUCT('1 Org'!E79:E80,'1 Org'!$G79:$G80)*4/(SUM('1 Org'!$G79:$G80) - SUMIF('1 Org'!E79:E80,"X",'1 Org'!$G79:$G80)),MAX('1 Org'!AC79:AC80)),MIN('1 Org'!AG79:AG80))))</f>
        <v/>
      </c>
      <c r="G21" s="139" t="str">
        <f>IF(NOT('1 Org'!F78 = ""),'1 Org'!F78,IF(COUNTIF('1 Org'!F79:F80,"&gt;=0")=0,"", MIN(MAX(SUMPRODUCT('1 Org'!F79:F80,'1 Org'!$G79:$G80)*4/(SUM('1 Org'!$G79:$G80) - SUMIF('1 Org'!F79:F80,"X",'1 Org'!$G79:$G80)),MAX('1 Org'!AD79:AD80)),MIN('1 Org'!AH79:AH80))))</f>
        <v/>
      </c>
      <c r="H21" s="447">
        <f t="shared" si="2"/>
        <v>1</v>
      </c>
      <c r="I21" s="16"/>
      <c r="J21" s="448">
        <f t="shared" si="3"/>
        <v>1</v>
      </c>
      <c r="L21" s="1163">
        <v>2</v>
      </c>
    </row>
    <row r="22" spans="1:12" s="34" customFormat="1" ht="12" customHeight="1" x14ac:dyDescent="0.25">
      <c r="A22" s="39"/>
      <c r="B22" s="202" t="s">
        <v>681</v>
      </c>
      <c r="C22" s="36" t="s">
        <v>557</v>
      </c>
      <c r="D22" s="139" t="str">
        <f>IF(NOT('1 Org'!C81 = ""),'1 Org'!C81,IF(COUNTIF('1 Org'!C82:C84,"&gt;=0")=0,"", MIN(MAX(SUMPRODUCT('1 Org'!C82:C84,'1 Org'!$G82:$G84)*4/(SUM('1 Org'!$G82:$G84) - SUMIF('1 Org'!C82:C84,"X",'1 Org'!$G82:$G84)),MAX('1 Org'!AA82:AA84)),MIN('1 Org'!AE82:AE84))))</f>
        <v/>
      </c>
      <c r="E22" s="139" t="str">
        <f>IF(NOT('1 Org'!D81 = ""),'1 Org'!D81,IF(COUNTIF('1 Org'!D82:D84,"&gt;=0")=0,"", MIN(MAX(SUMPRODUCT('1 Org'!D82:D84,'1 Org'!$G82:$G84)*4/(SUM('1 Org'!$G82:$G84) - SUMIF('1 Org'!D82:D84,"X",'1 Org'!$G82:$G84)),MAX('1 Org'!AB82:AB84)),MIN('1 Org'!AF82:AF84))))</f>
        <v/>
      </c>
      <c r="F22" s="139" t="str">
        <f>IF(NOT('1 Org'!E81 = ""),'1 Org'!E81,IF(COUNTIF('1 Org'!E82:E84,"&gt;=0")=0,"", MIN(MAX(SUMPRODUCT('1 Org'!E82:E84,'1 Org'!$G82:$G84)*4/(SUM('1 Org'!$G82:$G84) - SUMIF('1 Org'!E82:E84,"X",'1 Org'!$G82:$G84)),MAX('1 Org'!AC82:AC84)),MIN('1 Org'!AG82:AG84))))</f>
        <v/>
      </c>
      <c r="G22" s="139" t="str">
        <f>IF(NOT('1 Org'!F81 = ""),'1 Org'!F81,IF(COUNTIF('1 Org'!F82:F84,"&gt;=0")=0,"", MIN(MAX(SUMPRODUCT('1 Org'!F82:F84,'1 Org'!$G82:$G84)*4/(SUM('1 Org'!$G82:$G84) - SUMIF('1 Org'!F82:F84,"X",'1 Org'!$G82:$G84)),MAX('1 Org'!AD82:AD84)),MIN('1 Org'!AH82:AH84))))</f>
        <v/>
      </c>
      <c r="H22" s="447">
        <f t="shared" si="2"/>
        <v>1</v>
      </c>
      <c r="I22" s="16"/>
      <c r="J22" s="448">
        <f t="shared" si="3"/>
        <v>1</v>
      </c>
      <c r="L22" s="1163">
        <v>3</v>
      </c>
    </row>
    <row r="23" spans="1:12" s="34" customFormat="1" ht="12" customHeight="1" x14ac:dyDescent="0.25">
      <c r="A23" s="39"/>
      <c r="B23" s="202" t="s">
        <v>682</v>
      </c>
      <c r="C23" s="36" t="s">
        <v>125</v>
      </c>
      <c r="D23" s="139" t="str">
        <f>IF(NOT('1 Org'!C85 = ""),'1 Org'!C85,IF(COUNTIF('1 Org'!C86:C88,"&gt;=0")=0,"", MIN(MAX(SUMPRODUCT('1 Org'!C86:C88,'1 Org'!$G86:$G88)*4/(SUM('1 Org'!$G86:$G88) - SUMIF('1 Org'!C86:C88,"X",'1 Org'!$G86:$G88)),MAX('1 Org'!AA86:AA88)),MIN('1 Org'!AE86:AE88))))</f>
        <v/>
      </c>
      <c r="E23" s="139" t="str">
        <f>IF(NOT('1 Org'!D85 = ""),'1 Org'!D85,IF(COUNTIF('1 Org'!D86:D88,"&gt;=0")=0,"", MIN(MAX(SUMPRODUCT('1 Org'!D86:D88,'1 Org'!$G86:$G88)*4/(SUM('1 Org'!$G86:$G88) - SUMIF('1 Org'!D86:D88,"X",'1 Org'!$G86:$G88)),MAX('1 Org'!AB86:AB88)),MIN('1 Org'!AF86:AF88))))</f>
        <v/>
      </c>
      <c r="F23" s="139" t="str">
        <f>IF(NOT('1 Org'!E85 = ""),'1 Org'!E85,IF(COUNTIF('1 Org'!E86:E88,"&gt;=0")=0,"", MIN(MAX(SUMPRODUCT('1 Org'!E86:E88,'1 Org'!$G86:$G88)*4/(SUM('1 Org'!$G86:$G88) - SUMIF('1 Org'!E86:E88,"X",'1 Org'!$G86:$G88)),MAX('1 Org'!AC86:AC88)),MIN('1 Org'!AG86:AG88))))</f>
        <v/>
      </c>
      <c r="G23" s="139" t="str">
        <f>IF(NOT('1 Org'!F85 = ""),'1 Org'!F85,IF(COUNTIF('1 Org'!F86:F88,"&gt;=0")=0,"", MIN(MAX(SUMPRODUCT('1 Org'!F86:F88,'1 Org'!$G86:$G88)*4/(SUM('1 Org'!$G86:$G88) - SUMIF('1 Org'!F86:F88,"X",'1 Org'!$G86:$G88)),MAX('1 Org'!AD86:AD88)),MIN('1 Org'!AH86:AH88))))</f>
        <v/>
      </c>
      <c r="H23" s="447">
        <f t="shared" si="2"/>
        <v>1</v>
      </c>
      <c r="I23" s="16"/>
      <c r="J23" s="448">
        <f t="shared" si="3"/>
        <v>1</v>
      </c>
      <c r="L23" s="1163">
        <v>3</v>
      </c>
    </row>
    <row r="24" spans="1:12" s="34" customFormat="1" ht="12" customHeight="1" x14ac:dyDescent="0.25">
      <c r="A24" s="39"/>
      <c r="B24" s="202" t="s">
        <v>683</v>
      </c>
      <c r="C24" s="36" t="s">
        <v>684</v>
      </c>
      <c r="D24" s="139" t="str">
        <f>IF(NOT('1 Org'!C89 = ""),'1 Org'!C89,IF(COUNTIF('1 Org'!C90:C92,"&gt;=0")=0,"", MIN(MAX(SUMPRODUCT('1 Org'!C90:C92,'1 Org'!$G90:$G92)*4/(SUM('1 Org'!$G90:$G92) - SUMIF('1 Org'!C90:C92,"X",'1 Org'!$G90:$G92)),MAX('1 Org'!AA90:AA92)),MIN('1 Org'!AE90:AE92))))</f>
        <v/>
      </c>
      <c r="E24" s="139" t="str">
        <f>IF(NOT('1 Org'!D89 = ""),'1 Org'!D89,IF(COUNTIF('1 Org'!D90:D92,"&gt;=0")=0,"", MIN(MAX(SUMPRODUCT('1 Org'!D90:D92,'1 Org'!$G90:$G92)*4/(SUM('1 Org'!$G90:$G92) - SUMIF('1 Org'!D90:D92,"X",'1 Org'!$G90:$G92)),MAX('1 Org'!AB90:AB92)),MIN('1 Org'!AF90:AF92))))</f>
        <v/>
      </c>
      <c r="F24" s="139" t="str">
        <f>IF(NOT('1 Org'!E89 = ""),'1 Org'!E89,IF(COUNTIF('1 Org'!E90:E92,"&gt;=0")=0,"", MIN(MAX(SUMPRODUCT('1 Org'!E90:E92,'1 Org'!$G90:$G92)*4/(SUM('1 Org'!$G90:$G92) - SUMIF('1 Org'!E90:E92,"X",'1 Org'!$G90:$G92)),MAX('1 Org'!AC90:AC92)),MIN('1 Org'!AG90:AG92))))</f>
        <v/>
      </c>
      <c r="G24" s="139" t="str">
        <f>IF(NOT('1 Org'!F89 = ""),'1 Org'!F89,IF(COUNTIF('1 Org'!F90:F92,"&gt;=0")=0,"", MIN(MAX(SUMPRODUCT('1 Org'!F90:F92,'1 Org'!$G90:$G92)*4/(SUM('1 Org'!$G90:$G92) - SUMIF('1 Org'!F90:F92,"X",'1 Org'!$G90:$G92)),MAX('1 Org'!AD90:AD92)),MIN('1 Org'!AH90:AH92))))</f>
        <v/>
      </c>
      <c r="H24" s="447">
        <f t="shared" si="2"/>
        <v>1</v>
      </c>
      <c r="I24" s="16"/>
      <c r="J24" s="448">
        <f t="shared" si="3"/>
        <v>1</v>
      </c>
      <c r="L24" s="1163">
        <v>3</v>
      </c>
    </row>
    <row r="25" spans="1:12" s="34" customFormat="1" ht="12" customHeight="1" x14ac:dyDescent="0.25">
      <c r="A25" s="39"/>
      <c r="B25" s="202" t="s">
        <v>3247</v>
      </c>
      <c r="C25" s="40" t="s">
        <v>4817</v>
      </c>
      <c r="D25" s="139">
        <f>IF(NOT('1 Org'!C93 = ""),'1 Org'!C93,IF(COUNTIF('1 Org'!C94:C98,"&gt;=0")=0,"", MIN(MAX(SUMPRODUCT('1 Org'!C94:C98,'1 Org'!$G94:$G98)*4/(SUM('1 Org'!$G94:$G98) - SUMIF('1 Org'!C94:C98,"X",'1 Org'!$G94:$G98)),MAX('1 Org'!AA94:AA98)),MIN('1 Org'!AE94:AE98))))</f>
        <v>0</v>
      </c>
      <c r="E25" s="139" t="str">
        <f>IF(NOT('1 Org'!D93 = ""),'1 Org'!D93,IF(COUNTIF('1 Org'!D94:D98,"&gt;=0")=0,"", MIN(MAX(SUMPRODUCT('1 Org'!D94:D98,'1 Org'!$G94:$G98)*4/(SUM('1 Org'!$G94:$G98) - SUMIF('1 Org'!D94:D98,"X",'1 Org'!$G94:$G98)),MAX('1 Org'!AB94:AB98)),MIN('1 Org'!AF94:AF98))))</f>
        <v/>
      </c>
      <c r="F25" s="139" t="str">
        <f>IF(NOT('1 Org'!E93 = ""),'1 Org'!E93,IF(COUNTIF('1 Org'!E94:E98,"&gt;=0")=0,"", MIN(MAX(SUMPRODUCT('1 Org'!E94:E98,'1 Org'!$G94:$G98)*4/(SUM('1 Org'!$G94:$G98) - SUMIF('1 Org'!E94:E98,"X",'1 Org'!$G94:$G98)),MAX('1 Org'!AC94:AC98)),MIN('1 Org'!AG94:AG98))))</f>
        <v/>
      </c>
      <c r="G25" s="139" t="str">
        <f>IF(NOT('1 Org'!F93 = ""),'1 Org'!F93,IF(COUNTIF('1 Org'!F94:F98,"&gt;=0")=0,"", MIN(MAX(SUMPRODUCT('1 Org'!F94:F98,'1 Org'!$G94:$G98)*4/(SUM('1 Org'!$G94:$G98) - SUMIF('1 Org'!F94:F98,"X",'1 Org'!$G94:$G98)),MAX('1 Org'!AD94:AD98)),MIN('1 Org'!AH94:AH98))))</f>
        <v/>
      </c>
      <c r="H25" s="447">
        <f>IF(AND(OR(D25="X",D25=""),OR(E25="X",E25=""),OR(F25="X",F25=""),OR(G25="X",G25="")),1,ROUND(MIN(IF(OR(D25="",D25="X"),4,D25),IF(OR(E25="",E25="X"),4,E25),IF(OR(F25="",F25="X"),4,F25),IF(OR(G25="",G25="X"),4,G25)),0))</f>
        <v>0</v>
      </c>
      <c r="I25" s="16" t="str">
        <f>IF(OR(Projets!C11 = 1, Projets!D11 = 1), IF(IndG = 3, Projets!I11,IF(AND(IndG = 4,NOT(Projets!F11= ""), Projets!F11&lt;dateanal ),Projets!I11, "")),"")</f>
        <v/>
      </c>
      <c r="J25" s="448">
        <f t="shared" si="3"/>
        <v>1</v>
      </c>
      <c r="L25" s="1163">
        <v>5</v>
      </c>
    </row>
    <row r="26" spans="1:12" s="34" customFormat="1" ht="12" customHeight="1" x14ac:dyDescent="0.25">
      <c r="A26" s="39"/>
      <c r="B26" s="35" t="s">
        <v>675</v>
      </c>
      <c r="C26" s="39"/>
      <c r="D26" s="139"/>
      <c r="E26" s="139"/>
      <c r="F26" s="139"/>
      <c r="G26" s="139"/>
      <c r="H26" s="447"/>
      <c r="I26" s="16"/>
      <c r="J26" s="448"/>
      <c r="L26" s="1162"/>
    </row>
    <row r="27" spans="1:12" s="34" customFormat="1" ht="12" customHeight="1" x14ac:dyDescent="0.25">
      <c r="A27" s="39"/>
      <c r="B27" s="202" t="s">
        <v>678</v>
      </c>
      <c r="C27" s="36" t="s">
        <v>503</v>
      </c>
      <c r="D27" s="139" t="str">
        <f>IF(NOT('1 Org'!C100 = ""),'1 Org'!C100,IF(COUNTIF('1 Org'!C101:C107,"&gt;=0")=0,"", MIN(MAX(SUMPRODUCT('1 Org'!C101:C107,'1 Org'!$G101:$G107)*4/(SUM('1 Org'!$G101:$G107) - SUMIF('1 Org'!C101:C107,"X",'1 Org'!$G101:$G107)),MAX('1 Org'!AA101:AA107)),MIN('1 Org'!AE101:AE107))))</f>
        <v/>
      </c>
      <c r="E27" s="139" t="str">
        <f>IF(NOT('1 Org'!D100 = ""),'1 Org'!D100,IF(COUNTIF('1 Org'!D101:D107,"&gt;=0")=0,"", MIN(MAX(SUMPRODUCT('1 Org'!D101:D107,'1 Org'!$G101:$G107)*4/(SUM('1 Org'!$G101:$G107) - SUMIF('1 Org'!D101:D107,"X",'1 Org'!$G101:$G107)),MAX('1 Org'!AB101:AB107)),MIN('1 Org'!AF101:AF107))))</f>
        <v/>
      </c>
      <c r="F27" s="139" t="str">
        <f>IF(NOT('1 Org'!E100 = ""),'1 Org'!E100,IF(COUNTIF('1 Org'!E101:E107,"&gt;=0")=0,"", MIN(MAX(SUMPRODUCT('1 Org'!E101:E107,'1 Org'!$G101:$G107)*4/(SUM('1 Org'!$G101:$G107) - SUMIF('1 Org'!E101:E107,"X",'1 Org'!$G101:$G107)),MAX('1 Org'!AC101:AC107)),MIN('1 Org'!AG101:AG107))))</f>
        <v/>
      </c>
      <c r="G27" s="139" t="str">
        <f>IF(NOT('1 Org'!F100 = ""),'1 Org'!F100,IF(COUNTIF('1 Org'!F101:F107,"&gt;=0")=0,"", MIN(MAX(SUMPRODUCT('1 Org'!F101:F107,'1 Org'!$G101:$G107)*4/(SUM('1 Org'!$G101:$G107) - SUMIF('1 Org'!F101:F107,"X",'1 Org'!$G101:$G107)),MAX('1 Org'!AD101:AD107)),MIN('1 Org'!AH101:AH107))))</f>
        <v/>
      </c>
      <c r="H27" s="447">
        <f t="shared" si="2"/>
        <v>1</v>
      </c>
      <c r="I27" s="16"/>
      <c r="J27" s="448">
        <f>IF(IF(IndG&gt;=3,MAX(H27,I27),H27)&lt;1,1,IF(IndG&gt;=3,MAX(H27,I27),H27))</f>
        <v>1</v>
      </c>
      <c r="L27" s="1163">
        <v>7</v>
      </c>
    </row>
    <row r="28" spans="1:12" s="34" customFormat="1" ht="12" customHeight="1" x14ac:dyDescent="0.25">
      <c r="A28" s="39"/>
      <c r="B28" s="202" t="s">
        <v>676</v>
      </c>
      <c r="C28" s="36" t="s">
        <v>1511</v>
      </c>
      <c r="D28" s="139" t="str">
        <f>IF(NOT('1 Org'!C108 = ""),'1 Org'!C108,IF(COUNTIF('1 Org'!C109:C112,"&gt;=0")=0,"", MIN(MAX(SUMPRODUCT('1 Org'!C109:C112,'1 Org'!$G109:$G112)*4/(SUM('1 Org'!$G109:$G112) - SUMIF('1 Org'!C109:C112,"X",'1 Org'!$G109:$G112)),MAX('1 Org'!AA109:AA112)),MIN('1 Org'!AE109:AE112))))</f>
        <v/>
      </c>
      <c r="E28" s="139" t="str">
        <f>IF(NOT('1 Org'!D108 = ""),'1 Org'!D108,IF(COUNTIF('1 Org'!D109:D112,"&gt;=0")=0,"", MIN(MAX(SUMPRODUCT('1 Org'!D109:D112,'1 Org'!$G109:$G112)*4/(SUM('1 Org'!$G109:$G112) - SUMIF('1 Org'!D109:D112,"X",'1 Org'!$G109:$G112)),MAX('1 Org'!AB109:AB112)),MIN('1 Org'!AF109:AF112))))</f>
        <v/>
      </c>
      <c r="F28" s="139" t="str">
        <f>IF(NOT('1 Org'!E108 = ""),'1 Org'!E108,IF(COUNTIF('1 Org'!E109:E112,"&gt;=0")=0,"", MIN(MAX(SUMPRODUCT('1 Org'!E109:E112,'1 Org'!$G109:$G112)*4/(SUM('1 Org'!$G109:$G112) - SUMIF('1 Org'!E109:E112,"X",'1 Org'!$G109:$G112)),MAX('1 Org'!AC109:AC112)),MIN('1 Org'!AG109:AG112))))</f>
        <v/>
      </c>
      <c r="G28" s="139" t="str">
        <f>IF(NOT('1 Org'!F108 = ""),'1 Org'!F108,IF(COUNTIF('1 Org'!F109:F112,"&gt;=0")=0,"", MIN(MAX(SUMPRODUCT('1 Org'!F109:F112,'1 Org'!$G109:$G112)*4/(SUM('1 Org'!$G109:$G112) - SUMIF('1 Org'!F109:F112,"X",'1 Org'!$G109:$G112)),MAX('1 Org'!AD109:AD112)),MIN('1 Org'!AH109:AH112))))</f>
        <v/>
      </c>
      <c r="H28" s="447">
        <f t="shared" si="2"/>
        <v>1</v>
      </c>
      <c r="I28" s="16"/>
      <c r="J28" s="448">
        <f>IF(IF(IndG&gt;=3,MAX(H28,I28),H28)&lt;1,1,IF(IndG&gt;=3,MAX(H28,I28),H28))</f>
        <v>1</v>
      </c>
      <c r="L28" s="1163">
        <v>4</v>
      </c>
    </row>
    <row r="29" spans="1:12" s="34" customFormat="1" ht="12" customHeight="1" x14ac:dyDescent="0.25">
      <c r="A29" s="39"/>
      <c r="B29" s="35" t="s">
        <v>1392</v>
      </c>
      <c r="C29" s="37"/>
      <c r="D29" s="139"/>
      <c r="E29" s="139"/>
      <c r="F29" s="139"/>
      <c r="G29" s="139"/>
      <c r="H29" s="447"/>
      <c r="I29" s="16"/>
      <c r="J29" s="448"/>
      <c r="L29" s="1162"/>
    </row>
    <row r="30" spans="1:12" s="34" customFormat="1" ht="12" customHeight="1" x14ac:dyDescent="0.25">
      <c r="A30" s="39"/>
      <c r="B30" s="38" t="s">
        <v>697</v>
      </c>
      <c r="C30" s="36" t="s">
        <v>288</v>
      </c>
      <c r="D30" s="139">
        <f>IF(NOT('1 Org'!C114 = ""),'1 Org'!C114,IF(COUNTIF('1 Org'!C115:C131,"&gt;=0")=0,"", MIN(MAX(SUMPRODUCT('1 Org'!C115:C131,'1 Org'!$G115:$G131)*4/(SUM('1 Org'!$G115:$G131) - SUMIF('1 Org'!C115:C131,"X",'1 Org'!$G115:$G131)),MAX('1 Org'!AA115:AA131)),MIN('1 Org'!AE115:AE131))))</f>
        <v>0</v>
      </c>
      <c r="E30" s="139" t="str">
        <f>IF(NOT('1 Org'!D114 = ""),'1 Org'!D114,IF(COUNTIF('1 Org'!D115:D131,"&gt;=0")=0,"", MIN(MAX(SUMPRODUCT('1 Org'!D115:D131,'1 Org'!$G115:$G131)*4/(SUM('1 Org'!$G115:$G131) - SUMIF('1 Org'!D115:D131,"X",'1 Org'!$G115:$G131)),MAX('1 Org'!AB115:AB131)),MIN('1 Org'!AF115:AF131))))</f>
        <v/>
      </c>
      <c r="F30" s="139" t="str">
        <f>IF(NOT('1 Org'!E114 = ""),'1 Org'!E114,IF(COUNTIF('1 Org'!E115:E131,"&gt;=0")=0,"", MIN(MAX(SUMPRODUCT('1 Org'!E115:E131,'1 Org'!$G115:$G131)*4/(SUM('1 Org'!$G115:$G131) - SUMIF('1 Org'!E115:E131,"X",'1 Org'!$G115:$G131)),MAX('1 Org'!AC115:AC131)),MIN('1 Org'!AG115:AG131))))</f>
        <v/>
      </c>
      <c r="G30" s="139" t="str">
        <f>IF(NOT('1 Org'!F114 = ""),'1 Org'!F114,IF(COUNTIF('1 Org'!F115:F131,"&gt;=0")=0,"", MIN(MAX(SUMPRODUCT('1 Org'!F115:F131,'1 Org'!$G115:$G131)*4/(SUM('1 Org'!$G115:$G131) - SUMIF('1 Org'!F115:F131,"X",'1 Org'!$G115:$G131)),MAX('1 Org'!AD115:AD131)),MIN('1 Org'!AH115:AH131))))</f>
        <v/>
      </c>
      <c r="H30" s="447">
        <f>IF(AND(OR(D30="X",D30=""),OR(E30="X",E30=""),OR(F30="X",F30=""),OR(G30="X",G30="")),1,ROUND(MIN(IF(OR(D30="",D30="X"),4,D30),IF(OR(E30="",E30="X"),4,E30),IF(OR(F30="",F30="X"),4,F30),IF(OR(G30="",G30="X"),4,G30)),0))</f>
        <v>0</v>
      </c>
      <c r="I30" s="16" t="str">
        <f>IF(OR(Projets!C16 = 1, Projets!D16 = 1), IF(IndG = 3, Projets!I16,IF(AND(IndG = 4,NOT(Projets!F16= ""), Projets!F16&lt;dateanal ),Projets!I16, "")),"")</f>
        <v/>
      </c>
      <c r="J30" s="448">
        <f>IF(IF(IndG&gt;=3,MAX(H30,I30),H30)&lt;1,1,IF(IndG&gt;=3,MAX(H30,I30),H30))</f>
        <v>1</v>
      </c>
      <c r="L30" s="1163">
        <v>17</v>
      </c>
    </row>
    <row r="31" spans="1:12" s="34" customFormat="1" ht="12" customHeight="1" x14ac:dyDescent="0.25">
      <c r="A31" s="39"/>
      <c r="B31" s="38" t="s">
        <v>699</v>
      </c>
      <c r="C31" s="36" t="s">
        <v>6790</v>
      </c>
      <c r="D31" s="139" t="str">
        <f>IF(NOT('1 Org'!C132 = ""),'1 Org'!C132,IF(COUNTIF('1 Org'!C133:C139,"&gt;=0")=0,"", MIN(MAX(SUMPRODUCT('1 Org'!C133:C139,'1 Org'!$G133:$G139)*4/(SUM('1 Org'!$G133:$G139) - SUMIF('1 Org'!C133:C139,"X",'1 Org'!$G133:$G139)),MAX('1 Org'!AA133:AA139)),MIN('1 Org'!AE133:AE139))))</f>
        <v/>
      </c>
      <c r="E31" s="139" t="str">
        <f>IF(NOT('1 Org'!D132 = ""),'1 Org'!D132,IF(COUNTIF('1 Org'!D133:D139,"&gt;=0")=0,"", MIN(MAX(SUMPRODUCT('1 Org'!D133:D139,'1 Org'!$G133:$G139)*4/(SUM('1 Org'!$G133:$G139) - SUMIF('1 Org'!D133:D139,"X",'1 Org'!$G133:$G139)),MAX('1 Org'!AB133:AB139)),MIN('1 Org'!AF133:AF139))))</f>
        <v/>
      </c>
      <c r="F31" s="139" t="str">
        <f>IF(NOT('1 Org'!E132 = ""),'1 Org'!E132,IF(COUNTIF('1 Org'!E133:E139,"&gt;=0")=0,"", MIN(MAX(SUMPRODUCT('1 Org'!E133:E139,'1 Org'!$G133:$G139)*4/(SUM('1 Org'!$G133:$G139) - SUMIF('1 Org'!E133:E139,"X",'1 Org'!$G133:$G139)),MAX('1 Org'!AC133:AC139)),MIN('1 Org'!AG133:AG139))))</f>
        <v/>
      </c>
      <c r="G31" s="139" t="str">
        <f>IF(NOT('1 Org'!F132 = ""),'1 Org'!F132,IF(COUNTIF('1 Org'!F133:F139,"&gt;=0")=0,"", MIN(MAX(SUMPRODUCT('1 Org'!F133:F139,'1 Org'!$G133:$G139)*4/(SUM('1 Org'!$G133:$G139) - SUMIF('1 Org'!F133:F139,"X",'1 Org'!$G133:$G139)),MAX('1 Org'!AD133:AD139)),MIN('1 Org'!AH133:AH139))))</f>
        <v/>
      </c>
      <c r="H31" s="447">
        <f>IF(AND(OR(D31="X",D31=""),OR(E31="X",E31=""),OR(F31="X",F31=""),OR(G31="X",G31="")),1,ROUND(MIN(IF(OR(D31="",D31="X"),4,D31),IF(OR(E31="",E31="X"),4,E31),IF(OR(F31="",F31="X"),4,F31),IF(OR(G31="",G31="X"),4,G31)),0))</f>
        <v>1</v>
      </c>
      <c r="I31" s="16" t="str">
        <f>IF(OR(Projets!C15 = 1, Projets!D15 = 1), IF(IndG = 3, Projets!I15,IF(AND(IndG = 4,NOT(Projets!F15= ""), Projets!F15&lt;dateanal ),Projets!I15, "")),"")</f>
        <v/>
      </c>
      <c r="J31" s="448">
        <f>IF(IF(IndG&gt;=3,MAX(H31,I31),H31)&lt;1,1,IF(IndG&gt;=3,MAX(H31,I31),H31))</f>
        <v>1</v>
      </c>
      <c r="L31" s="1163">
        <v>7</v>
      </c>
    </row>
    <row r="32" spans="1:12" s="34" customFormat="1" ht="12" customHeight="1" x14ac:dyDescent="0.25">
      <c r="A32" s="39"/>
      <c r="B32" s="38" t="s">
        <v>701</v>
      </c>
      <c r="C32" s="327" t="s">
        <v>103</v>
      </c>
      <c r="D32" s="139">
        <f>IF(NOT('1 Org'!C140 = ""),'1 Org'!C140,IF(COUNTIF('1 Org'!C141:C148,"&gt;=0")=0,"", MIN(MAX(SUMPRODUCT('1 Org'!C141:C148,'1 Org'!$G141:$G148)*4/(SUM('1 Org'!$G141:$G148) - SUMIF('1 Org'!C141:C148,"X",'1 Org'!$G141:$G148)),MAX('1 Org'!AA141:AA148)),MIN('1 Org'!AE141:AE148))))</f>
        <v>0</v>
      </c>
      <c r="E32" s="139" t="str">
        <f>IF(NOT('1 Org'!D140 = ""),'1 Org'!D140,IF(COUNTIF('1 Org'!D141:D148,"&gt;=0")=0,"", MIN(MAX(SUMPRODUCT('1 Org'!D141:D148,'1 Org'!$G141:$G148)*4/(SUM('1 Org'!$G141:$G148) - SUMIF('1 Org'!D141:D148,"X",'1 Org'!$G141:$G148)),MAX('1 Org'!AB141:AB148)),MIN('1 Org'!AF141:AF148))))</f>
        <v/>
      </c>
      <c r="F32" s="139" t="str">
        <f>IF(NOT('1 Org'!E140 = ""),'1 Org'!E140,IF(COUNTIF('1 Org'!E141:E148,"&gt;=0")=0,"", MIN(MAX(SUMPRODUCT('1 Org'!E141:E148,'1 Org'!$G141:$G148)*4/(SUM('1 Org'!$G141:$G148) - SUMIF('1 Org'!E141:E148,"X",'1 Org'!$G141:$G148)),MAX('1 Org'!AC141:AC148)),MIN('1 Org'!AG141:AG148))))</f>
        <v/>
      </c>
      <c r="G32" s="139" t="str">
        <f>IF(NOT('1 Org'!F140 = ""),'1 Org'!F140,IF(COUNTIF('1 Org'!F141:F148,"&gt;=0")=0,"", MIN(MAX(SUMPRODUCT('1 Org'!F141:F148,'1 Org'!$G141:$G148)*4/(SUM('1 Org'!$G141:$G148) - SUMIF('1 Org'!F141:F148,"X",'1 Org'!$G141:$G148)),MAX('1 Org'!AD141:AD148)),MIN('1 Org'!AH141:AH148))))</f>
        <v/>
      </c>
      <c r="H32" s="447">
        <f>IF(AND(OR(D32="X",D32=""),OR(E32="X",E32=""),OR(F32="X",F32=""),OR(G32="X",G32="")),1,ROUND(MIN(IF(OR(D32="",D32="X"),4,D32),IF(OR(E32="",E32="X"),4,E32),IF(OR(F32="",F32="X"),4,F32),IF(OR(G32="",G32="X"),4,G32)),0))</f>
        <v>0</v>
      </c>
      <c r="I32" s="16" t="str">
        <f>IF(OR(Projets!C17 = 1, Projets!D17 = 1), IF(IndG = 3, Projets!I17,IF(AND(IndG = 4,NOT(Projets!F17= ""), Projets!F17&lt;dateanal ),Projets!I17, "")),"")</f>
        <v/>
      </c>
      <c r="J32" s="448">
        <f>IF(IF(IndG&gt;=3,MAX(H32,I32),H32)&lt;1,1,IF(IndG&gt;=3,MAX(H32,I32),H32))</f>
        <v>1</v>
      </c>
      <c r="L32" s="1163">
        <v>8</v>
      </c>
    </row>
    <row r="33" spans="1:13" s="34" customFormat="1" ht="12" customHeight="1" x14ac:dyDescent="0.25">
      <c r="A33" s="39"/>
      <c r="B33" s="35" t="s">
        <v>686</v>
      </c>
      <c r="D33" s="139"/>
      <c r="E33" s="139"/>
      <c r="F33" s="139"/>
      <c r="G33" s="139"/>
      <c r="H33" s="447"/>
      <c r="I33" s="16"/>
      <c r="J33" s="448"/>
      <c r="L33" s="1162"/>
    </row>
    <row r="34" spans="1:13" s="34" customFormat="1" ht="12" customHeight="1" x14ac:dyDescent="0.25">
      <c r="A34" s="39"/>
      <c r="B34" s="202" t="s">
        <v>687</v>
      </c>
      <c r="C34" s="36" t="s">
        <v>688</v>
      </c>
      <c r="D34" s="139" t="str">
        <f>IF(NOT('1 Org'!C150 = ""),'1 Org'!C150,IF(COUNTIF('1 Org'!C151:C153,"&gt;=0")=0,"", MIN(MAX(SUMPRODUCT('1 Org'!C151:C153,'1 Org'!$G151:$G153)*4/(SUM('1 Org'!$G151:$G153) - SUMIF('1 Org'!C151:C153,"X",'1 Org'!$G151:$G153)),MAX('1 Org'!AA151:AA153)),MIN('1 Org'!AE151:AE153))))</f>
        <v/>
      </c>
      <c r="E34" s="139" t="str">
        <f>IF(NOT('1 Org'!D150 = ""),'1 Org'!D150,IF(COUNTIF('1 Org'!D151:D153,"&gt;=0")=0,"", MIN(MAX(SUMPRODUCT('1 Org'!D151:D153,'1 Org'!$G151:$G153)*4/(SUM('1 Org'!$G151:$G153) - SUMIF('1 Org'!D151:D153,"X",'1 Org'!$G151:$G153)),MAX('1 Org'!AB151:AB153)),MIN('1 Org'!AF151:AF153))))</f>
        <v/>
      </c>
      <c r="F34" s="139" t="str">
        <f>IF(NOT('1 Org'!E150 = ""),'1 Org'!E150,IF(COUNTIF('1 Org'!E151:E153,"&gt;=0")=0,"", MIN(MAX(SUMPRODUCT('1 Org'!E151:E153,'1 Org'!$G151:$G153)*4/(SUM('1 Org'!$G151:$G153) - SUMIF('1 Org'!E151:E153,"X",'1 Org'!$G151:$G153)),MAX('1 Org'!AC151:AC153)),MIN('1 Org'!AG151:AG153))))</f>
        <v/>
      </c>
      <c r="G34" s="139" t="str">
        <f>IF(NOT('1 Org'!F150 = ""),'1 Org'!F150,IF(COUNTIF('1 Org'!F151:F153,"&gt;=0")=0,"", MIN(MAX(SUMPRODUCT('1 Org'!F151:F153,'1 Org'!$G151:$G153)*4/(SUM('1 Org'!$G151:$G153) - SUMIF('1 Org'!F151:F153,"X",'1 Org'!$G151:$G153)),MAX('1 Org'!AD151:AD153)),MIN('1 Org'!AH151:AH153))))</f>
        <v/>
      </c>
      <c r="H34" s="447">
        <f>IF(AND(OR(D34="X",D34=""),OR(E34="X",E34=""),OR(F34="X",F34=""),OR(G34="X",G34="")),1,ROUND(MIN(IF(OR(D34="",D34="X"),4,D34),IF(OR(E34="",E34="X"),4,E34),IF(OR(F34="",F34="X"),4,F34),IF(OR(G34="",G34="X"),4,G34)),0))</f>
        <v>1</v>
      </c>
      <c r="I34" s="16"/>
      <c r="J34" s="448">
        <f>IF(IF(IndG&gt;=3,MAX(H34,I34),H34)&lt;1,1,IF(IndG&gt;=3,MAX(H34,I34),H34))</f>
        <v>1</v>
      </c>
      <c r="L34" s="1163">
        <v>3</v>
      </c>
    </row>
    <row r="35" spans="1:13" s="34" customFormat="1" ht="12" customHeight="1" x14ac:dyDescent="0.25">
      <c r="A35" s="39"/>
      <c r="B35" s="202" t="s">
        <v>689</v>
      </c>
      <c r="C35" s="36" t="s">
        <v>6786</v>
      </c>
      <c r="D35" s="139" t="str">
        <f>IF(NOT('1 Org'!C154 = ""),'1 Org'!C154,IF(COUNTIF('1 Org'!C155:C156,"&gt;=0")=0,"", MIN(MAX(SUMPRODUCT('1 Org'!C155:C156,'1 Org'!$G155:$G156)*4/(SUM('1 Org'!$G155:$G156) - SUMIF('1 Org'!C155:C156,"X",'1 Org'!$G155:$G156)),MAX('1 Org'!AA155:AA156)),MIN('1 Org'!AE155:AE156))))</f>
        <v/>
      </c>
      <c r="E35" s="139" t="str">
        <f>IF(NOT('1 Org'!D154 = ""),'1 Org'!D154,IF(COUNTIF('1 Org'!D155:D156,"&gt;=0")=0,"", MIN(MAX(SUMPRODUCT('1 Org'!D155:D156,'1 Org'!$G155:$G156)*4/(SUM('1 Org'!$G155:$G156) - SUMIF('1 Org'!D155:D156,"X",'1 Org'!$G155:$G156)),MAX('1 Org'!AB155:AB156)),MIN('1 Org'!AF155:AF156))))</f>
        <v/>
      </c>
      <c r="F35" s="139" t="str">
        <f>IF(NOT('1 Org'!E154 = ""),'1 Org'!E154,IF(COUNTIF('1 Org'!E155:E156,"&gt;=0")=0,"", MIN(MAX(SUMPRODUCT('1 Org'!E155:E156,'1 Org'!$G155:$G156)*4/(SUM('1 Org'!$G155:$G156) - SUMIF('1 Org'!E155:E156,"X",'1 Org'!$G155:$G156)),MAX('1 Org'!AC155:AC156)),MIN('1 Org'!AG155:AG156))))</f>
        <v/>
      </c>
      <c r="G35" s="139" t="str">
        <f>IF(NOT('1 Org'!F154 = ""),'1 Org'!F154,IF(COUNTIF('1 Org'!F155:F156,"&gt;=0")=0,"", MIN(MAX(SUMPRODUCT('1 Org'!F155:F156,'1 Org'!$G155:$G156)*4/(SUM('1 Org'!$G155:$G156) - SUMIF('1 Org'!F155:F156,"X",'1 Org'!$G155:$G156)),MAX('1 Org'!AD155:AD156)),MIN('1 Org'!AH155:AH156))))</f>
        <v/>
      </c>
      <c r="H35" s="447">
        <f>IF(AND(OR(D35="X",D35=""),OR(E35="X",E35=""),OR(F35="X",F35=""),OR(G35="X",G35="")),1,ROUND(MIN(IF(OR(D35="",D35="X"),4,D35),IF(OR(E35="",E35="X"),4,E35),IF(OR(F35="",F35="X"),4,F35),IF(OR(G35="",G35="X"),4,G35)),0))</f>
        <v>1</v>
      </c>
      <c r="I35" s="16"/>
      <c r="J35" s="448">
        <f>IF(IF(IndG&gt;=3,MAX(H35,I35),H35)&lt;1,1,IF(IndG&gt;=3,MAX(H35,I35),H35))</f>
        <v>1</v>
      </c>
      <c r="L35" s="1163">
        <v>2</v>
      </c>
    </row>
    <row r="36" spans="1:13" s="34" customFormat="1" ht="12" customHeight="1" x14ac:dyDescent="0.25">
      <c r="A36" s="39"/>
      <c r="B36" s="202" t="s">
        <v>691</v>
      </c>
      <c r="C36" s="36" t="s">
        <v>692</v>
      </c>
      <c r="D36" s="139" t="str">
        <f>IF(NOT('1 Org'!C157 = ""),'1 Org'!C157,IF(COUNTIF('1 Org'!C158:C159,"&gt;=0")=0,"", MIN(MAX(SUMPRODUCT('1 Org'!C158:C159,'1 Org'!$G158:$G159)*4/(SUM('1 Org'!$G158:$G159) - SUMIF('1 Org'!C158:C159,"X",'1 Org'!$G158:$G159)),MAX('1 Org'!AA158:AA159)),MIN('1 Org'!AE158:AE159))))</f>
        <v/>
      </c>
      <c r="E36" s="139" t="str">
        <f>IF(NOT('1 Org'!D157 = ""),'1 Org'!D157,IF(COUNTIF('1 Org'!D158:D159,"&gt;=0")=0,"", MIN(MAX(SUMPRODUCT('1 Org'!D158:D159,'1 Org'!$G158:$G159)*4/(SUM('1 Org'!$G158:$G159) - SUMIF('1 Org'!D158:D159,"X",'1 Org'!$G158:$G159)),MAX('1 Org'!AB158:AB159)),MIN('1 Org'!AF158:AF159))))</f>
        <v/>
      </c>
      <c r="F36" s="139" t="str">
        <f>IF(NOT('1 Org'!E157 = ""),'1 Org'!E157,IF(COUNTIF('1 Org'!E158:E159,"&gt;=0")=0,"", MIN(MAX(SUMPRODUCT('1 Org'!E158:E159,'1 Org'!$G158:$G159)*4/(SUM('1 Org'!$G158:$G159) - SUMIF('1 Org'!E158:E159,"X",'1 Org'!$G158:$G159)),MAX('1 Org'!AC158:AC159)),MIN('1 Org'!AG158:AG159))))</f>
        <v/>
      </c>
      <c r="G36" s="139" t="str">
        <f>IF(NOT('1 Org'!F157 = ""),'1 Org'!F157,IF(COUNTIF('1 Org'!F158:F159,"&gt;=0")=0,"", MIN(MAX(SUMPRODUCT('1 Org'!F158:F159,'1 Org'!$G158:$G159)*4/(SUM('1 Org'!$G158:$G159) - SUMIF('1 Org'!F158:F159,"X",'1 Org'!$G158:$G159)),MAX('1 Org'!AD158:AD159)),MIN('1 Org'!AH158:AH159))))</f>
        <v/>
      </c>
      <c r="H36" s="447">
        <f>IF(AND(OR(D36="X",D36=""),OR(E36="X",E36=""),OR(F36="X",F36=""),OR(G36="X",G36="")),1,ROUND(MIN(IF(OR(D36="",D36="X"),4,D36),IF(OR(E36="",E36="X"),4,E36),IF(OR(F36="",F36="X"),4,F36),IF(OR(G36="",G36="X"),4,G36)),0))</f>
        <v>1</v>
      </c>
      <c r="I36" s="16"/>
      <c r="J36" s="448">
        <f>IF(IF(IndG&gt;=3,MAX(H36,I36),H36)&lt;1,1,IF(IndG&gt;=3,MAX(H36,I36),H36))</f>
        <v>1</v>
      </c>
      <c r="L36" s="1163">
        <v>2</v>
      </c>
    </row>
    <row r="37" spans="1:13" s="34" customFormat="1" ht="12" customHeight="1" x14ac:dyDescent="0.25">
      <c r="A37" s="39"/>
      <c r="B37" s="202" t="s">
        <v>693</v>
      </c>
      <c r="C37" s="36" t="s">
        <v>6787</v>
      </c>
      <c r="D37" s="139" t="str">
        <f>IF(NOT('1 Org'!C160 = ""),'1 Org'!C160,IF(COUNTIF('1 Org'!C161:C162,"&gt;=0")=0,"", MIN(MAX(SUMPRODUCT('1 Org'!C161:C162,'1 Org'!$G161:$G162)*4/(SUM('1 Org'!$G161:$G162) - SUMIF('1 Org'!C161:C162,"X",'1 Org'!$G161:$G162)),MAX('1 Org'!AA161:AA162)),MIN('1 Org'!AE161:AE162))))</f>
        <v/>
      </c>
      <c r="E37" s="139" t="str">
        <f>IF(NOT('1 Org'!D160 = ""),'1 Org'!D160,IF(COUNTIF('1 Org'!D161:D162,"&gt;=0")=0,"", MIN(MAX(SUMPRODUCT('1 Org'!D161:D162,'1 Org'!$G161:$G162)*4/(SUM('1 Org'!$G161:$G162) - SUMIF('1 Org'!D161:D162,"X",'1 Org'!$G161:$G162)),MAX('1 Org'!AB161:AB162)),MIN('1 Org'!AF161:AF162))))</f>
        <v/>
      </c>
      <c r="F37" s="139" t="str">
        <f>IF(NOT('1 Org'!E160 = ""),'1 Org'!E160,IF(COUNTIF('1 Org'!E161:E162,"&gt;=0")=0,"", MIN(MAX(SUMPRODUCT('1 Org'!E161:E162,'1 Org'!$G161:$G162)*4/(SUM('1 Org'!$G161:$G162) - SUMIF('1 Org'!E161:E162,"X",'1 Org'!$G161:$G162)),MAX('1 Org'!AC161:AC162)),MIN('1 Org'!AG161:AG162))))</f>
        <v/>
      </c>
      <c r="G37" s="139" t="str">
        <f>IF(NOT('1 Org'!F160 = ""),'1 Org'!F160,IF(COUNTIF('1 Org'!F161:F162,"&gt;=0")=0,"", MIN(MAX(SUMPRODUCT('1 Org'!F161:F162,'1 Org'!$G161:$G162)*4/(SUM('1 Org'!$G161:$G162) - SUMIF('1 Org'!F161:F162,"X",'1 Org'!$G161:$G162)),MAX('1 Org'!AD161:AD162)),MIN('1 Org'!AH161:AH162))))</f>
        <v/>
      </c>
      <c r="H37" s="447">
        <f>IF(AND(OR(D37="X",D37=""),OR(E37="X",E37=""),OR(F37="X",F37=""),OR(G37="X",G37="")),1,ROUND(MIN(IF(OR(D37="",D37="X"),4,D37),IF(OR(E37="",E37="X"),4,E37),IF(OR(F37="",F37="X"),4,F37),IF(OR(G37="",G37="X"),4,G37)),0))</f>
        <v>1</v>
      </c>
      <c r="I37" s="16"/>
      <c r="J37" s="448">
        <f>IF(IF(IndG&gt;=3,MAX(H37,I37),H37)&lt;1,1,IF(IndG&gt;=3,MAX(H37,I37),H37))</f>
        <v>1</v>
      </c>
      <c r="L37" s="1163">
        <v>2</v>
      </c>
    </row>
    <row r="38" spans="1:13" ht="15" customHeight="1" x14ac:dyDescent="0.25">
      <c r="A38" s="269" t="s">
        <v>933</v>
      </c>
      <c r="B38" s="230" t="s">
        <v>1517</v>
      </c>
      <c r="C38" s="1055"/>
      <c r="D38" s="138" t="s">
        <v>229</v>
      </c>
      <c r="E38" s="138" t="s">
        <v>230</v>
      </c>
      <c r="F38" s="138" t="s">
        <v>265</v>
      </c>
      <c r="G38" s="138" t="s">
        <v>266</v>
      </c>
      <c r="H38" s="420"/>
      <c r="I38" s="16"/>
      <c r="J38" s="420"/>
      <c r="M38" s="34"/>
    </row>
    <row r="39" spans="1:13" s="34" customFormat="1" ht="12" customHeight="1" x14ac:dyDescent="0.25">
      <c r="A39" s="270"/>
      <c r="B39" s="275" t="s">
        <v>703</v>
      </c>
      <c r="C39" s="39"/>
      <c r="D39" s="139"/>
      <c r="E39" s="139"/>
      <c r="F39" s="139"/>
      <c r="G39" s="139"/>
      <c r="H39" s="447"/>
      <c r="I39" s="16"/>
      <c r="J39" s="448"/>
      <c r="L39" s="1162"/>
    </row>
    <row r="40" spans="1:13" s="240" customFormat="1" ht="12.6" customHeight="1" x14ac:dyDescent="0.25">
      <c r="A40" s="270"/>
      <c r="B40" s="51" t="s">
        <v>704</v>
      </c>
      <c r="C40" s="168" t="s">
        <v>7158</v>
      </c>
      <c r="D40" s="139" t="str">
        <f>IF(NOT('2 Phy'!C4 = ""),'2 Phy'!C4,IF(COUNTIF('2 Phy'!C5:C7,"&gt;=0")=0,"", MIN(MAX(SUMPRODUCT('2 Phy'!C5:C7,'2 Phy'!$G5:$G7)*4/(SUM('2 Phy'!$G5:$G7) - SUMIF('2 Phy'!C5:C7,"X",'2 Phy'!$G5:$G7)),MAX('2 Phy'!AA5:AA7)),MIN('2 Phy'!AE5:AE7))))</f>
        <v/>
      </c>
      <c r="E40" s="139" t="str">
        <f>IF(NOT('2 Phy'!D4 = ""),'2 Phy'!D4,IF(COUNTIF('2 Phy'!D5:D7,"&gt;=0")=0,"", MIN(MAX(SUMPRODUCT('2 Phy'!D5:D7,'2 Phy'!$G5:$G7)*4/(SUM('2 Phy'!$G5:$G7) - SUMIF('2 Phy'!D5:D7,"X",'2 Phy'!$G5:$G7)),MAX('2 Phy'!AB5:AB7)),MIN('2 Phy'!AF5:AF7))))</f>
        <v/>
      </c>
      <c r="F40" s="139" t="str">
        <f>IF(NOT('2 Phy'!E4 = ""),'2 Phy'!E4,IF(COUNTIF('2 Phy'!E5:E7,"&gt;=0")=0,"", MIN(MAX(SUMPRODUCT('2 Phy'!E5:E7,'2 Phy'!$G5:$G7)*4/(SUM('2 Phy'!$G5:$G7) - SUMIF('2 Phy'!E5:E7,"X",'2 Phy'!$G5:$G7)),MAX('2 Phy'!AC5:AC7)),MIN('2 Phy'!AG5:AG7))))</f>
        <v/>
      </c>
      <c r="G40" s="139" t="str">
        <f>IF(NOT('2 Phy'!F4 = ""),'2 Phy'!F4,IF(COUNTIF('2 Phy'!F5:F7,"&gt;=0")=0,"", MIN(MAX(SUMPRODUCT('2 Phy'!F5:F7,'2 Phy'!$G5:$G7)*4/(SUM('2 Phy'!$G5:$G7) - SUMIF('2 Phy'!F5:F7,"X",'2 Phy'!$G5:$G7)),MAX('2 Phy'!AD5:AD7)),MIN('2 Phy'!AH5:AH7))))</f>
        <v/>
      </c>
      <c r="H40" s="447">
        <f>IF(AND(OR(D40="X",D40=""),OR(E40="X",E40=""),OR(F40="X",F40=""),OR(G40="X",G40="")),1,ROUND(MIN(IF(OR(D40="",D40="X"),4,D40),IF(OR(E40="",E40="X"),4,E40),IF(OR(F40="",F40="X"),4,F40),IF(OR(G40="",G40="X"),4,G40)),0))</f>
        <v>1</v>
      </c>
      <c r="I40" s="16"/>
      <c r="J40" s="448">
        <f>IF(IF(IndG&gt;=3,MAX(H40,I40),H40)&lt;1,1,IF(IndG&gt;=3,MAX(H40,I40),H40))</f>
        <v>1</v>
      </c>
      <c r="L40" s="1163">
        <v>3</v>
      </c>
      <c r="M40" s="34"/>
    </row>
    <row r="41" spans="1:13" s="34" customFormat="1" ht="12" customHeight="1" x14ac:dyDescent="0.25">
      <c r="A41" s="272"/>
      <c r="B41" s="208" t="s">
        <v>706</v>
      </c>
      <c r="C41" s="52" t="s">
        <v>7162</v>
      </c>
      <c r="D41" s="139" t="str">
        <f>IF(NOT('2 Phy'!C8 = ""),'2 Phy'!C8,IF(COUNTIF('2 Phy'!C9:C10,"&gt;=0")=0,"", MIN(MAX(SUMPRODUCT('2 Phy'!C9:C10,'2 Phy'!$G9:$G10)*4/(SUM('2 Phy'!$G9:$G10) - SUMIF('2 Phy'!C9:C10,"X",'2 Phy'!$G9:$G10)),MAX('2 Phy'!AA9:AA10)),MIN('2 Phy'!AE9:AE10))))</f>
        <v/>
      </c>
      <c r="E41" s="139" t="str">
        <f>IF(NOT('2 Phy'!D8 = ""),'2 Phy'!D8,IF(COUNTIF('2 Phy'!D9:D10,"&gt;=0")=0,"", MIN(MAX(SUMPRODUCT('2 Phy'!D9:D10,'2 Phy'!$G9:$G10)*4/(SUM('2 Phy'!$G9:$G10) - SUMIF('2 Phy'!D9:D10,"X",'2 Phy'!$G9:$G10)),MAX('2 Phy'!AB9:AB10)),MIN('2 Phy'!AF9:AF10))))</f>
        <v/>
      </c>
      <c r="F41" s="139" t="str">
        <f>IF(NOT('2 Phy'!E8 = ""),'2 Phy'!E8,IF(COUNTIF('2 Phy'!E9:E10,"&gt;=0")=0,"", MIN(MAX(SUMPRODUCT('2 Phy'!E9:E10,'2 Phy'!$G9:$G10)*4/(SUM('2 Phy'!$G9:$G10) - SUMIF('2 Phy'!E9:E10,"X",'2 Phy'!$G9:$G10)),MAX('2 Phy'!AC9:AC10)),MIN('2 Phy'!AG9:AG10))))</f>
        <v/>
      </c>
      <c r="G41" s="139" t="str">
        <f>IF(NOT('2 Phy'!F8 = ""),'2 Phy'!F8,IF(COUNTIF('2 Phy'!F9:F10,"&gt;=0")=0,"", MIN(MAX(SUMPRODUCT('2 Phy'!F9:F10,'2 Phy'!$G9:$G10)*4/(SUM('2 Phy'!$G9:$G10) - SUMIF('2 Phy'!F9:F10,"X",'2 Phy'!$G9:$G10)),MAX('2 Phy'!AD9:AD10)),MIN('2 Phy'!AH9:AH10))))</f>
        <v/>
      </c>
      <c r="H41" s="447">
        <f>IF(AND(OR(D41="X",D41=""),OR(E41="X",E41=""),OR(F41="X",F41=""),OR(G41="X",G41="")),1,ROUND(MIN(IF(OR(D41="",D41="X"),4,D41),IF(OR(E41="",E41="X"),4,E41),IF(OR(F41="",F41="X"),4,F41),IF(OR(G41="",G41="X"),4,G41)),0))</f>
        <v>1</v>
      </c>
      <c r="I41" s="16"/>
      <c r="J41" s="448">
        <f>IF(IF(IndG&gt;=3,MAX(H41,I41),H41)&lt;1,1,IF(IndG&gt;=3,MAX(H41,I41),H41))</f>
        <v>1</v>
      </c>
      <c r="L41" s="1163">
        <v>2</v>
      </c>
    </row>
    <row r="42" spans="1:13" s="240" customFormat="1" ht="12" customHeight="1" x14ac:dyDescent="0.25">
      <c r="A42" s="270"/>
      <c r="B42" s="43" t="s">
        <v>632</v>
      </c>
      <c r="C42" s="141" t="s">
        <v>7165</v>
      </c>
      <c r="D42" s="139" t="str">
        <f>IF(NOT('2 Phy'!C11 = ""),'2 Phy'!C11,IF(COUNTIF('2 Phy'!C12:C19,"&gt;=0")=0,"", MIN(MAX(SUMPRODUCT('2 Phy'!C12:C19,'2 Phy'!$G12:$G19)*4/(SUM('2 Phy'!$G12:$G19) - SUMIF('2 Phy'!C12:C19,"X",'2 Phy'!$G12:$G19)),MAX('2 Phy'!AA12:AA19)),MIN('2 Phy'!AE12:AE19))))</f>
        <v/>
      </c>
      <c r="E42" s="139" t="str">
        <f>IF(NOT('2 Phy'!D11 = ""),'2 Phy'!D11,IF(COUNTIF('2 Phy'!D12:D19,"&gt;=0")=0,"", MIN(MAX(SUMPRODUCT('2 Phy'!D12:D19,'2 Phy'!$G12:$G19)*4/(SUM('2 Phy'!$G12:$G19) - SUMIF('2 Phy'!D12:D19,"X",'2 Phy'!$G12:$G19)),MAX('2 Phy'!AB12:AB19)),MIN('2 Phy'!AF12:AF19))))</f>
        <v/>
      </c>
      <c r="F42" s="139" t="str">
        <f>IF(NOT('2 Phy'!E11 = ""),'2 Phy'!E11,IF(COUNTIF('2 Phy'!E12:E19,"&gt;=0")=0,"", MIN(MAX(SUMPRODUCT('2 Phy'!E12:E19,'2 Phy'!$G12:$G19)*4/(SUM('2 Phy'!$G12:$G19) - SUMIF('2 Phy'!E12:E19,"X",'2 Phy'!$G12:$G19)),MAX('2 Phy'!AC12:AC19)),MIN('2 Phy'!AG12:AG19))))</f>
        <v/>
      </c>
      <c r="G42" s="139" t="str">
        <f>IF(NOT('2 Phy'!F11 = ""),'2 Phy'!F11,IF(COUNTIF('2 Phy'!F12:F19,"&gt;=0")=0,"", MIN(MAX(SUMPRODUCT('2 Phy'!F12:F19,'2 Phy'!$G12:$G19)*4/(SUM('2 Phy'!$G12:$G19) - SUMIF('2 Phy'!F12:F19,"X",'2 Phy'!$G12:$G19)),MAX('2 Phy'!AD12:AD19)),MIN('2 Phy'!AH12:AH19))))</f>
        <v/>
      </c>
      <c r="H42" s="447">
        <f>IF(AND(OR(D42="X",D42=""),OR(E42="X",E42=""),OR(F42="X",F42=""),OR(G42="X",G42="")),1,ROUND(MIN(IF(OR(D42="",D42="X"),4,D42),IF(OR(E42="",E42="X"),4,E42),IF(OR(F42="",F42="X"),4,F42),IF(OR(G42="",G42="X"),4,G42)),0))</f>
        <v>1</v>
      </c>
      <c r="I42" s="16" t="str">
        <f>IF(OR(Projets!C6 = 1, Projets!D6 = 1), IF(IndG = 3, Projets!I6,IF(AND(IndG = 4,NOT(Projets!F6= ""), Projets!F6&lt;dateanal ),Projets!I6, "")),"")</f>
        <v/>
      </c>
      <c r="J42" s="448">
        <f>IF(IF(IndG&gt;=3,MAX(H42,I42),H42)&lt;1,1,IF(IndG&gt;=3,MAX(H42,I42),H42))</f>
        <v>1</v>
      </c>
      <c r="L42" s="1163">
        <v>8</v>
      </c>
      <c r="M42" s="34"/>
    </row>
    <row r="43" spans="1:13" s="34" customFormat="1" ht="12" customHeight="1" x14ac:dyDescent="0.25">
      <c r="A43" s="37"/>
      <c r="B43" s="246" t="s">
        <v>1713</v>
      </c>
      <c r="C43" s="37"/>
      <c r="D43" s="139"/>
      <c r="E43" s="139"/>
      <c r="F43" s="139"/>
      <c r="G43" s="139"/>
      <c r="H43" s="447"/>
      <c r="I43" s="16"/>
      <c r="J43" s="448"/>
      <c r="L43" s="1162"/>
    </row>
    <row r="44" spans="1:13" s="240" customFormat="1" ht="12.75" customHeight="1" x14ac:dyDescent="0.25">
      <c r="A44" s="276"/>
      <c r="B44" s="42" t="s">
        <v>724</v>
      </c>
      <c r="C44" s="36" t="s">
        <v>360</v>
      </c>
      <c r="D44" s="139" t="str">
        <f>IF(NOT('2 Phy'!C21 = ""),'2 Phy'!C21,IF(COUNTIF('2 Phy'!C22:C32,"&gt;=0")=0,"", MIN(MAX(SUMPRODUCT('2 Phy'!C22:C32,'2 Phy'!$G22:$G32)*4/(SUM('2 Phy'!$G22:$G32) - SUMIF('2 Phy'!C22:C32,"X",'2 Phy'!$G22:$G32)),MAX('2 Phy'!AA22:AA32)),MIN('2 Phy'!AE22:AE32))))</f>
        <v/>
      </c>
      <c r="E44" s="139" t="str">
        <f>IF(NOT('2 Phy'!D21 = ""),'2 Phy'!D21,IF(COUNTIF('2 Phy'!D22:D32,"&gt;=0")=0,"", MIN(MAX(SUMPRODUCT('2 Phy'!D22:D32,'2 Phy'!$G22:$G32)*4/(SUM('2 Phy'!$G22:$G32) - SUMIF('2 Phy'!D22:D32,"X",'2 Phy'!$G22:$G32)),MAX('2 Phy'!AB22:AB32)),MIN('2 Phy'!AF22:AF32))))</f>
        <v/>
      </c>
      <c r="F44" s="139" t="str">
        <f>IF(NOT('2 Phy'!E21 = ""),'2 Phy'!E21,IF(COUNTIF('2 Phy'!E22:E32,"&gt;=0")=0,"", MIN(MAX(SUMPRODUCT('2 Phy'!E22:E32,'2 Phy'!$G22:$G32)*4/(SUM('2 Phy'!$G22:$G32) - SUMIF('2 Phy'!E22:E32,"X",'2 Phy'!$G22:$G32)),MAX('2 Phy'!AC22:AC32)),MIN('2 Phy'!AG22:AG32))))</f>
        <v/>
      </c>
      <c r="G44" s="139" t="str">
        <f>IF(NOT('2 Phy'!F21 = ""),'2 Phy'!F21,IF(COUNTIF('2 Phy'!F22:F32,"&gt;=0")=0,"", MIN(MAX(SUMPRODUCT('2 Phy'!F22:F32,'2 Phy'!$G22:$G32)*4/(SUM('2 Phy'!$G22:$G32) - SUMIF('2 Phy'!F22:F32,"X",'2 Phy'!$G22:$G32)),MAX('2 Phy'!AD22:AD32)),MIN('2 Phy'!AH22:AH32))))</f>
        <v/>
      </c>
      <c r="H44" s="447">
        <f>IF(AND(OR(D44="X",D44=""),OR(E44="X",E44=""),OR(F44="X",F44=""),OR(G44="X",G44="")),1,ROUND(MIN(IF(OR(D44="",D44="X"),4,D44),IF(OR(E44="",E44="X"),4,E44),IF(OR(F44="",F44="X"),4,F44),IF(OR(G44="",G44="X"),4,G44)),0))</f>
        <v>1</v>
      </c>
      <c r="I44" s="16" t="str">
        <f>IF(OR(Projets!C22 = 1, Projets!D22 = 1), IF(IndG = 3, Projets!I22,IF(AND(IndG = 4,NOT(Projets!F22= ""), Projets!F22&lt;dateanal ),Projets!I22, "")),"")</f>
        <v/>
      </c>
      <c r="J44" s="448">
        <f>IF(IF(IndG&gt;=3,MAX(H44,I44),H44)&lt;1,1,IF(IndG&gt;=3,MAX(H44,I44),H44))</f>
        <v>1</v>
      </c>
      <c r="L44" s="1163">
        <v>11</v>
      </c>
      <c r="M44" s="34"/>
    </row>
    <row r="45" spans="1:13" s="34" customFormat="1" ht="12" customHeight="1" x14ac:dyDescent="0.25">
      <c r="A45" s="37"/>
      <c r="B45" s="42" t="s">
        <v>617</v>
      </c>
      <c r="C45" s="36" t="s">
        <v>495</v>
      </c>
      <c r="D45" s="139" t="str">
        <f>IF(NOT('2 Phy'!C33 = ""),'2 Phy'!C33,IF(COUNTIF('2 Phy'!C34:C42,"&gt;=0")=0,"", MIN(MAX(SUMPRODUCT('2 Phy'!C34:C42,'2 Phy'!$G34:$G42)*4/(SUM('2 Phy'!$G34:$G42) - SUMIF('2 Phy'!C34:C42,"X",'2 Phy'!$G34:$G42)),MAX('2 Phy'!AA34:AA42)),MIN('2 Phy'!AE34:AE42))))</f>
        <v/>
      </c>
      <c r="E45" s="139" t="str">
        <f>IF(NOT('2 Phy'!D33 = ""),'2 Phy'!D33,IF(COUNTIF('2 Phy'!D34:D42,"&gt;=0")=0,"", MIN(MAX(SUMPRODUCT('2 Phy'!D34:D42,'2 Phy'!$G34:$G42)*4/(SUM('2 Phy'!$G34:$G42) - SUMIF('2 Phy'!D34:D42,"X",'2 Phy'!$G34:$G42)),MAX('2 Phy'!AB34:AB42)),MIN('2 Phy'!AF34:AF42))))</f>
        <v/>
      </c>
      <c r="F45" s="139" t="str">
        <f>IF(NOT('2 Phy'!E33 = ""),'2 Phy'!E33,IF(COUNTIF('2 Phy'!E34:E42,"&gt;=0")=0,"", MIN(MAX(SUMPRODUCT('2 Phy'!E34:E42,'2 Phy'!$G34:$G42)*4/(SUM('2 Phy'!$G34:$G42) - SUMIF('2 Phy'!E34:E42,"X",'2 Phy'!$G34:$G42)),MAX('2 Phy'!AC34:AC42)),MIN('2 Phy'!AG34:AG42))))</f>
        <v/>
      </c>
      <c r="G45" s="139" t="str">
        <f>IF(NOT('2 Phy'!F33 = ""),'2 Phy'!F33,IF(COUNTIF('2 Phy'!F34:F42,"&gt;=0")=0,"", MIN(MAX(SUMPRODUCT('2 Phy'!F34:F42,'2 Phy'!$G34:$G42)*4/(SUM('2 Phy'!$G34:$G42) - SUMIF('2 Phy'!F34:F42,"X",'2 Phy'!$G34:$G42)),MAX('2 Phy'!AD34:AD42)),MIN('2 Phy'!AH34:AH42))))</f>
        <v/>
      </c>
      <c r="H45" s="447">
        <f>IF(AND(OR(D45="X",D45=""),OR(E45="X",E45=""),OR(F45="X",F45=""),OR(G45="X",G45="")),1,ROUND(MIN(IF(OR(D45="",D45="X"),4,D45),IF(OR(E45="",E45="X"),4,E45),IF(OR(F45="",F45="X"),4,F45),IF(OR(G45="",G45="X"),4,G45)),0))</f>
        <v>1</v>
      </c>
      <c r="I45" s="16" t="str">
        <f>IF(OR(Projets!C22 = 1, Projets!D22 = 1), IF(IndG = 3, Projets!L22,IF(AND(IndG = 4,NOT(Projets!F22= ""), Projets!F22&lt;dateanal ),Projets!L22, "")),"")</f>
        <v/>
      </c>
      <c r="J45" s="448">
        <f>IF(IF(IndG&gt;=3,MAX(H45,I45),H45)&lt;1,1,IF(IndG&gt;=3,MAX(H45,I45),H45))</f>
        <v>1</v>
      </c>
      <c r="L45" s="1163">
        <v>9</v>
      </c>
    </row>
    <row r="46" spans="1:13" s="34" customFormat="1" ht="12" customHeight="1" x14ac:dyDescent="0.25">
      <c r="A46" s="37"/>
      <c r="B46" s="47" t="s">
        <v>618</v>
      </c>
      <c r="C46" s="49" t="s">
        <v>547</v>
      </c>
      <c r="D46" s="139" t="str">
        <f>IF(NOT('2 Phy'!C43 = ""),'2 Phy'!C43,IF(COUNTIF('2 Phy'!C44:C50,"&gt;=0")=0,"", MIN(MAX(SUMPRODUCT('2 Phy'!C44:C50,'2 Phy'!$G44:$G50)*4/(SUM('2 Phy'!$G44:$G50) - SUMIF('2 Phy'!C44:C50,"X",'2 Phy'!$G44:$G50)),MAX('2 Phy'!AA44:AA50)),MIN('2 Phy'!AE44:AE50))))</f>
        <v/>
      </c>
      <c r="E46" s="139" t="str">
        <f>IF(NOT('2 Phy'!D43 = ""),'2 Phy'!D43,IF(COUNTIF('2 Phy'!D44:D50,"&gt;=0")=0,"", MIN(MAX(SUMPRODUCT('2 Phy'!D44:D50,'2 Phy'!$G44:$G50)*4/(SUM('2 Phy'!$G44:$G50) - SUMIF('2 Phy'!D44:D50,"X",'2 Phy'!$G44:$G50)),MAX('2 Phy'!AB44:AB50)),MIN('2 Phy'!AF44:AF50))))</f>
        <v/>
      </c>
      <c r="F46" s="139" t="str">
        <f>IF(NOT('2 Phy'!E43 = ""),'2 Phy'!E43,IF(COUNTIF('2 Phy'!E44:E50,"&gt;=0")=0,"", MIN(MAX(SUMPRODUCT('2 Phy'!E44:E50,'2 Phy'!$G44:$G50)*4/(SUM('2 Phy'!$G44:$G50) - SUMIF('2 Phy'!E44:E50,"X",'2 Phy'!$G44:$G50)),MAX('2 Phy'!AC44:AC50)),MIN('2 Phy'!AG44:AG50))))</f>
        <v/>
      </c>
      <c r="G46" s="139" t="str">
        <f>IF(NOT('2 Phy'!F43 = ""),'2 Phy'!F43,IF(COUNTIF('2 Phy'!F44:F50,"&gt;=0")=0,"", MIN(MAX(SUMPRODUCT('2 Phy'!F44:F50,'2 Phy'!$G44:$G50)*4/(SUM('2 Phy'!$G44:$G50) - SUMIF('2 Phy'!F44:F50,"X",'2 Phy'!$G44:$G50)),MAX('2 Phy'!AD44:AD50)),MIN('2 Phy'!AH44:AH50))))</f>
        <v/>
      </c>
      <c r="H46" s="447">
        <f>IF(AND(OR(D46="X",D46=""),OR(E46="X",E46=""),OR(F46="X",F46=""),OR(G46="X",G46="")),1,ROUND(MIN(IF(OR(D46="",D46="X"),4,D46),IF(OR(E46="",E46="X"),4,E46),IF(OR(F46="",F46="X"),4,F46),IF(OR(G46="",G46="X"),4,G46)),0))</f>
        <v>1</v>
      </c>
      <c r="I46" s="16" t="str">
        <f>IF(OR(Projets!C23 = 1, Projets!D23 = 1), IF(IndG = 3, Projets!I23,IF(AND(IndG = 4,NOT(Projets!F23= ""), Projets!F23&lt;dateanal ),Projets!I23, "")),"")</f>
        <v/>
      </c>
      <c r="J46" s="448">
        <f>IF(IF(IndG&gt;=3,MAX(H46,I46),H46)&lt;1,1,IF(IndG&gt;=3,MAX(H46,I46),H46))</f>
        <v>1</v>
      </c>
      <c r="L46" s="1163">
        <v>7</v>
      </c>
    </row>
    <row r="47" spans="1:13" s="34" customFormat="1" ht="12" customHeight="1" x14ac:dyDescent="0.25">
      <c r="A47" s="37"/>
      <c r="B47" s="47" t="s">
        <v>725</v>
      </c>
      <c r="C47" s="36" t="s">
        <v>7060</v>
      </c>
      <c r="D47" s="139" t="str">
        <f>IF(NOT('2 Phy'!C51 = ""),'2 Phy'!C51,IF(COUNTIF('2 Phy'!C52:C53,"&gt;=0")=0,"", MIN(MAX(SUMPRODUCT('2 Phy'!C52:C53,'2 Phy'!$G52:$G53)*4/(SUM('2 Phy'!$G52:$G53) - SUMIF('2 Phy'!C52:C53,"X",'2 Phy'!$G52:$G53)),MAX('2 Phy'!AA52:AA53)),MIN('2 Phy'!AE52:AE53))))</f>
        <v/>
      </c>
      <c r="E47" s="139" t="str">
        <f>IF(NOT('2 Phy'!D51 = ""),'2 Phy'!D51,IF(COUNTIF('2 Phy'!D52:D53,"&gt;=0")=0,"", MIN(MAX(SUMPRODUCT('2 Phy'!D52:D53,'2 Phy'!$G52:$G53)*4/(SUM('2 Phy'!$G52:$G53) - SUMIF('2 Phy'!D52:D53,"X",'2 Phy'!$G52:$G53)),MAX('2 Phy'!AB52:AB53)),MIN('2 Phy'!AF52:AF53))))</f>
        <v/>
      </c>
      <c r="F47" s="139" t="str">
        <f>IF(NOT('2 Phy'!E51 = ""),'2 Phy'!E51,IF(COUNTIF('2 Phy'!E52:E53,"&gt;=0")=0,"", MIN(MAX(SUMPRODUCT('2 Phy'!E52:E53,'2 Phy'!$G52:$G53)*4/(SUM('2 Phy'!$G52:$G53) - SUMIF('2 Phy'!E52:E53,"X",'2 Phy'!$G52:$G53)),MAX('2 Phy'!AC52:AC53)),MIN('2 Phy'!AG52:AG53))))</f>
        <v/>
      </c>
      <c r="G47" s="139" t="str">
        <f>IF(NOT('2 Phy'!F51 = ""),'2 Phy'!F51,IF(COUNTIF('2 Phy'!F52:F53,"&gt;=0")=0,"", MIN(MAX(SUMPRODUCT('2 Phy'!F52:F53,'2 Phy'!$G52:$G53)*4/(SUM('2 Phy'!$G52:$G53) - SUMIF('2 Phy'!F52:F53,"X",'2 Phy'!$G52:$G53)),MAX('2 Phy'!AD52:AD53)),MIN('2 Phy'!AH52:AH53))))</f>
        <v/>
      </c>
      <c r="H47" s="447">
        <f>IF(AND(OR(D47="X",D47=""),OR(E47="X",E47=""),OR(F47="X",F47=""),OR(G47="X",G47="")),1,ROUND(MIN(IF(OR(D47="",D47="X"),4,D47),IF(OR(E47="",E47="X"),4,E47),IF(OR(F47="",F47="X"),4,F47),IF(OR(G47="",G47="X"),4,G47)),0))</f>
        <v>1</v>
      </c>
      <c r="I47" s="16"/>
      <c r="J47" s="448">
        <f>IF(IF(IndG&gt;=3,MAX(H47,I47),H47)&lt;1,1,IF(IndG&gt;=3,MAX(H47,I47),H47))</f>
        <v>1</v>
      </c>
      <c r="L47" s="1163">
        <v>2</v>
      </c>
    </row>
    <row r="48" spans="1:13" s="34" customFormat="1" ht="12" customHeight="1" x14ac:dyDescent="0.25">
      <c r="A48" s="37"/>
      <c r="B48" s="47" t="s">
        <v>1619</v>
      </c>
      <c r="C48" s="36" t="s">
        <v>7069</v>
      </c>
      <c r="D48" s="139" t="str">
        <f>IF(NOT('2 Phy'!C54 = ""),'2 Phy'!C54,IF(COUNTIF('2 Phy'!C55:C56,"&gt;=0")=0,"", MIN(MAX(SUMPRODUCT('2 Phy'!C55:C56,'2 Phy'!$G55:$G56)*4/(SUM('2 Phy'!$G55:$G56) - SUMIF('2 Phy'!C55:C56,"X",'2 Phy'!$G55:$G56)),MAX('2 Phy'!AA55:AA56)),MIN('2 Phy'!AE55:AE56))))</f>
        <v/>
      </c>
      <c r="E48" s="139" t="str">
        <f>IF(NOT('2 Phy'!D54 = ""),'2 Phy'!D54,IF(COUNTIF('2 Phy'!D55:D56,"&gt;=0")=0,"", MIN(MAX(SUMPRODUCT('2 Phy'!D55:D56,'2 Phy'!$G55:$G56)*4/(SUM('2 Phy'!$G55:$G56) - SUMIF('2 Phy'!D55:D56,"X",'2 Phy'!$G55:$G56)),MAX('2 Phy'!AB55:AB56)),MIN('2 Phy'!AF55:AF56))))</f>
        <v/>
      </c>
      <c r="F48" s="139" t="str">
        <f>IF(NOT('2 Phy'!E54 = ""),'2 Phy'!E54,IF(COUNTIF('2 Phy'!E55:E56,"&gt;=0")=0,"", MIN(MAX(SUMPRODUCT('2 Phy'!E55:E56,'2 Phy'!$G55:$G56)*4/(SUM('2 Phy'!$G55:$G56) - SUMIF('2 Phy'!E55:E56,"X",'2 Phy'!$G55:$G56)),MAX('2 Phy'!AC55:AC56)),MIN('2 Phy'!AG55:AG56))))</f>
        <v/>
      </c>
      <c r="G48" s="139" t="str">
        <f>IF(NOT('2 Phy'!F54 = ""),'2 Phy'!F54,IF(COUNTIF('2 Phy'!F55:F56,"&gt;=0")=0,"", MIN(MAX(SUMPRODUCT('2 Phy'!F55:F56,'2 Phy'!$G55:$G56)*4/(SUM('2 Phy'!$G55:$G56) - SUMIF('2 Phy'!F55:F56,"X",'2 Phy'!$G55:$G56)),MAX('2 Phy'!AD55:AD56)),MIN('2 Phy'!AH55:AH56))))</f>
        <v/>
      </c>
      <c r="H48" s="447">
        <f>IF(AND(OR(D48="X",D48=""),OR(E48="X",E48=""),OR(F48="X",F48=""),OR(G48="X",G48="")),1,ROUND(MIN(IF(OR(D48="",D48="X"),4,D48),IF(OR(E48="",E48="X"),4,E48),IF(OR(F48="",F48="X"),4,F48),IF(OR(G48="",G48="X"),4,G48)),0))</f>
        <v>1</v>
      </c>
      <c r="I48" s="16"/>
      <c r="J48" s="448">
        <f>IF(IF(IndG&gt;=3,MAX(H48,I48),H48)&lt;1,1,IF(IndG&gt;=3,MAX(H48,I48),H48))</f>
        <v>1</v>
      </c>
      <c r="L48" s="1163">
        <v>2</v>
      </c>
    </row>
    <row r="49" spans="1:12" s="34" customFormat="1" ht="12" customHeight="1" x14ac:dyDescent="0.25">
      <c r="A49" s="37"/>
      <c r="B49" s="47" t="s">
        <v>7175</v>
      </c>
      <c r="C49" s="36" t="s">
        <v>7063</v>
      </c>
      <c r="D49" s="139" t="str">
        <f>IF(NOT('2 Phy'!C57 = ""),'2 Phy'!C57,IF(COUNTIF('2 Phy'!C58:C59,"&gt;=0")=0,"", MIN(MAX(SUMPRODUCT('2 Phy'!C58:C59,'2 Phy'!$G58:$G59)*4/(SUM('2 Phy'!$G58:$G59) - SUMIF('2 Phy'!C58:C59,"X",'2 Phy'!$G58:$G59)),MAX('2 Phy'!AA58:AA59)),MIN('2 Phy'!AE58:AE59))))</f>
        <v/>
      </c>
      <c r="E49" s="139" t="str">
        <f>IF(NOT('2 Phy'!D57 = ""),'2 Phy'!D57,IF(COUNTIF('2 Phy'!D58:D59,"&gt;=0")=0,"", MIN(MAX(SUMPRODUCT('2 Phy'!D58:D59,'2 Phy'!$G58:$G59)*4/(SUM('2 Phy'!$G58:$G59) - SUMIF('2 Phy'!D58:D59,"X",'2 Phy'!$G58:$G59)),MAX('2 Phy'!AB58:AB59)),MIN('2 Phy'!AF58:AF59))))</f>
        <v/>
      </c>
      <c r="F49" s="139" t="str">
        <f>IF(NOT('2 Phy'!E57 = ""),'2 Phy'!E57,IF(COUNTIF('2 Phy'!E58:E59,"&gt;=0")=0,"", MIN(MAX(SUMPRODUCT('2 Phy'!E58:E59,'2 Phy'!$G58:$G59)*4/(SUM('2 Phy'!$G58:$G59) - SUMIF('2 Phy'!E58:E59,"X",'2 Phy'!$G58:$G59)),MAX('2 Phy'!AC58:AC59)),MIN('2 Phy'!AG58:AG59))))</f>
        <v/>
      </c>
      <c r="G49" s="139" t="str">
        <f>IF(NOT('2 Phy'!F57 = ""),'2 Phy'!F57,IF(COUNTIF('2 Phy'!F58:F59,"&gt;=0")=0,"", MIN(MAX(SUMPRODUCT('2 Phy'!F58:F59,'2 Phy'!$G58:$G59)*4/(SUM('2 Phy'!$G58:$G59) - SUMIF('2 Phy'!F58:F59,"X",'2 Phy'!$G58:$G59)),MAX('2 Phy'!AD58:AD59)),MIN('2 Phy'!AH58:AH59))))</f>
        <v/>
      </c>
      <c r="H49" s="447"/>
      <c r="I49" s="16"/>
      <c r="J49" s="448"/>
      <c r="L49" s="1163">
        <v>2</v>
      </c>
    </row>
    <row r="50" spans="1:12" s="34" customFormat="1" ht="12" customHeight="1" x14ac:dyDescent="0.25">
      <c r="A50" s="37"/>
      <c r="B50" s="275" t="s">
        <v>719</v>
      </c>
      <c r="C50" s="37"/>
      <c r="D50" s="139"/>
      <c r="E50" s="139"/>
      <c r="F50" s="139"/>
      <c r="G50" s="139"/>
      <c r="H50" s="447"/>
      <c r="I50" s="16"/>
      <c r="J50" s="448"/>
      <c r="L50" s="1162"/>
    </row>
    <row r="51" spans="1:12" s="34" customFormat="1" ht="12" customHeight="1" x14ac:dyDescent="0.25">
      <c r="A51" s="37"/>
      <c r="B51" s="277" t="s">
        <v>714</v>
      </c>
      <c r="C51" s="37" t="s">
        <v>7075</v>
      </c>
      <c r="D51" s="139" t="str">
        <f>IF(NOT('2 Phy'!C61 = ""),'2 Phy'!C61,IF(COUNTIF('2 Phy'!C62:C63,"&gt;=0")=0,"", MIN(MAX(SUMPRODUCT('2 Phy'!C62:C63,'2 Phy'!$G62:$G63)*4/(SUM('2 Phy'!$G62:$G63) - SUMIF('2 Phy'!C62:C63,"X",'2 Phy'!$G62:$G63)),MAX('2 Phy'!AA62:AA63)),MIN('2 Phy'!AE62:AE63))))</f>
        <v/>
      </c>
      <c r="E51" s="139" t="str">
        <f>IF(NOT('2 Phy'!D61 = ""),'2 Phy'!D61,IF(COUNTIF('2 Phy'!D62:D63,"&gt;=0")=0,"", MIN(MAX(SUMPRODUCT('2 Phy'!D62:D63,'2 Phy'!$G62:$G63)*4/(SUM('2 Phy'!$G62:$G63) - SUMIF('2 Phy'!D62:D63,"X",'2 Phy'!$G62:$G63)),MAX('2 Phy'!AB62:AB63)),MIN('2 Phy'!AF62:AF63))))</f>
        <v/>
      </c>
      <c r="F51" s="139" t="str">
        <f>IF(NOT('2 Phy'!E61 = ""),'2 Phy'!E61,IF(COUNTIF('2 Phy'!E62:E63,"&gt;=0")=0,"", MIN(MAX(SUMPRODUCT('2 Phy'!E62:E63,'2 Phy'!$G62:$G63)*4/(SUM('2 Phy'!$G62:$G63) - SUMIF('2 Phy'!E62:E63,"X",'2 Phy'!$G62:$G63)),MAX('2 Phy'!AC62:AC63)),MIN('2 Phy'!AG62:AG63))))</f>
        <v/>
      </c>
      <c r="G51" s="139" t="str">
        <f>IF(NOT('2 Phy'!F61 = ""),'2 Phy'!F61,IF(COUNTIF('2 Phy'!F62:F63,"&gt;=0")=0,"", MIN(MAX(SUMPRODUCT('2 Phy'!F62:F63,'2 Phy'!$G62:$G63)*4/(SUM('2 Phy'!$G62:$G63) - SUMIF('2 Phy'!F62:F63,"X",'2 Phy'!$G62:$G63)),MAX('2 Phy'!AD62:AD63)),MIN('2 Phy'!AH62:AH63))))</f>
        <v/>
      </c>
      <c r="H51" s="447">
        <f t="shared" ref="H51:H59" si="4">IF(AND(OR(D51="X",D51=""),OR(E51="X",E51=""),OR(F51="X",F51=""),OR(G51="X",G51="")),1,ROUND(MIN(IF(OR(D51="",D51="X"),4,D51),IF(OR(E51="",E51="X"),4,E51),IF(OR(F51="",F51="X"),4,F51),IF(OR(G51="",G51="X"),4,G51)),0))</f>
        <v>1</v>
      </c>
      <c r="I51" s="16"/>
      <c r="J51" s="448">
        <f t="shared" ref="J51:J59" si="5">IF(IF(IndG&gt;=3,MAX(H51,I51),H51)&lt;1,1,IF(IndG&gt;=3,MAX(H51,I51),H51))</f>
        <v>1</v>
      </c>
      <c r="L51" s="1163">
        <v>2</v>
      </c>
    </row>
    <row r="52" spans="1:12" s="34" customFormat="1" ht="12" customHeight="1" x14ac:dyDescent="0.25">
      <c r="A52" s="37"/>
      <c r="B52" s="277" t="s">
        <v>615</v>
      </c>
      <c r="C52" s="37" t="s">
        <v>576</v>
      </c>
      <c r="D52" s="139" t="str">
        <f>IF(NOT('2 Phy'!C64 = ""),'2 Phy'!C64,IF(COUNTIF('2 Phy'!C65:C75,"&gt;=0")=0,"", MIN(MAX(SUMPRODUCT('2 Phy'!C65:C75,'2 Phy'!$G65:$G75)*4/(SUM('2 Phy'!$G65:$G75) - SUMIF('2 Phy'!C65:C75,"X",'2 Phy'!$G65:$G75)),MAX('2 Phy'!AA65:AA75)),MIN('2 Phy'!AE65:AE75))))</f>
        <v/>
      </c>
      <c r="E52" s="139" t="str">
        <f>IF(NOT('2 Phy'!D64 = ""),'2 Phy'!D64,IF(COUNTIF('2 Phy'!D65:D75,"&gt;=0")=0,"", MIN(MAX(SUMPRODUCT('2 Phy'!D65:D75,'2 Phy'!$G65:$G75)*4/(SUM('2 Phy'!$G65:$G75) - SUMIF('2 Phy'!D65:D75,"X",'2 Phy'!$G65:$G75)),MAX('2 Phy'!AB65:AB75)),MIN('2 Phy'!AF65:AF75))))</f>
        <v/>
      </c>
      <c r="F52" s="139" t="str">
        <f>IF(NOT('2 Phy'!E64 = ""),'2 Phy'!E64,IF(COUNTIF('2 Phy'!E65:E75,"&gt;=0")=0,"", MIN(MAX(SUMPRODUCT('2 Phy'!E65:E75,'2 Phy'!$G65:$G75)*4/(SUM('2 Phy'!$G65:$G75) - SUMIF('2 Phy'!E65:E75,"X",'2 Phy'!$G65:$G75)),MAX('2 Phy'!AC65:AC75)),MIN('2 Phy'!AG65:AG75))))</f>
        <v/>
      </c>
      <c r="G52" s="139" t="str">
        <f>IF(NOT('2 Phy'!F64 = ""),'2 Phy'!F64,IF(COUNTIF('2 Phy'!F65:F75,"&gt;=0")=0,"", MIN(MAX(SUMPRODUCT('2 Phy'!F65:F75,'2 Phy'!$G65:$G75)*4/(SUM('2 Phy'!$G65:$G75) - SUMIF('2 Phy'!F65:F75,"X",'2 Phy'!$G65:$G75)),MAX('2 Phy'!AD65:AD75)),MIN('2 Phy'!AH65:AH75))))</f>
        <v/>
      </c>
      <c r="H52" s="447">
        <f t="shared" si="4"/>
        <v>1</v>
      </c>
      <c r="I52" s="16" t="str">
        <f>IF(OR(Projets!C5 = 1, Projets!D5 = 1), IF(IndG = 3, Projets!I5,IF(AND(IndG = 4,NOT(Projets!F5= ""), Projets!F5&lt;dateanal ),Projets!I5, "")),"")</f>
        <v/>
      </c>
      <c r="J52" s="448">
        <f t="shared" si="5"/>
        <v>1</v>
      </c>
      <c r="L52" s="1163">
        <v>11</v>
      </c>
    </row>
    <row r="53" spans="1:12" s="34" customFormat="1" ht="12" customHeight="1" x14ac:dyDescent="0.25">
      <c r="A53" s="37"/>
      <c r="B53" s="277" t="s">
        <v>721</v>
      </c>
      <c r="C53" s="37" t="s">
        <v>127</v>
      </c>
      <c r="D53" s="139" t="str">
        <f>IF(NOT('2 Phy'!C76 = ""),'2 Phy'!C76,IF(COUNTIF('2 Phy'!C77:C78,"&gt;=0")=0,"", MIN(MAX(SUMPRODUCT('2 Phy'!C77:C78,'2 Phy'!$G77:$G78)*4/(SUM('2 Phy'!$G77:$G78) - SUMIF('2 Phy'!C77:C78,"X",'2 Phy'!$G77:$G78)),MAX('2 Phy'!AA77:AA78)),MIN('2 Phy'!AE77:AE78))))</f>
        <v/>
      </c>
      <c r="E53" s="139" t="str">
        <f>IF(NOT('2 Phy'!D76 = ""),'2 Phy'!D76,IF(COUNTIF('2 Phy'!D77:D78,"&gt;=0")=0,"", MIN(MAX(SUMPRODUCT('2 Phy'!D77:D78,'2 Phy'!$G77:$G78)*4/(SUM('2 Phy'!$G77:$G78) - SUMIF('2 Phy'!D77:D78,"X",'2 Phy'!$G77:$G78)),MAX('2 Phy'!AB77:AB78)),MIN('2 Phy'!AF77:AF78))))</f>
        <v/>
      </c>
      <c r="F53" s="139" t="str">
        <f>IF(NOT('2 Phy'!E76 = ""),'2 Phy'!E76,IF(COUNTIF('2 Phy'!E77:E78,"&gt;=0")=0,"", MIN(MAX(SUMPRODUCT('2 Phy'!E77:E78,'2 Phy'!$G77:$G78)*4/(SUM('2 Phy'!$G77:$G78) - SUMIF('2 Phy'!E77:E78,"X",'2 Phy'!$G77:$G78)),MAX('2 Phy'!AC77:AC78)),MIN('2 Phy'!AG77:AG78))))</f>
        <v/>
      </c>
      <c r="G53" s="139" t="str">
        <f>IF(NOT('2 Phy'!F76 = ""),'2 Phy'!F76,IF(COUNTIF('2 Phy'!F77:F78,"&gt;=0")=0,"", MIN(MAX(SUMPRODUCT('2 Phy'!F77:F78,'2 Phy'!$G77:$G78)*4/(SUM('2 Phy'!$G77:$G78) - SUMIF('2 Phy'!F77:F78,"X",'2 Phy'!$G77:$G78)),MAX('2 Phy'!AD77:AD78)),MIN('2 Phy'!AH77:AH78))))</f>
        <v/>
      </c>
      <c r="H53" s="447">
        <f t="shared" si="4"/>
        <v>1</v>
      </c>
      <c r="I53" s="16"/>
      <c r="J53" s="448">
        <f t="shared" si="5"/>
        <v>1</v>
      </c>
      <c r="L53" s="1163">
        <v>2</v>
      </c>
    </row>
    <row r="54" spans="1:12" s="34" customFormat="1" ht="12" customHeight="1" x14ac:dyDescent="0.25">
      <c r="A54" s="37"/>
      <c r="B54" s="38" t="s">
        <v>616</v>
      </c>
      <c r="C54" s="36" t="s">
        <v>489</v>
      </c>
      <c r="D54" s="139" t="str">
        <f>IF(NOT('2 Phy'!C79 = ""),'2 Phy'!C79,IF(COUNTIF('2 Phy'!C80:C84,"&gt;=0")=0,"", MIN(MAX(SUMPRODUCT('2 Phy'!C80:C84,'2 Phy'!$G80:$G84)*4/(SUM('2 Phy'!$G80:$G84) - SUMIF('2 Phy'!C80:C84,"X",'2 Phy'!$G80:$G84)),MAX('2 Phy'!AA80:AA84)),MIN('2 Phy'!AE80:AE84))))</f>
        <v/>
      </c>
      <c r="E54" s="139" t="str">
        <f>IF(NOT('2 Phy'!D79 = ""),'2 Phy'!D79,IF(COUNTIF('2 Phy'!D80:D84,"&gt;=0")=0,"", MIN(MAX(SUMPRODUCT('2 Phy'!D80:D84,'2 Phy'!$G80:$G84)*4/(SUM('2 Phy'!$G80:$G84) - SUMIF('2 Phy'!D80:D84,"X",'2 Phy'!$G80:$G84)),MAX('2 Phy'!AB80:AB84)),MIN('2 Phy'!AF80:AF84))))</f>
        <v/>
      </c>
      <c r="F54" s="139" t="str">
        <f>IF(NOT('2 Phy'!E79 = ""),'2 Phy'!E79,IF(COUNTIF('2 Phy'!E80:E84,"&gt;=0")=0,"", MIN(MAX(SUMPRODUCT('2 Phy'!E80:E84,'2 Phy'!$G80:$G84)*4/(SUM('2 Phy'!$G80:$G84) - SUMIF('2 Phy'!E80:E84,"X",'2 Phy'!$G80:$G84)),MAX('2 Phy'!AC80:AC84)),MIN('2 Phy'!AG80:AG84))))</f>
        <v/>
      </c>
      <c r="G54" s="139" t="str">
        <f>IF(NOT('2 Phy'!F79 = ""),'2 Phy'!F79,IF(COUNTIF('2 Phy'!F80:F84,"&gt;=0")=0,"", MIN(MAX(SUMPRODUCT('2 Phy'!F80:F84,'2 Phy'!$G80:$G84)*4/(SUM('2 Phy'!$G80:$G84) - SUMIF('2 Phy'!F80:F84,"X",'2 Phy'!$G80:$G84)),MAX('2 Phy'!AD80:AD84)),MIN('2 Phy'!AH80:AH84))))</f>
        <v/>
      </c>
      <c r="H54" s="447">
        <f t="shared" si="4"/>
        <v>1</v>
      </c>
      <c r="I54" s="16" t="str">
        <f>IF(OR(Projets!C5 = 1, Projets!D5 = 1), IF(IndG = 3, Projets!L5,IF(AND(IndG = 4,NOT(Projets!F5= ""), Projets!F5&lt;dateanal ),Projets!L5, "")),"")</f>
        <v/>
      </c>
      <c r="J54" s="448">
        <f t="shared" si="5"/>
        <v>1</v>
      </c>
      <c r="L54" s="1163">
        <v>5</v>
      </c>
    </row>
    <row r="55" spans="1:12" s="34" customFormat="1" ht="12" customHeight="1" x14ac:dyDescent="0.25">
      <c r="A55" s="37"/>
      <c r="B55" s="38" t="s">
        <v>722</v>
      </c>
      <c r="C55" s="203" t="s">
        <v>7078</v>
      </c>
      <c r="D55" s="139" t="str">
        <f>IF(NOT('2 Phy'!C85 = ""),'2 Phy'!C85,IF(COUNTIF('2 Phy'!C86:C87,"&gt;=0")=0,"", MIN(MAX(SUMPRODUCT('2 Phy'!C86:C87,'2 Phy'!$G86:$G87)*4/(SUM('2 Phy'!$G86:$G87) - SUMIF('2 Phy'!C86:C87,"X",'2 Phy'!$G86:$G87)),MAX('2 Phy'!AA86:AA87)),MIN('2 Phy'!AE86:AE87))))</f>
        <v/>
      </c>
      <c r="E55" s="139" t="str">
        <f>IF(NOT('2 Phy'!D85 = ""),'2 Phy'!D85,IF(COUNTIF('2 Phy'!D86:D87,"&gt;=0")=0,"", MIN(MAX(SUMPRODUCT('2 Phy'!D86:D87,'2 Phy'!$G86:$G87)*4/(SUM('2 Phy'!$G86:$G87) - SUMIF('2 Phy'!D86:D87,"X",'2 Phy'!$G86:$G87)),MAX('2 Phy'!AB86:AB87)),MIN('2 Phy'!AF86:AF87))))</f>
        <v/>
      </c>
      <c r="F55" s="139" t="str">
        <f>IF(NOT('2 Phy'!E85 = ""),'2 Phy'!E85,IF(COUNTIF('2 Phy'!E86:E87,"&gt;=0")=0,"", MIN(MAX(SUMPRODUCT('2 Phy'!E86:E87,'2 Phy'!$G86:$G87)*4/(SUM('2 Phy'!$G86:$G87) - SUMIF('2 Phy'!E86:E87,"X",'2 Phy'!$G86:$G87)),MAX('2 Phy'!AC86:AC87)),MIN('2 Phy'!AG86:AG87))))</f>
        <v/>
      </c>
      <c r="G55" s="139" t="str">
        <f>IF(NOT('2 Phy'!F85 = ""),'2 Phy'!F85,IF(COUNTIF('2 Phy'!F86:F87,"&gt;=0")=0,"", MIN(MAX(SUMPRODUCT('2 Phy'!F86:F87,'2 Phy'!$G86:$G87)*4/(SUM('2 Phy'!$G86:$G87) - SUMIF('2 Phy'!F86:F87,"X",'2 Phy'!$G86:$G87)),MAX('2 Phy'!AD86:AD87)),MIN('2 Phy'!AH86:AH87))))</f>
        <v/>
      </c>
      <c r="H55" s="447">
        <f t="shared" si="4"/>
        <v>1</v>
      </c>
      <c r="I55" s="16"/>
      <c r="J55" s="448">
        <f t="shared" si="5"/>
        <v>1</v>
      </c>
      <c r="L55" s="1163">
        <v>2</v>
      </c>
    </row>
    <row r="56" spans="1:12" s="34" customFormat="1" ht="12" customHeight="1" x14ac:dyDescent="0.25">
      <c r="A56" s="37"/>
      <c r="B56" s="38" t="s">
        <v>7184</v>
      </c>
      <c r="C56" s="203" t="s">
        <v>7080</v>
      </c>
      <c r="D56" s="139" t="str">
        <f>IF(NOT('2 Phy'!C88 = ""),'2 Phy'!C88,IF(COUNTIF('2 Phy'!C89:C90,"&gt;=0")=0,"", MIN(MAX(SUMPRODUCT('2 Phy'!C89:C90,'2 Phy'!$G89:$G90)*4/(SUM('2 Phy'!$G89:$G90) - SUMIF('2 Phy'!C89:C90,"X",'2 Phy'!$G89:$G90)),MAX('2 Phy'!AA89:AA90)),MIN('2 Phy'!AE89:AE90))))</f>
        <v/>
      </c>
      <c r="E56" s="139" t="str">
        <f>IF(NOT('2 Phy'!D88 = ""),'2 Phy'!D88,IF(COUNTIF('2 Phy'!D89:D90,"&gt;=0")=0,"", MIN(MAX(SUMPRODUCT('2 Phy'!D89:D90,'2 Phy'!$G89:$G90)*4/(SUM('2 Phy'!$G89:$G90) - SUMIF('2 Phy'!D89:D90,"X",'2 Phy'!$G89:$G90)),MAX('2 Phy'!AB89:AB90)),MIN('2 Phy'!AF89:AF90))))</f>
        <v/>
      </c>
      <c r="F56" s="139" t="str">
        <f>IF(NOT('2 Phy'!E88 = ""),'2 Phy'!E88,IF(COUNTIF('2 Phy'!E89:E90,"&gt;=0")=0,"", MIN(MAX(SUMPRODUCT('2 Phy'!E89:E90,'2 Phy'!$G89:$G90)*4/(SUM('2 Phy'!$G89:$G90) - SUMIF('2 Phy'!E89:E90,"X",'2 Phy'!$G89:$G90)),MAX('2 Phy'!AC89:AC90)),MIN('2 Phy'!AG89:AG90))))</f>
        <v/>
      </c>
      <c r="G56" s="139" t="str">
        <f>IF(NOT('2 Phy'!F88 = ""),'2 Phy'!F88,IF(COUNTIF('2 Phy'!F89:F90,"&gt;=0")=0,"", MIN(MAX(SUMPRODUCT('2 Phy'!F89:F90,'2 Phy'!$G89:$G90)*4/(SUM('2 Phy'!$G89:$G90) - SUMIF('2 Phy'!F89:F90,"X",'2 Phy'!$G89:$G90)),MAX('2 Phy'!AD89:AD90)),MIN('2 Phy'!AH89:AH90))))</f>
        <v/>
      </c>
      <c r="H56" s="447">
        <f t="shared" si="4"/>
        <v>1</v>
      </c>
      <c r="I56" s="16"/>
      <c r="J56" s="448">
        <f t="shared" si="5"/>
        <v>1</v>
      </c>
      <c r="L56" s="1163">
        <v>2</v>
      </c>
    </row>
    <row r="57" spans="1:12" s="34" customFormat="1" ht="12" customHeight="1" x14ac:dyDescent="0.25">
      <c r="A57" s="37"/>
      <c r="B57" s="38" t="s">
        <v>7189</v>
      </c>
      <c r="C57" s="203" t="s">
        <v>7083</v>
      </c>
      <c r="D57" s="139" t="str">
        <f>IF(NOT('2 Phy'!C91 = ""),'2 Phy'!C91,IF(COUNTIF('2 Phy'!C92:C93,"&gt;=0")=0,"", MIN(MAX(SUMPRODUCT('2 Phy'!C92:C93,'2 Phy'!$G92:$G93)*4/(SUM('2 Phy'!$G92:$G93) - SUMIF('2 Phy'!C92:C93,"X",'2 Phy'!$G92:$G93)),MAX('2 Phy'!AA92:AA93)),MIN('2 Phy'!AE92:AE93))))</f>
        <v/>
      </c>
      <c r="E57" s="139" t="str">
        <f>IF(NOT('2 Phy'!D91 = ""),'2 Phy'!D91,IF(COUNTIF('2 Phy'!D92:D93,"&gt;=0")=0,"", MIN(MAX(SUMPRODUCT('2 Phy'!D92:D93,'2 Phy'!$G92:$G93)*4/(SUM('2 Phy'!$G92:$G93) - SUMIF('2 Phy'!D92:D93,"X",'2 Phy'!$G92:$G93)),MAX('2 Phy'!AB92:AB93)),MIN('2 Phy'!AF92:AF93))))</f>
        <v/>
      </c>
      <c r="F57" s="139" t="str">
        <f>IF(NOT('2 Phy'!E91 = ""),'2 Phy'!E91,IF(COUNTIF('2 Phy'!E92:E93,"&gt;=0")=0,"", MIN(MAX(SUMPRODUCT('2 Phy'!E92:E93,'2 Phy'!$G92:$G93)*4/(SUM('2 Phy'!$G92:$G93) - SUMIF('2 Phy'!E92:E93,"X",'2 Phy'!$G92:$G93)),MAX('2 Phy'!AC92:AC93)),MIN('2 Phy'!AG92:AG93))))</f>
        <v/>
      </c>
      <c r="G57" s="139" t="str">
        <f>IF(NOT('2 Phy'!F91 = ""),'2 Phy'!F91,IF(COUNTIF('2 Phy'!F92:F93,"&gt;=0")=0,"", MIN(MAX(SUMPRODUCT('2 Phy'!F92:F93,'2 Phy'!$G92:$G93)*4/(SUM('2 Phy'!$G92:$G93) - SUMIF('2 Phy'!F92:F93,"X",'2 Phy'!$G92:$G93)),MAX('2 Phy'!AD92:AD93)),MIN('2 Phy'!AH92:AH93))))</f>
        <v/>
      </c>
      <c r="H57" s="447">
        <f t="shared" si="4"/>
        <v>1</v>
      </c>
      <c r="I57" s="16"/>
      <c r="J57" s="448">
        <f t="shared" si="5"/>
        <v>1</v>
      </c>
      <c r="L57" s="1163">
        <v>2</v>
      </c>
    </row>
    <row r="58" spans="1:12" s="34" customFormat="1" ht="12" customHeight="1" x14ac:dyDescent="0.25">
      <c r="A58" s="37"/>
      <c r="B58" s="38" t="s">
        <v>7194</v>
      </c>
      <c r="C58" s="203" t="s">
        <v>7087</v>
      </c>
      <c r="D58" s="139" t="str">
        <f>IF(NOT('2 Phy'!C94 = ""),'2 Phy'!C94,IF(COUNTIF('2 Phy'!C95:C96,"&gt;=0")=0,"", MIN(MAX(SUMPRODUCT('2 Phy'!C95:C96,'2 Phy'!$G95:$G96)*4/(SUM('2 Phy'!$G95:$G96) - SUMIF('2 Phy'!C95:C96,"X",'2 Phy'!$G95:$G96)),MAX('2 Phy'!AA95:AA96)),MIN('2 Phy'!AE95:AE96))))</f>
        <v/>
      </c>
      <c r="E58" s="139" t="str">
        <f>IF(NOT('2 Phy'!D94 = ""),'2 Phy'!D94,IF(COUNTIF('2 Phy'!D95:D96,"&gt;=0")=0,"", MIN(MAX(SUMPRODUCT('2 Phy'!D95:D96,'2 Phy'!$G95:$G96)*4/(SUM('2 Phy'!$G95:$G96) - SUMIF('2 Phy'!D95:D96,"X",'2 Phy'!$G95:$G96)),MAX('2 Phy'!AB95:AB96)),MIN('2 Phy'!AF95:AF96))))</f>
        <v/>
      </c>
      <c r="F58" s="139" t="str">
        <f>IF(NOT('2 Phy'!E94 = ""),'2 Phy'!E94,IF(COUNTIF('2 Phy'!E95:E96,"&gt;=0")=0,"", MIN(MAX(SUMPRODUCT('2 Phy'!E95:E96,'2 Phy'!$G95:$G96)*4/(SUM('2 Phy'!$G95:$G96) - SUMIF('2 Phy'!E95:E96,"X",'2 Phy'!$G95:$G96)),MAX('2 Phy'!AC95:AC96)),MIN('2 Phy'!AG95:AG96))))</f>
        <v/>
      </c>
      <c r="G58" s="139" t="str">
        <f>IF(NOT('2 Phy'!F94 = ""),'2 Phy'!F94,IF(COUNTIF('2 Phy'!F95:F96,"&gt;=0")=0,"", MIN(MAX(SUMPRODUCT('2 Phy'!F95:F96,'2 Phy'!$G95:$G96)*4/(SUM('2 Phy'!$G95:$G96) - SUMIF('2 Phy'!F95:F96,"X",'2 Phy'!$G95:$G96)),MAX('2 Phy'!AD95:AD96)),MIN('2 Phy'!AH95:AH96))))</f>
        <v/>
      </c>
      <c r="H58" s="447">
        <f t="shared" si="4"/>
        <v>1</v>
      </c>
      <c r="I58" s="16"/>
      <c r="J58" s="448">
        <f t="shared" si="5"/>
        <v>1</v>
      </c>
      <c r="L58" s="1163">
        <v>2</v>
      </c>
    </row>
    <row r="59" spans="1:12" s="34" customFormat="1" ht="12" customHeight="1" x14ac:dyDescent="0.25">
      <c r="A59" s="37"/>
      <c r="B59" s="38" t="s">
        <v>7199</v>
      </c>
      <c r="C59" s="203" t="s">
        <v>7089</v>
      </c>
      <c r="D59" s="139" t="str">
        <f>IF(NOT('2 Phy'!C97 = ""),'2 Phy'!C97,IF(COUNTIF('2 Phy'!C98:C99,"&gt;=0")=0,"", MIN(MAX(SUMPRODUCT('2 Phy'!C98:C99,'2 Phy'!$G98:$G99)*4/(SUM('2 Phy'!$G98:$G99) - SUMIF('2 Phy'!C98:C99,"X",'2 Phy'!$G98:$G99)),MAX('2 Phy'!AA98:AA99)),MIN('2 Phy'!AE98:AE99))))</f>
        <v/>
      </c>
      <c r="E59" s="139" t="str">
        <f>IF(NOT('2 Phy'!D97 = ""),'2 Phy'!D97,IF(COUNTIF('2 Phy'!D98:D99,"&gt;=0")=0,"", MIN(MAX(SUMPRODUCT('2 Phy'!D98:D99,'2 Phy'!$G98:$G99)*4/(SUM('2 Phy'!$G98:$G99) - SUMIF('2 Phy'!D98:D99,"X",'2 Phy'!$G98:$G99)),MAX('2 Phy'!AB98:AB99)),MIN('2 Phy'!AF98:AF99))))</f>
        <v/>
      </c>
      <c r="F59" s="139" t="str">
        <f>IF(NOT('2 Phy'!E97 = ""),'2 Phy'!E97,IF(COUNTIF('2 Phy'!E98:E99,"&gt;=0")=0,"", MIN(MAX(SUMPRODUCT('2 Phy'!E98:E99,'2 Phy'!$G98:$G99)*4/(SUM('2 Phy'!$G98:$G99) - SUMIF('2 Phy'!E98:E99,"X",'2 Phy'!$G98:$G99)),MAX('2 Phy'!AC98:AC99)),MIN('2 Phy'!AG98:AG99))))</f>
        <v/>
      </c>
      <c r="G59" s="139" t="str">
        <f>IF(NOT('2 Phy'!F97 = ""),'2 Phy'!F97,IF(COUNTIF('2 Phy'!F98:F99,"&gt;=0")=0,"", MIN(MAX(SUMPRODUCT('2 Phy'!F98:F99,'2 Phy'!$G98:$G99)*4/(SUM('2 Phy'!$G98:$G99) - SUMIF('2 Phy'!F98:F99,"X",'2 Phy'!$G98:$G99)),MAX('2 Phy'!AD98:AD99)),MIN('2 Phy'!AH98:AH99))))</f>
        <v/>
      </c>
      <c r="H59" s="447">
        <f t="shared" si="4"/>
        <v>1</v>
      </c>
      <c r="I59" s="16"/>
      <c r="J59" s="448">
        <f t="shared" si="5"/>
        <v>1</v>
      </c>
      <c r="L59" s="1163">
        <v>2</v>
      </c>
    </row>
    <row r="60" spans="1:12" s="34" customFormat="1" ht="12" customHeight="1" x14ac:dyDescent="0.25">
      <c r="A60" s="37"/>
      <c r="B60" s="35" t="s">
        <v>708</v>
      </c>
      <c r="C60" s="37"/>
      <c r="D60" s="139"/>
      <c r="E60" s="139"/>
      <c r="F60" s="139"/>
      <c r="G60" s="139"/>
      <c r="H60" s="447"/>
      <c r="I60" s="16"/>
      <c r="J60" s="448"/>
      <c r="L60" s="1162"/>
    </row>
    <row r="61" spans="1:12" s="34" customFormat="1" ht="11.25" customHeight="1" x14ac:dyDescent="0.25">
      <c r="A61" s="37"/>
      <c r="B61" s="47" t="s">
        <v>709</v>
      </c>
      <c r="C61" s="36" t="s">
        <v>710</v>
      </c>
      <c r="D61" s="139" t="str">
        <f>IF(NOT('2 Phy'!C101 = ""),'2 Phy'!C101,IF(COUNTIF('2 Phy'!C102:C117,"&gt;=0")=0,"", MIN(MAX(SUMPRODUCT('2 Phy'!C102:C117,'2 Phy'!$G102:$G117)*4/(SUM('2 Phy'!$G102:$G117) - SUMIF('2 Phy'!C102:C117,"X",'2 Phy'!$G102:$G117)),MAX('2 Phy'!AA102:AA117)),MIN('2 Phy'!AE102:AE117))))</f>
        <v/>
      </c>
      <c r="E61" s="452" t="str">
        <f>IF(NOT('2 Phy'!D101 = ""),'2 Phy'!D101,IF(COUNTIF('2 Phy'!D102:D117,"&gt;=0")=0,"", MIN(MAX(SUMPRODUCT('2 Phy'!D102:D117,'2 Phy'!$G102:$G117)*4/(SUM('2 Phy'!$G102:$G117) - SUMIF('2 Phy'!D102:D117,"X",'2 Phy'!$G102:$G117)),MAX('2 Phy'!AB102:AB117)),MIN('2 Phy'!AF102:AF117))))</f>
        <v/>
      </c>
      <c r="F61" s="452" t="str">
        <f>IF(NOT('2 Phy'!E101 = ""),'2 Phy'!E101,IF(COUNTIF('2 Phy'!E102:E117,"&gt;=0")=0,"", MIN(MAX(SUMPRODUCT('2 Phy'!E102:E117,'2 Phy'!$G102:$G117)*4/(SUM('2 Phy'!$G102:$G117) - SUMIF('2 Phy'!E102:E117,"X",'2 Phy'!$G102:$G117)),MAX('2 Phy'!AC102:AC117)),MIN('2 Phy'!AG102:AG117))))</f>
        <v/>
      </c>
      <c r="G61" s="452" t="str">
        <f>IF(NOT('2 Phy'!F101 = ""),'2 Phy'!F101,IF(COUNTIF('2 Phy'!F102:F117,"&gt;=0")=0,"", MIN(MAX(SUMPRODUCT('2 Phy'!F102:F117,'2 Phy'!$G102:$G117)*4/(SUM('2 Phy'!$G102:$G117) - SUMIF('2 Phy'!F102:F117,"X",'2 Phy'!$G102:$G117)),MAX('2 Phy'!AD102:AD117)),MIN('2 Phy'!AH102:AH117))))</f>
        <v/>
      </c>
      <c r="H61" s="447">
        <f>IF(AND(OR(D61="X",D61=""),OR(E61="X",E61=""),OR(F61="X",F61=""),OR(G61="X",G61="")),1,ROUND(MIN(IF(OR(D61="",D61="X"),4,D61),IF(OR(E61="",E61="X"),4,E61),IF(OR(F61="",F61="X"),4,F61),IF(OR(G61="",G61="X"),4,G61)),0))</f>
        <v>1</v>
      </c>
      <c r="I61" s="16" t="str">
        <f>IF(OR(Projets!C20 = 1, Projets!D20 = 1), IF(IndG = 3, Projets!I20,IF(AND(IndG = 4,NOT(Projets!F20= ""), Projets!F20&lt;dateanal ),Projets!I20, "")),"")</f>
        <v/>
      </c>
      <c r="J61" s="448">
        <f>IF(IF(IndG&gt;=3,MAX(H61,I61),H61)&lt;1,1,IF(IndG&gt;=3,MAX(H61,I61),H61))</f>
        <v>1</v>
      </c>
      <c r="L61" s="1163">
        <v>16</v>
      </c>
    </row>
    <row r="62" spans="1:12" s="34" customFormat="1" ht="12" customHeight="1" x14ac:dyDescent="0.25">
      <c r="A62" s="37"/>
      <c r="B62" s="47" t="s">
        <v>711</v>
      </c>
      <c r="C62" s="36" t="s">
        <v>372</v>
      </c>
      <c r="D62" s="139" t="str">
        <f>IF(NOT('2 Phy'!C118 = ""),'2 Phy'!C118,IF(COUNTIF('2 Phy'!C119:C126,"&gt;=0")=0,"", MIN(MAX(SUMPRODUCT('2 Phy'!C119:C126,'2 Phy'!$G119:$G126)*4/(SUM('2 Phy'!$G119:$G126) - SUMIF('2 Phy'!C119:C126,"X",'2 Phy'!$G119:$G126)),MAX('2 Phy'!AA119:AA126)),MIN('2 Phy'!AE119:AE126))))</f>
        <v/>
      </c>
      <c r="E62" s="139" t="str">
        <f>IF(NOT('2 Phy'!D118 = ""),'2 Phy'!D118,IF(COUNTIF('2 Phy'!D119:D126,"&gt;=0")=0,"", MIN(MAX(SUMPRODUCT('2 Phy'!D119:D126,'2 Phy'!$G119:$G126)*4/(SUM('2 Phy'!$G119:$G126) - SUMIF('2 Phy'!D119:D126,"X",'2 Phy'!$G119:$G126)),MAX('2 Phy'!AB119:AB126)),MIN('2 Phy'!AF119:AF126))))</f>
        <v/>
      </c>
      <c r="F62" s="139" t="str">
        <f>IF(NOT('2 Phy'!E118 = ""),'2 Phy'!E118,IF(COUNTIF('2 Phy'!E119:E126,"&gt;=0")=0,"", MIN(MAX(SUMPRODUCT('2 Phy'!E119:E126,'2 Phy'!$G119:$G126)*4/(SUM('2 Phy'!$G119:$G126) - SUMIF('2 Phy'!E119:E126,"X",'2 Phy'!$G119:$G126)),MAX('2 Phy'!AC119:AC126)),MIN('2 Phy'!AG119:AG126))))</f>
        <v/>
      </c>
      <c r="G62" s="139" t="str">
        <f>IF(NOT('2 Phy'!F118 = ""),'2 Phy'!F118,IF(COUNTIF('2 Phy'!F119:F126,"&gt;=0")=0,"", MIN(MAX(SUMPRODUCT('2 Phy'!F119:F126,'2 Phy'!$G119:$G126)*4/(SUM('2 Phy'!$G119:$G126) - SUMIF('2 Phy'!F119:F126,"X",'2 Phy'!$G119:$G126)),MAX('2 Phy'!AD119:AD126)),MIN('2 Phy'!AH119:AH126))))</f>
        <v/>
      </c>
      <c r="H62" s="447">
        <f>IF(AND(OR(D62="X",D62=""),OR(E62="X",E62=""),OR(F62="X",F62=""),OR(G62="X",G62="")),1,ROUND(MIN(IF(OR(D62="",D62="X"),4,D62),IF(OR(E62="",E62="X"),4,E62),IF(OR(F62="",F62="X"),4,F62),IF(OR(G62="",G62="X"),4,G62)),0))</f>
        <v>1</v>
      </c>
      <c r="I62" s="16" t="str">
        <f>IF(OR(Projets!C20 = 1, Projets!D20 = 1), IF(IndG = 3, Projets!L20,IF(AND(IndG = 4,NOT(Projets!F20= ""), Projets!F20&lt;dateanal ),Projets!L20, "")),"")</f>
        <v/>
      </c>
      <c r="J62" s="448">
        <f>IF(IF(IndG&gt;=3,MAX(H62,I62),H62)&lt;1,1,IF(IndG&gt;=3,MAX(H62,I62),H62))</f>
        <v>1</v>
      </c>
      <c r="L62" s="1163">
        <v>8</v>
      </c>
    </row>
    <row r="63" spans="1:12" s="34" customFormat="1" ht="12" customHeight="1" x14ac:dyDescent="0.25">
      <c r="A63" s="37"/>
      <c r="B63" s="47" t="s">
        <v>614</v>
      </c>
      <c r="C63" s="36" t="s">
        <v>373</v>
      </c>
      <c r="D63" s="139" t="str">
        <f>IF(NOT('2 Phy'!C127 = ""),'2 Phy'!C127,IF(COUNTIF('2 Phy'!C128:C134,"&gt;=0")=0,"", MIN(MAX(SUMPRODUCT('2 Phy'!C128:C134,'2 Phy'!$G128:$G134)*4/(SUM('2 Phy'!$G128:$G134) - SUMIF('2 Phy'!C128:C134,"X",'2 Phy'!$G128:$G134)),MAX('2 Phy'!AA128:AA134)),MIN('2 Phy'!AE128:AE134))))</f>
        <v/>
      </c>
      <c r="E63" s="139" t="str">
        <f>IF(NOT('2 Phy'!D127 = ""),'2 Phy'!D127,IF(COUNTIF('2 Phy'!D128:D134,"&gt;=0")=0,"", MIN(MAX(SUMPRODUCT('2 Phy'!D128:D134,'2 Phy'!$G128:$G134)*4/(SUM('2 Phy'!$G128:$G134) - SUMIF('2 Phy'!D128:D134,"X",'2 Phy'!$G128:$G134)),MAX('2 Phy'!AB128:AB134)),MIN('2 Phy'!AF128:AF134))))</f>
        <v/>
      </c>
      <c r="F63" s="139" t="str">
        <f>IF(NOT('2 Phy'!E127 = ""),'2 Phy'!E127,IF(COUNTIF('2 Phy'!E128:E134,"&gt;=0")=0,"", MIN(MAX(SUMPRODUCT('2 Phy'!E128:E134,'2 Phy'!$G128:$G134)*4/(SUM('2 Phy'!$G128:$G134) - SUMIF('2 Phy'!E128:E134,"X",'2 Phy'!$G128:$G134)),MAX('2 Phy'!AC128:AC134)),MIN('2 Phy'!AG128:AG134))))</f>
        <v/>
      </c>
      <c r="G63" s="139" t="str">
        <f>IF(NOT('2 Phy'!F127 = ""),'2 Phy'!F127,IF(COUNTIF('2 Phy'!F128:F134,"&gt;=0")=0,"", MIN(MAX(SUMPRODUCT('2 Phy'!F128:F134,'2 Phy'!$G128:$G134)*4/(SUM('2 Phy'!$G128:$G134) - SUMIF('2 Phy'!F128:F134,"X",'2 Phy'!$G128:$G134)),MAX('2 Phy'!AD128:AD134)),MIN('2 Phy'!AH128:AH134))))</f>
        <v/>
      </c>
      <c r="H63" s="447">
        <f>IF(AND(OR(D63="X",D63=""),OR(E63="X",E63=""),OR(F63="X",F63=""),OR(G63="X",G63="")),1,ROUND(MIN(IF(OR(D63="",D63="X"),4,D63),IF(OR(E63="",E63="X"),4,E63),IF(OR(F63="",F63="X"),4,F63),IF(OR(G63="",G63="X"),4,G63)),0))</f>
        <v>1</v>
      </c>
      <c r="I63" s="16" t="str">
        <f>IF(OR(Projets!C21 = 1, Projets!D21 = 1), IF(IndG = 3, Projets!I21,IF(AND(IndG = 4,NOT(Projets!F21= ""), Projets!F21&lt;dateanal ),Projets!I21, "")),"")</f>
        <v/>
      </c>
      <c r="J63" s="448">
        <f>IF(IF(IndG&gt;=3,MAX(H63,I63),H63)&lt;1,1,IF(IndG&gt;=3,MAX(H63,I63),H63))</f>
        <v>1</v>
      </c>
      <c r="L63" s="1163">
        <v>7</v>
      </c>
    </row>
    <row r="64" spans="1:12" s="34" customFormat="1" ht="12" customHeight="1" x14ac:dyDescent="0.25">
      <c r="A64" s="37"/>
      <c r="B64" s="47" t="s">
        <v>712</v>
      </c>
      <c r="C64" s="36" t="s">
        <v>7217</v>
      </c>
      <c r="D64" s="139" t="str">
        <f>IF(NOT('2 Phy'!C135 = ""),'2 Phy'!C135,IF(COUNTIF('2 Phy'!C136:C143,"&gt;=0")=0,"", MIN(MAX(SUMPRODUCT('2 Phy'!C136:C143,'2 Phy'!$G136:$G143)*4/(SUM('2 Phy'!$G136:$G143) - SUMIF('2 Phy'!C136:C143,"X",'2 Phy'!$G136:$G143)),MAX('2 Phy'!AA136:AA143)),MIN('2 Phy'!AE136:AE143))))</f>
        <v/>
      </c>
      <c r="E64" s="139" t="str">
        <f>IF(NOT('2 Phy'!D135 = ""),'2 Phy'!D135,IF(COUNTIF('2 Phy'!D136:D143,"&gt;=0")=0,"", MIN(MAX(SUMPRODUCT('2 Phy'!D136:D143,'2 Phy'!$G136:$G143)*4/(SUM('2 Phy'!$G136:$G143) - SUMIF('2 Phy'!D136:D143,"X",'2 Phy'!$G136:$G143)),MAX('2 Phy'!AB136:AB143)),MIN('2 Phy'!AF136:AF143))))</f>
        <v/>
      </c>
      <c r="F64" s="139" t="str">
        <f>IF(NOT('2 Phy'!E135 = ""),'2 Phy'!E135,IF(COUNTIF('2 Phy'!E136:E143,"&gt;=0")=0,"", MIN(MAX(SUMPRODUCT('2 Phy'!E136:E143,'2 Phy'!$G136:$G143)*4/(SUM('2 Phy'!$G136:$G143) - SUMIF('2 Phy'!E136:E143,"X",'2 Phy'!$G136:$G143)),MAX('2 Phy'!AC136:AC143)),MIN('2 Phy'!AG136:AG143))))</f>
        <v/>
      </c>
      <c r="G64" s="139" t="str">
        <f>IF(NOT('2 Phy'!F135 = ""),'2 Phy'!F135,IF(COUNTIF('2 Phy'!F136:F143,"&gt;=0")=0,"", MIN(MAX(SUMPRODUCT('2 Phy'!F136:F143,'2 Phy'!$G136:$G143)*4/(SUM('2 Phy'!$G136:$G143) - SUMIF('2 Phy'!F136:F143,"X",'2 Phy'!$G136:$G143)),MAX('2 Phy'!AD136:AD143)),MIN('2 Phy'!AH136:AH143))))</f>
        <v/>
      </c>
      <c r="H64" s="447">
        <f>IF(AND(OR(D64="X",D64=""),OR(E64="X",E64=""),OR(F64="X",F64=""),OR(G64="X",G64="")),1,ROUND(MIN(IF(OR(D64="",D64="X"),4,D64),IF(OR(E64="",E64="X"),4,E64),IF(OR(F64="",F64="X"),4,F64),IF(OR(G64="",G64="X"),4,G64)),0))</f>
        <v>1</v>
      </c>
      <c r="I64" s="16" t="str">
        <f>IF(OR(Projets!C20 = 1, Projets!D20 = 1), IF(IndG = 3, Projets!O20,IF(AND(IndG = 4,NOT(Projets!F20= ""), Projets!F20&lt;dateanal ),Projets!O20, "")),"")</f>
        <v/>
      </c>
      <c r="J64" s="448">
        <f>IF(IF(IndG&gt;=3,MAX(H64,I64),H64)&lt;1,1,IF(IndG&gt;=3,MAX(H64,I64),H64))</f>
        <v>1</v>
      </c>
      <c r="L64" s="1163">
        <v>8</v>
      </c>
    </row>
    <row r="65" spans="1:21" s="34" customFormat="1" ht="12" customHeight="1" x14ac:dyDescent="0.25">
      <c r="A65" s="37"/>
      <c r="B65" s="1054" t="s">
        <v>4459</v>
      </c>
      <c r="C65" s="446" t="s">
        <v>6750</v>
      </c>
      <c r="D65" s="139" t="str">
        <f>IF(NOT('2 Phy'!C144 = ""),'2 Phy'!C144,IF(COUNTIF('2 Phy'!C145:C150,"&gt;=0")=0,"", MIN(MAX(SUMPRODUCT('2 Phy'!C145:C150,'2 Phy'!$G145:$G150)*4/(SUM('2 Phy'!$G145:$G150) - SUMIF('2 Phy'!C145:C150,"X",'2 Phy'!$G145:$G150)),MAX('2 Phy'!AA145:AA150)),MIN('2 Phy'!AE145:AE150))))</f>
        <v/>
      </c>
      <c r="E65" s="139" t="str">
        <f>IF(NOT('2 Phy'!D144 = ""),'2 Phy'!D144,IF(COUNTIF('2 Phy'!D145:D150,"&gt;=0")=0,"", MIN(MAX(SUMPRODUCT('2 Phy'!D145:D150,'2 Phy'!$G145:$G150)*4/(SUM('2 Phy'!$G145:$G150) - SUMIF('2 Phy'!D145:D150,"X",'2 Phy'!$G145:$G150)),MAX('2 Phy'!AB145:AB150)),MIN('2 Phy'!AF145:AF150))))</f>
        <v/>
      </c>
      <c r="F65" s="139" t="str">
        <f>IF(NOT('2 Phy'!E144 = ""),'2 Phy'!E144,IF(COUNTIF('2 Phy'!E145:E150,"&gt;=0")=0,"", MIN(MAX(SUMPRODUCT('2 Phy'!E145:E150,'2 Phy'!$G145:$G150)*4/(SUM('2 Phy'!$G145:$G150) - SUMIF('2 Phy'!E145:E150,"X",'2 Phy'!$G145:$G150)),MAX('2 Phy'!AC145:AC150)),MIN('2 Phy'!AG145:AG150))))</f>
        <v/>
      </c>
      <c r="G65" s="139" t="str">
        <f>IF(NOT('2 Phy'!F144 = ""),'2 Phy'!F144,IF(COUNTIF('2 Phy'!F145:F150,"&gt;=0")=0,"", MIN(MAX(SUMPRODUCT('2 Phy'!F145:F150,'2 Phy'!$G145:$G150)*4/(SUM('2 Phy'!$G145:$G150) - SUMIF('2 Phy'!F145:F150,"X",'2 Phy'!$G145:$G150)),MAX('2 Phy'!AD145:AD150)),MIN('2 Phy'!AH145:AH150))))</f>
        <v/>
      </c>
      <c r="H65" s="447">
        <f>IF(AND(OR(D65="X",D65=""),OR(E65="X",E65=""),OR(F65="X",F65=""),OR(G65="X",G65="")),1,ROUND(MIN(IF(OR(D65="",D65="X"),4,D65),IF(OR(E65="",E65="X"),4,E65),IF(OR(F65="",F65="X"),4,F65),IF(OR(G65="",G65="X"),4,G65)),0))</f>
        <v>1</v>
      </c>
      <c r="I65" s="16" t="str">
        <f>IF(OR(Projets!C49 = 1, Projets!D49 = 1), IF(IndG = 3, Projets!I49,IF(AND(IndG = 4,NOT(Projets!F49= ""), Projets!F49&lt;dateanal ),Projets!I49, "")),"")</f>
        <v/>
      </c>
      <c r="J65" s="448">
        <f>IF(IF(IndG&gt;=3,MAX(H65,I65),H65)&lt;1,1,IF(IndG&gt;=3,MAX(H65,I65),H65))</f>
        <v>1</v>
      </c>
      <c r="L65" s="1163">
        <v>6</v>
      </c>
    </row>
    <row r="66" spans="1:21" s="34" customFormat="1" ht="12" customHeight="1" x14ac:dyDescent="0.25">
      <c r="A66" s="37"/>
      <c r="B66" s="35" t="s">
        <v>3241</v>
      </c>
      <c r="C66" s="48"/>
      <c r="D66" s="139"/>
      <c r="E66" s="139"/>
      <c r="F66" s="139"/>
      <c r="G66" s="139"/>
      <c r="H66" s="447"/>
      <c r="I66" s="16"/>
      <c r="J66" s="448"/>
      <c r="L66" s="1162"/>
    </row>
    <row r="67" spans="1:21" s="240" customFormat="1" ht="12.75" customHeight="1" x14ac:dyDescent="0.25">
      <c r="A67" s="276"/>
      <c r="B67" s="38" t="s">
        <v>652</v>
      </c>
      <c r="C67" s="49" t="s">
        <v>6578</v>
      </c>
      <c r="D67" s="139" t="str">
        <f>IF(NOT('2 Phy'!C152 = ""),'2 Phy'!C152,IF(COUNTIF('2 Phy'!C153:C159,"&gt;=0")=0,"", MIN(MAX(SUMPRODUCT('2 Phy'!C153:C159,'2 Phy'!$G153:$G159)*4/(SUM('2 Phy'!$G153:$G159) - SUMIF('2 Phy'!C153:C159,"X",'2 Phy'!$G153:$G159)),MAX('2 Phy'!AA153:AA159)),MIN('2 Phy'!AE153:AE159))))</f>
        <v/>
      </c>
      <c r="E67" s="139" t="str">
        <f>IF(NOT('2 Phy'!D152 = ""),'2 Phy'!D152,IF(COUNTIF('2 Phy'!D153:D159,"&gt;=0")=0,"", MIN(MAX(SUMPRODUCT('2 Phy'!D153:D159,'2 Phy'!$G153:$G159)*4/(SUM('2 Phy'!$G153:$G159) - SUMIF('2 Phy'!D153:D159,"X",'2 Phy'!$G153:$G159)),MAX('2 Phy'!AB153:AB159)),MIN('2 Phy'!AF153:AF159))))</f>
        <v/>
      </c>
      <c r="F67" s="139" t="str">
        <f>IF(NOT('2 Phy'!E152 = ""),'2 Phy'!E152,IF(COUNTIF('2 Phy'!E153:E159,"&gt;=0")=0,"", MIN(MAX(SUMPRODUCT('2 Phy'!E153:E159,'2 Phy'!$G153:$G159)*4/(SUM('2 Phy'!$G153:$G159) - SUMIF('2 Phy'!E153:E159,"X",'2 Phy'!$G153:$G159)),MAX('2 Phy'!AC153:AC159)),MIN('2 Phy'!AG153:AG159))))</f>
        <v/>
      </c>
      <c r="G67" s="139" t="str">
        <f>IF(NOT('2 Phy'!F152 = ""),'2 Phy'!F152,IF(COUNTIF('2 Phy'!F153:F159,"&gt;=0")=0,"", MIN(MAX(SUMPRODUCT('2 Phy'!F153:F159,'2 Phy'!$G153:$G159)*4/(SUM('2 Phy'!$G153:$G159) - SUMIF('2 Phy'!F153:F159,"X",'2 Phy'!$G153:$G159)),MAX('2 Phy'!AD153:AD159)),MIN('2 Phy'!AH153:AH159))))</f>
        <v/>
      </c>
      <c r="H67" s="447">
        <f>IF(AND(OR(D67="X",D67=""),OR(E67="X",E67=""),OR(F67="X",F67=""),OR(G67="X",G67="")),1,ROUND(MIN(IF(OR(D67="",D67="X"),4,D67),IF(OR(E67="",E67="X"),4,E67),IF(OR(F67="",F67="X"),4,F67),IF(OR(G67="",G67="X"),4,G67)),0))</f>
        <v>1</v>
      </c>
      <c r="I67" s="16" t="str">
        <f>IF(OR(Projets!C63 = 1, Projets!D63 = 1), IF(IndG = 3, Projets!I63,IF(AND(IndG = 4,NOT(Projets!F63= ""), Projets!F63&lt;dateanal ),Projets!I63, "")),"")</f>
        <v/>
      </c>
      <c r="J67" s="448">
        <f>IF(IF(IndG&gt;=3,MAX(H67,I67),H67)&lt;1,1,IF(IndG&gt;=3,MAX(H67,I67),H67))</f>
        <v>1</v>
      </c>
      <c r="L67" s="1163">
        <v>7</v>
      </c>
      <c r="M67" s="34"/>
    </row>
    <row r="68" spans="1:21" s="34" customFormat="1" ht="12" customHeight="1" x14ac:dyDescent="0.25">
      <c r="A68" s="37"/>
      <c r="B68" s="38" t="s">
        <v>715</v>
      </c>
      <c r="C68" s="49" t="s">
        <v>374</v>
      </c>
      <c r="D68" s="139" t="str">
        <f>IF(NOT('2 Phy'!C160 = ""),'2 Phy'!C160,IF(COUNTIF('2 Phy'!C161:C166,"&gt;=0")=0,"", MIN(MAX(SUMPRODUCT('2 Phy'!C161:C166,'2 Phy'!$G161:$G166)*4/(SUM('2 Phy'!$G161:$G166) - SUMIF('2 Phy'!C161:C166,"X",'2 Phy'!$G161:$G166)),MAX('2 Phy'!AA161:AA166)),MIN('2 Phy'!AE161:AE166))))</f>
        <v/>
      </c>
      <c r="E68" s="139" t="str">
        <f>IF(NOT('2 Phy'!D160 = ""),'2 Phy'!D160,IF(COUNTIF('2 Phy'!D161:D166,"&gt;=0")=0,"", MIN(MAX(SUMPRODUCT('2 Phy'!D161:D166,'2 Phy'!$G161:$G166)*4/(SUM('2 Phy'!$G161:$G166) - SUMIF('2 Phy'!D161:D166,"X",'2 Phy'!$G161:$G166)),MAX('2 Phy'!AB161:AB166)),MIN('2 Phy'!AF161:AF166))))</f>
        <v/>
      </c>
      <c r="F68" s="139" t="str">
        <f>IF(NOT('2 Phy'!E160 = ""),'2 Phy'!E160,IF(COUNTIF('2 Phy'!E161:E166,"&gt;=0")=0,"", MIN(MAX(SUMPRODUCT('2 Phy'!E161:E166,'2 Phy'!$G161:$G166)*4/(SUM('2 Phy'!$G161:$G166) - SUMIF('2 Phy'!E161:E166,"X",'2 Phy'!$G161:$G166)),MAX('2 Phy'!AC161:AC166)),MIN('2 Phy'!AG161:AG166))))</f>
        <v/>
      </c>
      <c r="G68" s="139" t="str">
        <f>IF(NOT('2 Phy'!F160 = ""),'2 Phy'!F160,IF(COUNTIF('2 Phy'!F161:F166,"&gt;=0")=0,"", MIN(MAX(SUMPRODUCT('2 Phy'!F161:F166,'2 Phy'!$G161:$G166)*4/(SUM('2 Phy'!$G161:$G166) - SUMIF('2 Phy'!F161:F166,"X",'2 Phy'!$G161:$G166)),MAX('2 Phy'!AD161:AD166)),MIN('2 Phy'!AH161:AH166))))</f>
        <v/>
      </c>
      <c r="H68" s="447">
        <f>IF(AND(OR(D68="X",D68=""),OR(E68="X",E68=""),OR(F68="X",F68=""),OR(G68="X",G68="")),1,ROUND(MIN(IF(OR(D68="",D68="X"),4,D68),IF(OR(E68="",E68="X"),4,E68),IF(OR(F68="",F68="X"),4,F68),IF(OR(G68="",G68="X"),4,G68)),0))</f>
        <v>1</v>
      </c>
      <c r="I68" s="16" t="str">
        <f>IF(OR(Projets!C63 = 1, Projets!D63 = 1), IF(IndG = 3, Projets!L63,IF(AND(IndG = 4,NOT(Projets!F63= ""), Projets!F63&lt;dateanal ),Projets!L63, "")),"")</f>
        <v/>
      </c>
      <c r="J68" s="448">
        <f>IF(IF(IndG&gt;=3,MAX(H68,I68),H68)&lt;1,1,IF(IndG&gt;=3,MAX(H68,I68),H68))</f>
        <v>1</v>
      </c>
      <c r="L68" s="1163">
        <v>6</v>
      </c>
    </row>
    <row r="69" spans="1:21" s="34" customFormat="1" ht="12" customHeight="1" x14ac:dyDescent="0.25">
      <c r="A69" s="37"/>
      <c r="B69" s="36" t="s">
        <v>716</v>
      </c>
      <c r="C69" s="36" t="s">
        <v>2300</v>
      </c>
      <c r="D69" s="139" t="str">
        <f>IF(NOT('2 Phy'!C167 = ""),'2 Phy'!C167,IF(COUNTIF('2 Phy'!C168:C170,"&gt;=0")=0,"", MIN(MAX(SUMPRODUCT('2 Phy'!C168:C170,'2 Phy'!$G168:$G170)*4/(SUM('2 Phy'!$G168:$G170) - SUMIF('2 Phy'!C168:C170,"X",'2 Phy'!$G168:$G170)),MAX('2 Phy'!AA168:AA170)),MIN('2 Phy'!AE168:AE170))))</f>
        <v/>
      </c>
      <c r="E69" s="139" t="str">
        <f>IF(NOT('2 Phy'!D167 = ""),'2 Phy'!D167,IF(COUNTIF('2 Phy'!D168:D170,"&gt;=0")=0,"", MIN(MAX(SUMPRODUCT('2 Phy'!D168:D170,'2 Phy'!$G168:$G170)*4/(SUM('2 Phy'!$G168:$G170) - SUMIF('2 Phy'!D168:D170,"X",'2 Phy'!$G168:$G170)),MAX('2 Phy'!AB168:AB170)),MIN('2 Phy'!AF168:AF170))))</f>
        <v/>
      </c>
      <c r="F69" s="139" t="str">
        <f>IF(NOT('2 Phy'!E167 = ""),'2 Phy'!E167,IF(COUNTIF('2 Phy'!E168:E170,"&gt;=0")=0,"", MIN(MAX(SUMPRODUCT('2 Phy'!E168:E170,'2 Phy'!$G168:$G170)*4/(SUM('2 Phy'!$G168:$G170) - SUMIF('2 Phy'!E168:E170,"X",'2 Phy'!$G168:$G170)),MAX('2 Phy'!AC168:AC170)),MIN('2 Phy'!AG168:AG170))))</f>
        <v/>
      </c>
      <c r="G69" s="139" t="str">
        <f>IF(NOT('2 Phy'!F167 = ""),'2 Phy'!F167,IF(COUNTIF('2 Phy'!F168:F170,"&gt;=0")=0,"", MIN(MAX(SUMPRODUCT('2 Phy'!F168:F170,'2 Phy'!$G168:$G170)*4/(SUM('2 Phy'!$G168:$G170) - SUMIF('2 Phy'!F168:F170,"X",'2 Phy'!$G168:$G170)),MAX('2 Phy'!AD168:AD170)),MIN('2 Phy'!AH168:AH170))))</f>
        <v/>
      </c>
      <c r="H69" s="447">
        <f>IF(AND(OR(D69="X",D69=""),OR(E69="X",E69=""),OR(F69="X",F69=""),OR(G69="X",G69="")),1,ROUND(MIN(IF(OR(D69="",D69="X"),4,D69),IF(OR(E69="",E69="X"),4,E69),IF(OR(F69="",F69="X"),4,F69),IF(OR(G69="",G69="X"),4,G69)),0))</f>
        <v>1</v>
      </c>
      <c r="I69" s="16"/>
      <c r="J69" s="448">
        <f>IF(IF(IndG&gt;=3,MAX(H69,I69),H69)&lt;1,1,IF(IndG&gt;=3,MAX(H69,I69),H69))</f>
        <v>1</v>
      </c>
      <c r="L69" s="1163">
        <v>3</v>
      </c>
    </row>
    <row r="70" spans="1:21" s="34" customFormat="1" ht="12" customHeight="1" x14ac:dyDescent="0.25">
      <c r="A70" s="37"/>
      <c r="B70" s="36" t="s">
        <v>718</v>
      </c>
      <c r="C70" s="36" t="s">
        <v>276</v>
      </c>
      <c r="D70" s="139" t="str">
        <f>IF(NOT('2 Phy'!C171 = ""),'2 Phy'!C171,IF(COUNTIF('2 Phy'!C172:C186,"&gt;=0")=0,"", MIN(MAX(SUMPRODUCT('2 Phy'!C172:C186,'2 Phy'!$G172:$G186)*4/(SUM('2 Phy'!$G172:$G186) - SUMIF('2 Phy'!C172:C186,"X",'2 Phy'!$G172:$G186)),MAX('2 Phy'!AA172:AA186)),MIN('2 Phy'!AE172:AE186))))</f>
        <v/>
      </c>
      <c r="E70" s="139" t="str">
        <f>IF(NOT('2 Phy'!D171 = ""),'2 Phy'!D171,IF(COUNTIF('2 Phy'!D172:D186,"&gt;=0")=0,"", MIN(MAX(SUMPRODUCT('2 Phy'!D172:D186,'2 Phy'!$G172:$G186)*4/(SUM('2 Phy'!$G172:$G186) - SUMIF('2 Phy'!D172:D186,"X",'2 Phy'!$G172:$G186)),MAX('2 Phy'!AB172:AB186)),MIN('2 Phy'!AF172:AF186))))</f>
        <v/>
      </c>
      <c r="F70" s="139" t="str">
        <f>IF(NOT('2 Phy'!E171 = ""),'2 Phy'!E171,IF(COUNTIF('2 Phy'!E172:E186,"&gt;=0")=0,"", MIN(MAX(SUMPRODUCT('2 Phy'!E172:E186,'2 Phy'!$G172:$G186)*4/(SUM('2 Phy'!$G172:$G186) - SUMIF('2 Phy'!E172:E186,"X",'2 Phy'!$G172:$G186)),MAX('2 Phy'!AC172:AC186)),MIN('2 Phy'!AG172:AG186))))</f>
        <v/>
      </c>
      <c r="G70" s="139" t="str">
        <f>IF(NOT('2 Phy'!F171 = ""),'2 Phy'!F171,IF(COUNTIF('2 Phy'!F172:F186,"&gt;=0")=0,"", MIN(MAX(SUMPRODUCT('2 Phy'!F172:F186,'2 Phy'!$G172:$G186)*4/(SUM('2 Phy'!$G172:$G186) - SUMIF('2 Phy'!F172:F186,"X",'2 Phy'!$G172:$G186)),MAX('2 Phy'!AD172:AD186)),MIN('2 Phy'!AH172:AH186))))</f>
        <v/>
      </c>
      <c r="H70" s="447">
        <f>IF(AND(OR(D70="X",D70=""),OR(E70="X",E70=""),OR(F70="X",F70=""),OR(G70="X",G70="")),1,ROUND(MIN(IF(OR(D70="",D70="X"),4,D70),IF(OR(E70="",E70="X"),4,E70),IF(OR(F70="",F70="X"),4,F70),IF(OR(G70="",G70="X"),4,G70)),0))</f>
        <v>1</v>
      </c>
      <c r="I70" s="16" t="str">
        <f>IF(OR(Projets!C67 = 1, Projets!D67 = 1), IF(IndG = 3, Projets!I67,IF(AND(IndG = 4,NOT(Projets!F67= ""), Projets!F67&lt;dateanal ),Projets!I67, "")),"")</f>
        <v/>
      </c>
      <c r="J70" s="448">
        <f>IF(IF(IndG&gt;=3,MAX(H70,I70),H70)&lt;1,1,IF(IndG&gt;=3,MAX(H70,I70),H70))</f>
        <v>1</v>
      </c>
      <c r="L70" s="1163">
        <v>15</v>
      </c>
    </row>
    <row r="71" spans="1:21" s="34" customFormat="1" ht="12" customHeight="1" x14ac:dyDescent="0.25">
      <c r="A71" s="39"/>
      <c r="B71" s="569" t="s">
        <v>4368</v>
      </c>
      <c r="C71" s="36" t="s">
        <v>4651</v>
      </c>
      <c r="D71" s="139" t="str">
        <f>IF(NOT('2 Phy'!C187 = ""),'2 Phy'!C187,IF(COUNTIF('2 Phy'!C188:C194,"&gt;=0")=0,"", MIN(MAX(SUMPRODUCT('2 Phy'!C188:C194,'2 Phy'!$G188:$G194)*4/(SUM('2 Phy'!$G188:$G194) - SUMIF('2 Phy'!C188:C194,"X",'2 Phy'!$G188:$G194)),MAX('2 Phy'!AA188:AA194)),MIN('2 Phy'!AE188:AE194))))</f>
        <v/>
      </c>
      <c r="E71" s="139" t="str">
        <f>IF(NOT('2 Phy'!D187 = ""),'2 Phy'!D187,IF(COUNTIF('2 Phy'!D188:D194,"&gt;=0")=0,"", MIN(MAX(SUMPRODUCT('2 Phy'!D188:D194,'2 Phy'!$G188:$G194)*4/(SUM('2 Phy'!$G188:$G194) - SUMIF('2 Phy'!D188:D194,"X",'2 Phy'!$G188:$G194)),MAX('2 Phy'!AB188:AB194)),MIN('2 Phy'!AF188:AF194))))</f>
        <v/>
      </c>
      <c r="F71" s="139" t="str">
        <f>IF(NOT('2 Phy'!E187 = ""),'2 Phy'!E187,IF(COUNTIF('2 Phy'!E188:E194,"&gt;=0")=0,"", MIN(MAX(SUMPRODUCT('2 Phy'!E188:E194,'2 Phy'!$G188:$G194)*4/(SUM('2 Phy'!$G188:$G194) - SUMIF('2 Phy'!E188:E194,"X",'2 Phy'!$G188:$G194)),MAX('2 Phy'!AC188:AC194)),MIN('2 Phy'!AG188:AG194))))</f>
        <v/>
      </c>
      <c r="G71" s="139" t="str">
        <f>IF(NOT('2 Phy'!F187 = ""),'2 Phy'!F187,IF(COUNTIF('2 Phy'!F188:F194,"&gt;=0")=0,"", MIN(MAX(SUMPRODUCT('2 Phy'!F188:F194,'2 Phy'!$G188:$G194)*4/(SUM('2 Phy'!$G188:$G194) - SUMIF('2 Phy'!F188:F194,"X",'2 Phy'!$G188:$G194)),MAX('2 Phy'!AD188:AD194)),MIN('2 Phy'!AH188:AH194))))</f>
        <v/>
      </c>
      <c r="H71" s="447">
        <f>IF(AND(OR(D71="X",D71=""),OR(E71="X",E71=""),OR(F71="X",F71=""),OR(G71="X",G71="")),1,ROUND(MIN(IF(OR(D71="",D71="X"),4,D71),IF(OR(E71="",E71="X"),4,E71),IF(OR(F71="",F71="X"),4,F71),IF(OR(G71="",G71="X"),4,G71)),0))</f>
        <v>1</v>
      </c>
      <c r="I71" s="16" t="str">
        <f>IF(OR(Projets!C48 = 1, Projets!D48 = 1), IF(IndG = 3, Projets!I48,IF(AND(IndG = 4,NOT(Projets!F48= ""), Projets!F48&lt;dateanal ),Projets!I48, "")),"")</f>
        <v/>
      </c>
      <c r="J71" s="448">
        <f>IF(IF(IndG&gt;=3,MAX(H71,I71),H71)&lt;1,1,IF(IndG&gt;=3,MAX(H71,I71),H71))</f>
        <v>1</v>
      </c>
      <c r="L71" s="1163">
        <v>7</v>
      </c>
    </row>
    <row r="72" spans="1:21" ht="15" customHeight="1" x14ac:dyDescent="0.25">
      <c r="A72" s="269" t="s">
        <v>600</v>
      </c>
      <c r="B72" s="230" t="s">
        <v>1393</v>
      </c>
      <c r="C72" s="1055"/>
      <c r="D72" s="138" t="s">
        <v>229</v>
      </c>
      <c r="E72" s="138" t="s">
        <v>230</v>
      </c>
      <c r="F72" s="138" t="s">
        <v>265</v>
      </c>
      <c r="G72" s="138" t="s">
        <v>266</v>
      </c>
      <c r="H72" s="420"/>
      <c r="I72" s="16"/>
      <c r="J72" s="420"/>
      <c r="L72" s="1163"/>
      <c r="M72" s="34"/>
    </row>
    <row r="73" spans="1:21" ht="12" customHeight="1" x14ac:dyDescent="0.25">
      <c r="A73" s="278"/>
      <c r="B73" s="35" t="s">
        <v>269</v>
      </c>
      <c r="C73" s="37"/>
      <c r="D73" s="139"/>
      <c r="E73" s="139"/>
      <c r="F73" s="139"/>
      <c r="G73" s="139"/>
      <c r="H73" s="447"/>
      <c r="I73" s="16"/>
      <c r="J73" s="448"/>
      <c r="L73" s="1162"/>
      <c r="M73" s="34"/>
    </row>
    <row r="74" spans="1:21" s="281" customFormat="1" ht="11.25" customHeight="1" x14ac:dyDescent="0.25">
      <c r="A74" s="279"/>
      <c r="B74" s="38" t="s">
        <v>728</v>
      </c>
      <c r="C74" s="36" t="s">
        <v>7</v>
      </c>
      <c r="D74" s="139" t="str">
        <f>IF(NOT('3 Sys'!C4 = ""),'3 Sys'!C4,IF(COUNTIF('3 Sys'!C5:C9,"&gt;=0")=0,"", MIN(MAX(SUMPRODUCT('3 Sys'!C5:C9,'3 Sys'!$G5:$G9)*4/(SUM('3 Sys'!$G5:$G9) - SUMIF('3 Sys'!C5:C9,"X",'3 Sys'!$G5:$G9)),MAX('3 Sys'!AA5:AA9)),MIN('3 Sys'!AE5:AE9))))</f>
        <v/>
      </c>
      <c r="E74" s="139" t="str">
        <f>IF(NOT('3 Sys'!D4 = ""),'3 Sys'!D4,IF(COUNTIF('3 Sys'!D5:D9,"&gt;=0")=0,"", MIN(MAX(SUMPRODUCT('3 Sys'!D5:D9,'3 Sys'!$G5:$G9)*4/(SUM('3 Sys'!$G5:$G9) - SUMIF('3 Sys'!D5:D9,"X",'3 Sys'!$G5:$G9)),MAX('3 Sys'!AB5:AB9)),MIN('3 Sys'!AF5:AF9))))</f>
        <v/>
      </c>
      <c r="F74" s="139" t="str">
        <f>IF(NOT('3 Sys'!E4 = ""),'3 Sys'!E4,IF(COUNTIF('3 Sys'!E5:E9,"&gt;=0")=0,"", MIN(MAX(SUMPRODUCT('3 Sys'!E5:E9,'3 Sys'!$G5:$G9)*4/(SUM('3 Sys'!$G5:$G9) - SUMIF('3 Sys'!E5:E9,"X",'3 Sys'!$G5:$G9)),MAX('3 Sys'!AC5:AC9)),MIN('3 Sys'!AG5:AG9))))</f>
        <v/>
      </c>
      <c r="G74" s="139" t="str">
        <f>IF(NOT('3 Sys'!F4 = ""),'3 Sys'!F4,IF(COUNTIF('3 Sys'!F5:F9,"&gt;=0")=0,"", MIN(MAX(SUMPRODUCT('3 Sys'!F5:F9,'3 Sys'!$G5:$G9)*4/(SUM('3 Sys'!$G5:$G9) - SUMIF('3 Sys'!F5:F9,"X",'3 Sys'!$G5:$G9)),MAX('3 Sys'!AD5:AD9)),MIN('3 Sys'!AH5:AH9))))</f>
        <v/>
      </c>
      <c r="H74" s="447">
        <f t="shared" ref="H74:H82" si="6">IF(AND(OR(D74="X",D74=""),OR(E74="X",E74=""),OR(F74="X",F74=""),OR(G74="X",G74="")),1,ROUND(MIN(IF(OR(D74="",D74="X"),4,D74),IF(OR(E74="",E74="X"),4,E74),IF(OR(F74="",F74="X"),4,F74),IF(OR(G74="",G74="X"),4,G74)),0))</f>
        <v>1</v>
      </c>
      <c r="I74" s="16"/>
      <c r="J74" s="448">
        <f t="shared" ref="J74:J82" si="7">IF(IF(IndG&gt;=3,MAX(H74,I74),H74)&lt;1,1,IF(IndG&gt;=3,MAX(H74,I74),H74))</f>
        <v>1</v>
      </c>
      <c r="L74" s="1163">
        <v>5</v>
      </c>
      <c r="M74" s="34"/>
      <c r="U74" s="281">
        <f>IF(INDEX(Tab_actions,17,1)=1,INDEX(Tab_actions,17,4),0)</f>
        <v>0</v>
      </c>
    </row>
    <row r="75" spans="1:21" s="281" customFormat="1" ht="13.5" customHeight="1" x14ac:dyDescent="0.25">
      <c r="A75" s="279"/>
      <c r="B75" s="38" t="s">
        <v>629</v>
      </c>
      <c r="C75" s="52" t="s">
        <v>832</v>
      </c>
      <c r="D75" s="139">
        <f>IF(NOT('3 Sys'!C10 = ""),'3 Sys'!C10,IF(COUNTIF('3 Sys'!C11:C24,"&gt;=0")=0,"", MIN(MAX(SUMPRODUCT('3 Sys'!C11:C24,'3 Sys'!$G11:$G24)*4/(SUM('3 Sys'!$G11:$G24) - SUMIF('3 Sys'!C11:C24,"X",'3 Sys'!$G11:$G24)),MAX('3 Sys'!AA11:AA24)),MIN('3 Sys'!AE11:AE24))))</f>
        <v>0</v>
      </c>
      <c r="E75" s="139" t="str">
        <f>IF(NOT('3 Sys'!D10 = ""),'3 Sys'!D10,IF(COUNTIF('3 Sys'!D11:D24,"&gt;=0")=0,"", MIN(MAX(SUMPRODUCT('3 Sys'!D11:D24,'3 Sys'!$G11:$G24)*4/(SUM('3 Sys'!$G11:$G24) - SUMIF('3 Sys'!D11:D24,"X",'3 Sys'!$G11:$G24)),MAX('3 Sys'!AB11:AB24)),MIN('3 Sys'!AF11:AF24))))</f>
        <v/>
      </c>
      <c r="F75" s="139" t="str">
        <f>IF(NOT('3 Sys'!E10 = ""),'3 Sys'!E10,IF(COUNTIF('3 Sys'!E11:E24,"&gt;=0")=0,"", MIN(MAX(SUMPRODUCT('3 Sys'!E11:E24,'3 Sys'!$G11:$G24)*4/(SUM('3 Sys'!$G11:$G24) - SUMIF('3 Sys'!E11:E24,"X",'3 Sys'!$G11:$G24)),MAX('3 Sys'!AC11:AC24)),MIN('3 Sys'!AG11:AG24))))</f>
        <v/>
      </c>
      <c r="G75" s="139" t="str">
        <f>IF(NOT('3 Sys'!F10 = ""),'3 Sys'!F10,IF(COUNTIF('3 Sys'!F11:F24,"&gt;=0")=0,"", MIN(MAX(SUMPRODUCT('3 Sys'!F11:F24,'3 Sys'!$G11:$G24)*4/(SUM('3 Sys'!$G11:$G24) - SUMIF('3 Sys'!F11:F24,"X",'3 Sys'!$G11:$G24)),MAX('3 Sys'!AD11:AD24)),MIN('3 Sys'!AH11:AH24))))</f>
        <v/>
      </c>
      <c r="H75" s="447">
        <f t="shared" si="6"/>
        <v>0</v>
      </c>
      <c r="I75" s="16" t="str">
        <f>IF(OR(Projets!C25 = 1, Projets!D25 = 1), IF(IndG = 3, Projets!I25,IF(AND(IndG = 4,NOT(Projets!F25= ""), Projets!F25&lt;dateanal ),Projets!I25, "")),"")</f>
        <v/>
      </c>
      <c r="J75" s="448">
        <f t="shared" si="7"/>
        <v>1</v>
      </c>
      <c r="L75" s="1163">
        <v>14</v>
      </c>
      <c r="M75" s="34"/>
    </row>
    <row r="76" spans="1:21" ht="12" customHeight="1" x14ac:dyDescent="0.25">
      <c r="A76" s="279"/>
      <c r="B76" s="38" t="s">
        <v>729</v>
      </c>
      <c r="C76" s="52" t="s">
        <v>7003</v>
      </c>
      <c r="D76" s="139">
        <f>IF(NOT('3 Sys'!C25 = ""),'3 Sys'!C25,IF(COUNTIF('3 Sys'!C26:C27,"&gt;=0")=0,"", MIN(MAX(SUMPRODUCT('3 Sys'!C26:C27,'3 Sys'!$G26:$G27)*4/(SUM('3 Sys'!$G26:$G27) - SUMIF('3 Sys'!C26:C27,"X",'3 Sys'!$G26:$G27)),MAX('3 Sys'!AA26:AA27)),MIN('3 Sys'!AE26:AE27))))</f>
        <v>0</v>
      </c>
      <c r="E76" s="139" t="str">
        <f>IF(NOT('3 Sys'!D25 = ""),'3 Sys'!D25,IF(COUNTIF('3 Sys'!D26:D27,"&gt;=0")=0,"", MIN(MAX(SUMPRODUCT('3 Sys'!D26:D27,'3 Sys'!$G26:$G27)*4/(SUM('3 Sys'!$G26:$G27) - SUMIF('3 Sys'!D26:D27,"X",'3 Sys'!$G26:$G27)),MAX('3 Sys'!AB26:AB27)),MIN('3 Sys'!AF26:AF27))))</f>
        <v/>
      </c>
      <c r="F76" s="139" t="str">
        <f>IF(NOT('3 Sys'!E25 = ""),'3 Sys'!E25,IF(COUNTIF('3 Sys'!E26:E27,"&gt;=0")=0,"", MIN(MAX(SUMPRODUCT('3 Sys'!E26:E27,'3 Sys'!$G26:$G27)*4/(SUM('3 Sys'!$G26:$G27) - SUMIF('3 Sys'!E26:E27,"X",'3 Sys'!$G26:$G27)),MAX('3 Sys'!AC26:AC27)),MIN('3 Sys'!AG26:AG27))))</f>
        <v/>
      </c>
      <c r="G76" s="139" t="str">
        <f>IF(NOT('3 Sys'!F25 = ""),'3 Sys'!F25,IF(COUNTIF('3 Sys'!F26:F27,"&gt;=0")=0,"", MIN(MAX(SUMPRODUCT('3 Sys'!F26:F27,'3 Sys'!$G26:$G27)*4/(SUM('3 Sys'!$G26:$G27) - SUMIF('3 Sys'!F26:F27,"X",'3 Sys'!$G26:$G27)),MAX('3 Sys'!AD26:AD27)),MIN('3 Sys'!AH26:AH27))))</f>
        <v/>
      </c>
      <c r="H76" s="447">
        <f t="shared" si="6"/>
        <v>0</v>
      </c>
      <c r="I76" s="16"/>
      <c r="J76" s="448">
        <f t="shared" si="7"/>
        <v>1</v>
      </c>
      <c r="L76" s="1163">
        <v>2</v>
      </c>
      <c r="M76" s="34"/>
    </row>
    <row r="77" spans="1:21" ht="12.75" customHeight="1" x14ac:dyDescent="0.25">
      <c r="A77" s="279"/>
      <c r="B77" s="38" t="s">
        <v>628</v>
      </c>
      <c r="C77" s="36" t="s">
        <v>848</v>
      </c>
      <c r="D77" s="139" t="str">
        <f>IF(NOT('3 Sys'!C28 = ""),'3 Sys'!C28,IF(COUNTIF('3 Sys'!C29:C54,"&gt;=0")=0,"", MIN(MAX(SUMPRODUCT('3 Sys'!C29:C54,'3 Sys'!$G29:$G54)*4/(SUM('3 Sys'!$G29:$G54) - SUMIF('3 Sys'!C29:C54,"X",'3 Sys'!$G29:$G54)),MAX('3 Sys'!AA29:AA54)),MIN('3 Sys'!AE29:AE54))))</f>
        <v/>
      </c>
      <c r="E77" s="139" t="str">
        <f>IF(NOT('3 Sys'!D28 = ""),'3 Sys'!D28,IF(COUNTIF('3 Sys'!D29:D54,"&gt;=0")=0,"", MIN(MAX(SUMPRODUCT('3 Sys'!D29:D54,'3 Sys'!$G29:$G54)*4/(SUM('3 Sys'!$G29:$G54) - SUMIF('3 Sys'!D29:D54,"X",'3 Sys'!$G29:$G54)),MAX('3 Sys'!AB29:AB54)),MIN('3 Sys'!AF29:AF54))))</f>
        <v/>
      </c>
      <c r="F77" s="139" t="str">
        <f>IF(NOT('3 Sys'!E28 = ""),'3 Sys'!E28,IF(COUNTIF('3 Sys'!E29:E54,"&gt;=0")=0,"", MIN(MAX(SUMPRODUCT('3 Sys'!E29:E54,'3 Sys'!$G29:$G54)*4/(SUM('3 Sys'!$G29:$G54) - SUMIF('3 Sys'!E29:E54,"X",'3 Sys'!$G29:$G54)),MAX('3 Sys'!AC29:AC54)),MIN('3 Sys'!AG29:AG54))))</f>
        <v/>
      </c>
      <c r="G77" s="139" t="str">
        <f>IF(NOT('3 Sys'!F28 = ""),'3 Sys'!F28,IF(COUNTIF('3 Sys'!F29:F54,"&gt;=0")=0,"", MIN(MAX(SUMPRODUCT('3 Sys'!F29:F54,'3 Sys'!$G29:$G54)*4/(SUM('3 Sys'!$G29:$G54) - SUMIF('3 Sys'!F29:F54,"X",'3 Sys'!$G29:$G54)),MAX('3 Sys'!AD29:AD54)),MIN('3 Sys'!AH29:AH54))))</f>
        <v/>
      </c>
      <c r="H77" s="447">
        <f t="shared" si="6"/>
        <v>1</v>
      </c>
      <c r="I77" s="16" t="str">
        <f>IF(OR(Projets!C25 = 1, Projets!D25 = 1), IF(IndG = 3, Projets!L25,IF(AND(IndG = 4,NOT(Projets!F25= ""), Projets!F25&lt;dateanal ),Projets!L25, "")),"")</f>
        <v/>
      </c>
      <c r="J77" s="448">
        <f t="shared" si="7"/>
        <v>1</v>
      </c>
      <c r="L77" s="1163">
        <v>26</v>
      </c>
      <c r="M77" s="34"/>
    </row>
    <row r="78" spans="1:21" ht="13.5" customHeight="1" x14ac:dyDescent="0.25">
      <c r="A78" s="279"/>
      <c r="B78" s="38" t="s">
        <v>732</v>
      </c>
      <c r="C78" s="135" t="s">
        <v>878</v>
      </c>
      <c r="D78" s="139" t="str">
        <f>IF(NOT('3 Sys'!C55 = ""),'3 Sys'!C55,IF(COUNTIF('3 Sys'!C56:C63,"&gt;=0")=0,"", MIN(MAX(SUMPRODUCT('3 Sys'!C56:C63,'3 Sys'!$G56:$G63)*4/(SUM('3 Sys'!$G56:$G63) - SUMIF('3 Sys'!C56:C63,"X",'3 Sys'!$G56:$G63)),MAX('3 Sys'!AA56:AA63)),MIN('3 Sys'!AE56:AE63))))</f>
        <v/>
      </c>
      <c r="E78" s="139" t="str">
        <f>IF(NOT('3 Sys'!D55 = ""),'3 Sys'!D55,IF(COUNTIF('3 Sys'!D56:D63,"&gt;=0")=0,"", MIN(MAX(SUMPRODUCT('3 Sys'!D56:D63,'3 Sys'!$G56:$G63)*4/(SUM('3 Sys'!$G56:$G63) - SUMIF('3 Sys'!D56:D63,"X",'3 Sys'!$G56:$G63)),MAX('3 Sys'!AB56:AB63)),MIN('3 Sys'!AF56:AF63))))</f>
        <v/>
      </c>
      <c r="F78" s="139" t="str">
        <f>IF(NOT('3 Sys'!E55 = ""),'3 Sys'!E55,IF(COUNTIF('3 Sys'!E56:E63,"&gt;=0")=0,"", MIN(MAX(SUMPRODUCT('3 Sys'!E56:E63,'3 Sys'!$G56:$G63)*4/(SUM('3 Sys'!$G56:$G63) - SUMIF('3 Sys'!E56:E63,"X",'3 Sys'!$G56:$G63)),MAX('3 Sys'!AC56:AC63)),MIN('3 Sys'!AG56:AG63))))</f>
        <v/>
      </c>
      <c r="G78" s="139" t="str">
        <f>IF(NOT('3 Sys'!F55 = ""),'3 Sys'!F55,IF(COUNTIF('3 Sys'!F56:F63,"&gt;=0")=0,"", MIN(MAX(SUMPRODUCT('3 Sys'!F56:F63,'3 Sys'!$G56:$G63)*4/(SUM('3 Sys'!$G56:$G63) - SUMIF('3 Sys'!F56:F63,"X",'3 Sys'!$G56:$G63)),MAX('3 Sys'!AD56:AD63)),MIN('3 Sys'!AH56:AH63))))</f>
        <v/>
      </c>
      <c r="H78" s="447">
        <f t="shared" si="6"/>
        <v>1</v>
      </c>
      <c r="I78" s="16"/>
      <c r="J78" s="448">
        <f t="shared" si="7"/>
        <v>1</v>
      </c>
      <c r="L78" s="1163">
        <v>8</v>
      </c>
      <c r="M78" s="34"/>
    </row>
    <row r="79" spans="1:21" ht="12.75" customHeight="1" x14ac:dyDescent="0.25">
      <c r="A79" s="279"/>
      <c r="B79" s="38" t="s">
        <v>733</v>
      </c>
      <c r="C79" s="135" t="s">
        <v>890</v>
      </c>
      <c r="D79" s="139">
        <f>IF(NOT('3 Sys'!C64 = ""),'3 Sys'!C64,IF(COUNTIF('3 Sys'!C65:C75,"&gt;=0")=0,"", MIN(MAX(SUMPRODUCT('3 Sys'!C65:C75,'3 Sys'!$G65:$G75)*4/(SUM('3 Sys'!$G65:$G75) - SUMIF('3 Sys'!C65:C75,"X",'3 Sys'!$G65:$G75)),MAX('3 Sys'!AA65:AA75)),MIN('3 Sys'!AE65:AE75))))</f>
        <v>0</v>
      </c>
      <c r="E79" s="139" t="str">
        <f>IF(NOT('3 Sys'!D64 = ""),'3 Sys'!D64,IF(COUNTIF('3 Sys'!D65:D75,"&gt;=0")=0,"", MIN(MAX(SUMPRODUCT('3 Sys'!D65:D75,'3 Sys'!$G65:$G75)*4/(SUM('3 Sys'!$G65:$G75) - SUMIF('3 Sys'!D65:D75,"X",'3 Sys'!$G65:$G75)),MAX('3 Sys'!AB65:AB75)),MIN('3 Sys'!AF65:AF75))))</f>
        <v/>
      </c>
      <c r="F79" s="139" t="str">
        <f>IF(NOT('3 Sys'!E64 = ""),'3 Sys'!E64,IF(COUNTIF('3 Sys'!E65:E75,"&gt;=0")=0,"", MIN(MAX(SUMPRODUCT('3 Sys'!E65:E75,'3 Sys'!$G65:$G75)*4/(SUM('3 Sys'!$G65:$G75) - SUMIF('3 Sys'!E65:E75,"X",'3 Sys'!$G65:$G75)),MAX('3 Sys'!AC65:AC75)),MIN('3 Sys'!AG65:AG75))))</f>
        <v/>
      </c>
      <c r="G79" s="139" t="str">
        <f>IF(NOT('3 Sys'!F64 = ""),'3 Sys'!F64,IF(COUNTIF('3 Sys'!F65:F75,"&gt;=0")=0,"", MIN(MAX(SUMPRODUCT('3 Sys'!F65:F75,'3 Sys'!$G65:$G75)*4/(SUM('3 Sys'!$G65:$G75) - SUMIF('3 Sys'!F65:F75,"X",'3 Sys'!$G65:$G75)),MAX('3 Sys'!AD65:AD75)),MIN('3 Sys'!AH65:AH75))))</f>
        <v/>
      </c>
      <c r="H79" s="447">
        <f t="shared" si="6"/>
        <v>0</v>
      </c>
      <c r="I79" s="16" t="str">
        <f>IF(OR(Projets!C25 = 1, Projets!D25 = 1), IF(IndG = 3, Projets!O25,IF(AND(IndG = 4,NOT(Projets!F25= ""), Projets!F25&lt;dateanal ),Projets!O25, "")),"")</f>
        <v/>
      </c>
      <c r="J79" s="448">
        <f t="shared" si="7"/>
        <v>1</v>
      </c>
      <c r="L79" s="1163">
        <v>11</v>
      </c>
      <c r="M79" s="34"/>
    </row>
    <row r="80" spans="1:21" ht="12.75" customHeight="1" x14ac:dyDescent="0.25">
      <c r="A80" s="279"/>
      <c r="B80" s="38" t="s">
        <v>819</v>
      </c>
      <c r="C80" s="135" t="s">
        <v>821</v>
      </c>
      <c r="D80" s="139">
        <f>IF(NOT('3 Sys'!C76 = ""),'3 Sys'!C76,IF(COUNTIF('3 Sys'!C77:C80,"&gt;=0")=0,"", MIN(MAX(SUMPRODUCT('3 Sys'!C77:C80,'3 Sys'!$G77:$G80)*4/(SUM('3 Sys'!$G77:$G80) - SUMIF('3 Sys'!C77:C80,"X",'3 Sys'!$G77:$G80)),MAX('3 Sys'!AA77:AA80)),MIN('3 Sys'!AE77:AE80))))</f>
        <v>0</v>
      </c>
      <c r="E80" s="139" t="str">
        <f>IF(NOT('3 Sys'!D76 = ""),'3 Sys'!D76,IF(COUNTIF('3 Sys'!D77:D80,"&gt;=0")=0,"", MIN(MAX(SUMPRODUCT('3 Sys'!D77:D80,'3 Sys'!$G77:$G80)*4/(SUM('3 Sys'!$G77:$G80) - SUMIF('3 Sys'!D77:D80,"X",'3 Sys'!$G77:$G80)),MAX('3 Sys'!AB77:AB80)),MIN('3 Sys'!AF77:AF80))))</f>
        <v/>
      </c>
      <c r="F80" s="139" t="str">
        <f>IF(NOT('3 Sys'!E76 = ""),'3 Sys'!E76,IF(COUNTIF('3 Sys'!E77:E80,"&gt;=0")=0,"", MIN(MAX(SUMPRODUCT('3 Sys'!E77:E80,'3 Sys'!$G77:$G80)*4/(SUM('3 Sys'!$G77:$G80) - SUMIF('3 Sys'!E77:E80,"X",'3 Sys'!$G77:$G80)),MAX('3 Sys'!AC77:AC80)),MIN('3 Sys'!AG77:AG80))))</f>
        <v/>
      </c>
      <c r="G80" s="139" t="str">
        <f>IF(NOT('3 Sys'!F76 = ""),'3 Sys'!F76,IF(COUNTIF('3 Sys'!F77:F80,"&gt;=0")=0,"", MIN(MAX(SUMPRODUCT('3 Sys'!F77:F80,'3 Sys'!$G77:$G80)*4/(SUM('3 Sys'!$G77:$G80) - SUMIF('3 Sys'!F77:F80,"X",'3 Sys'!$G77:$G80)),MAX('3 Sys'!AD77:AD80)),MIN('3 Sys'!AH77:AH80))))</f>
        <v/>
      </c>
      <c r="H80" s="447">
        <f t="shared" si="6"/>
        <v>0</v>
      </c>
      <c r="I80" s="16" t="str">
        <f>IF(OR(Projets!C25 = 1, Projets!D25 = 1), IF(IndG = 3, Projets!R25,IF(AND(IndG = 4,NOT(Projets!F25= ""), Projets!F25&lt;dateanal ),Projets!R25, "")),"")</f>
        <v/>
      </c>
      <c r="J80" s="448">
        <f t="shared" si="7"/>
        <v>1</v>
      </c>
      <c r="L80" s="1163">
        <v>4</v>
      </c>
      <c r="M80" s="34"/>
    </row>
    <row r="81" spans="1:21" ht="12.75" customHeight="1" x14ac:dyDescent="0.25">
      <c r="A81" s="279"/>
      <c r="B81" s="38" t="s">
        <v>820</v>
      </c>
      <c r="C81" s="135" t="s">
        <v>906</v>
      </c>
      <c r="D81" s="139">
        <f>IF(NOT('3 Sys'!C81 = ""),'3 Sys'!C81,IF(COUNTIF('3 Sys'!C82:C91,"&gt;=0")=0,"", MIN(MAX(SUMPRODUCT('3 Sys'!C82:C91,'3 Sys'!$G82:$G91)*4/(SUM('3 Sys'!$G82:$G91) - SUMIF('3 Sys'!C82:C91,"X",'3 Sys'!$G82:$G91)),MAX('3 Sys'!AA82:AA91)),MIN('3 Sys'!AE82:AE91))))</f>
        <v>0</v>
      </c>
      <c r="E81" s="139" t="str">
        <f>IF(NOT('3 Sys'!D81 = ""),'3 Sys'!D81,IF(COUNTIF('3 Sys'!D82:D91,"&gt;=0")=0,"", MIN(MAX(SUMPRODUCT('3 Sys'!D82:D91,'3 Sys'!$G82:$G91)*4/(SUM('3 Sys'!$G82:$G91) - SUMIF('3 Sys'!D82:D91,"X",'3 Sys'!$G82:$G91)),MAX('3 Sys'!AB82:AB91)),MIN('3 Sys'!AF82:AF91))))</f>
        <v/>
      </c>
      <c r="F81" s="139" t="str">
        <f>IF(NOT('3 Sys'!E81 = ""),'3 Sys'!E81,IF(COUNTIF('3 Sys'!E82:E91,"&gt;=0")=0,"", MIN(MAX(SUMPRODUCT('3 Sys'!E82:E91,'3 Sys'!$G82:$G91)*4/(SUM('3 Sys'!$G82:$G91) - SUMIF('3 Sys'!E82:E91,"X",'3 Sys'!$G82:$G91)),MAX('3 Sys'!AC82:AC91)),MIN('3 Sys'!AG82:AG91))))</f>
        <v/>
      </c>
      <c r="G81" s="139" t="str">
        <f>IF(NOT('3 Sys'!F81 = ""),'3 Sys'!F81,IF(COUNTIF('3 Sys'!F82:F91,"&gt;=0")=0,"", MIN(MAX(SUMPRODUCT('3 Sys'!F82:F91,'3 Sys'!$G82:$G91)*4/(SUM('3 Sys'!$G82:$G91) - SUMIF('3 Sys'!F82:F91,"X",'3 Sys'!$G82:$G91)),MAX('3 Sys'!AD82:AD91)),MIN('3 Sys'!AH82:AH91))))</f>
        <v/>
      </c>
      <c r="H81" s="447">
        <f>IF(AND(OR(D81="X",D81=""),OR(E81="X",E81=""),OR(F81="X",F81=""),OR(G81="X",G81="")),1,ROUND(MIN(IF(OR(D81="",D81="X"),4,D81),IF(OR(E81="",E81="X"),4,E81),IF(OR(F81="",F81="X"),4,F81),IF(OR(G81="",G81="X"),4,G81)),0))</f>
        <v>0</v>
      </c>
      <c r="I81" s="16" t="str">
        <f>IF(OR(Projets!C36 = 1, Projets!D36 = 1), IF(IndG = 3, Projets!I36,IF(AND(IndG = 4,NOT(Projets!F36= ""), Projets!F36&lt;dateanal ),Projets!I36, "")),"")</f>
        <v/>
      </c>
      <c r="J81" s="448">
        <f>IF(IF(IndG&gt;=3,MAX(H81,I81),H81)&lt;1,1,IF(IndG&gt;=3,MAX(H81,I81),H81))</f>
        <v>1</v>
      </c>
      <c r="L81" s="1163">
        <v>10</v>
      </c>
      <c r="M81" s="34"/>
    </row>
    <row r="82" spans="1:21" ht="12.75" customHeight="1" x14ac:dyDescent="0.25">
      <c r="A82" s="279"/>
      <c r="B82" s="38" t="s">
        <v>3096</v>
      </c>
      <c r="C82" s="128" t="s">
        <v>4604</v>
      </c>
      <c r="D82" s="139" t="str">
        <f>IF(NOT('3 Sys'!C92 = ""),'3 Sys'!C92,IF(COUNTIF('3 Sys'!C93:C98,"&gt;=0")=0,"", MIN(MAX(SUMPRODUCT('3 Sys'!C93:C98,'3 Sys'!$G93:$G98)*4/(SUM('3 Sys'!$G93:$G98) - SUMIF('3 Sys'!C93:C98,"X",'3 Sys'!$G93:$G98)),MAX('3 Sys'!AA93:AA98)),MIN('3 Sys'!AE93:AE98))))</f>
        <v/>
      </c>
      <c r="E82" s="139" t="str">
        <f>IF(NOT('3 Sys'!D92 = ""),'3 Sys'!D92,IF(COUNTIF('3 Sys'!D93:D98,"&gt;=0")=0,"", MIN(MAX(SUMPRODUCT('3 Sys'!D93:D98,'3 Sys'!$G93:$G98)*4/(SUM('3 Sys'!$G93:$G98) - SUMIF('3 Sys'!D93:D98,"X",'3 Sys'!$G93:$G98)),MAX('3 Sys'!AB93:AB98)),MIN('3 Sys'!AF93:AF98))))</f>
        <v/>
      </c>
      <c r="F82" s="139" t="str">
        <f>IF(NOT('3 Sys'!E92 = ""),'3 Sys'!E92,IF(COUNTIF('3 Sys'!E93:E98,"&gt;=0")=0,"", MIN(MAX(SUMPRODUCT('3 Sys'!E93:E98,'3 Sys'!$G93:$G98)*4/(SUM('3 Sys'!$G93:$G98) - SUMIF('3 Sys'!E93:E98,"X",'3 Sys'!$G93:$G98)),MAX('3 Sys'!AC93:AC98)),MIN('3 Sys'!AG93:AG98))))</f>
        <v/>
      </c>
      <c r="G82" s="139" t="str">
        <f>IF(NOT('3 Sys'!F92 = ""),'3 Sys'!F92,IF(COUNTIF('3 Sys'!F93:F98,"&gt;=0")=0,"", MIN(MAX(SUMPRODUCT('3 Sys'!F93:F98,'3 Sys'!$G93:$G98)*4/(SUM('3 Sys'!$G93:$G98) - SUMIF('3 Sys'!F93:F98,"X",'3 Sys'!$G93:$G98)),MAX('3 Sys'!AD93:AD98)),MIN('3 Sys'!AH93:AH98))))</f>
        <v/>
      </c>
      <c r="H82" s="447">
        <f t="shared" si="6"/>
        <v>1</v>
      </c>
      <c r="I82" s="16" t="str">
        <f>IF(OR(Projets!C26 = 1, Projets!D26 = 1), IF(IndG = 3, Projets!I26,IF(AND(IndG = 4,NOT(Projets!F26= ""), Projets!F26&lt;dateanal ),Projets!I26, "")),"")</f>
        <v/>
      </c>
      <c r="J82" s="448">
        <f t="shared" si="7"/>
        <v>1</v>
      </c>
      <c r="L82" s="1163">
        <v>6</v>
      </c>
      <c r="M82" s="34"/>
    </row>
    <row r="83" spans="1:21" ht="12" customHeight="1" x14ac:dyDescent="0.25">
      <c r="A83" s="279"/>
      <c r="B83" s="35" t="s">
        <v>1394</v>
      </c>
      <c r="C83" s="37"/>
      <c r="D83" s="139"/>
      <c r="E83" s="139"/>
      <c r="F83" s="139"/>
      <c r="G83" s="139"/>
      <c r="H83" s="447"/>
      <c r="I83" s="16"/>
      <c r="J83" s="448"/>
      <c r="L83" s="1162"/>
      <c r="M83" s="34"/>
    </row>
    <row r="84" spans="1:21" s="281" customFormat="1" ht="11.25" customHeight="1" x14ac:dyDescent="0.25">
      <c r="A84" s="279"/>
      <c r="B84" s="38" t="s">
        <v>630</v>
      </c>
      <c r="C84" s="36" t="s">
        <v>379</v>
      </c>
      <c r="D84" s="139" t="str">
        <f>IF(NOT('3 Sys'!C100 = ""),'3 Sys'!C100,IF(COUNTIF('3 Sys'!C101:C108,"&gt;=0")=0,"", MIN(MAX(SUMPRODUCT('3 Sys'!C101:C108,'3 Sys'!$G101:$G108)*4/(SUM('3 Sys'!$G101:$G108) - SUMIF('3 Sys'!C101:C108,"X",'3 Sys'!$G101:$G108)),MAX('3 Sys'!AA101:AA108)),MIN('3 Sys'!AE101:AE108))))</f>
        <v/>
      </c>
      <c r="E84" s="139" t="str">
        <f>IF(NOT('3 Sys'!D100 = ""),'3 Sys'!D100,IF(COUNTIF('3 Sys'!D101:D108,"&gt;=0")=0,"", MIN(MAX(SUMPRODUCT('3 Sys'!D101:D108,'3 Sys'!$G101:$G108)*4/(SUM('3 Sys'!$G101:$G108) - SUMIF('3 Sys'!D101:D108,"X",'3 Sys'!$G101:$G108)),MAX('3 Sys'!AB101:AB108)),MIN('3 Sys'!AF101:AF108))))</f>
        <v/>
      </c>
      <c r="F84" s="139" t="str">
        <f>IF(NOT('3 Sys'!E100 = ""),'3 Sys'!E100,IF(COUNTIF('3 Sys'!E101:E108,"&gt;=0")=0,"", MIN(MAX(SUMPRODUCT('3 Sys'!E101:E108,'3 Sys'!$G101:$G108)*4/(SUM('3 Sys'!$G101:$G108) - SUMIF('3 Sys'!E101:E108,"X",'3 Sys'!$G101:$G108)),MAX('3 Sys'!AC101:AC108)),MIN('3 Sys'!AG101:AG108))))</f>
        <v/>
      </c>
      <c r="G84" s="139" t="str">
        <f>IF(NOT('3 Sys'!F100 = ""),'3 Sys'!F100,IF(COUNTIF('3 Sys'!F101:F108,"&gt;=0")=0,"", MIN(MAX(SUMPRODUCT('3 Sys'!F101:F108,'3 Sys'!$G101:$G108)*4/(SUM('3 Sys'!$G101:$G108) - SUMIF('3 Sys'!F101:F108,"X",'3 Sys'!$G101:$G108)),MAX('3 Sys'!AD101:AD108)),MIN('3 Sys'!AH101:AH108))))</f>
        <v/>
      </c>
      <c r="H84" s="447">
        <f>IF(AND(OR(D84="X",D84=""),OR(E84="X",E84=""),OR(F84="X",F84=""),OR(G84="X",G84="")),1,ROUND(MIN(IF(OR(D84="",D84="X"),4,D84),IF(OR(E84="",E84="X"),4,E84),IF(OR(F84="",F84="X"),4,F84),IF(OR(G84="",G84="X"),4,G84)),0))</f>
        <v>1</v>
      </c>
      <c r="I84" s="16" t="str">
        <f>IF(OR(Projets!C5 = 1, Projets!D5 = 1), IF(IndG = 3, Projets!O5,IF(AND(IndG = 4,NOT(Projets!F5= ""), Projets!F5&lt;dateanal ),Projets!O5, "")),"")</f>
        <v/>
      </c>
      <c r="J84" s="448">
        <f>IF(IF(IndG&gt;=3,MAX(H84,I84),H84)&lt;1,1,IF(IndG&gt;=3,MAX(H84,I84),H84))</f>
        <v>1</v>
      </c>
      <c r="L84" s="1163">
        <v>8</v>
      </c>
      <c r="M84" s="34"/>
    </row>
    <row r="85" spans="1:21" s="281" customFormat="1" ht="11.25" customHeight="1" x14ac:dyDescent="0.25">
      <c r="A85" s="300"/>
      <c r="B85" s="35" t="s">
        <v>1612</v>
      </c>
      <c r="C85" s="37"/>
      <c r="D85" s="139"/>
      <c r="E85" s="139"/>
      <c r="F85" s="139"/>
      <c r="G85" s="139"/>
      <c r="H85" s="447"/>
      <c r="I85" s="16"/>
      <c r="J85" s="448"/>
      <c r="L85" s="1162"/>
      <c r="M85" s="34"/>
    </row>
    <row r="86" spans="1:21" s="281" customFormat="1" ht="11.25" customHeight="1" x14ac:dyDescent="0.25">
      <c r="A86" s="300"/>
      <c r="B86" s="38" t="s">
        <v>734</v>
      </c>
      <c r="C86" s="36" t="s">
        <v>2335</v>
      </c>
      <c r="D86" s="139" t="str">
        <f>IF(NOT('3 Sys'!C110 = ""),'3 Sys'!C110,IF(COUNTIF('3 Sys'!C111:C115,"&gt;=0")=0,"", MIN(MAX(SUMPRODUCT('3 Sys'!C111:C115,'3 Sys'!$G111:$G115)*4/(SUM('3 Sys'!$G111:$G115) - SUMIF('3 Sys'!C111:C115,"X",'3 Sys'!$G111:$G115)),MAX('3 Sys'!AA111:AA115)),MIN('3 Sys'!AE111:AE115))))</f>
        <v/>
      </c>
      <c r="E86" s="139" t="str">
        <f>IF(NOT('3 Sys'!D110 = ""),'3 Sys'!D110,IF(COUNTIF('3 Sys'!D111:D115,"&gt;=0")=0,"", MIN(MAX(SUMPRODUCT('3 Sys'!D111:D115,'3 Sys'!$G111:$G115)*4/(SUM('3 Sys'!$G111:$G115) - SUMIF('3 Sys'!D111:D115,"X",'3 Sys'!$G111:$G115)),MAX('3 Sys'!AB111:AB115)),MIN('3 Sys'!AF111:AF115))))</f>
        <v/>
      </c>
      <c r="F86" s="139" t="str">
        <f>IF(NOT('3 Sys'!E110 = ""),'3 Sys'!E110,IF(COUNTIF('3 Sys'!E111:E115,"&gt;=0")=0,"", MIN(MAX(SUMPRODUCT('3 Sys'!E111:E115,'3 Sys'!$G111:$G115)*4/(SUM('3 Sys'!$G111:$G115) - SUMIF('3 Sys'!E111:E115,"X",'3 Sys'!$G111:$G115)),MAX('3 Sys'!AC111:AC115)),MIN('3 Sys'!AG111:AG115))))</f>
        <v/>
      </c>
      <c r="G86" s="139" t="str">
        <f>IF(NOT('3 Sys'!F110 = ""),'3 Sys'!F110,IF(COUNTIF('3 Sys'!F111:F115,"&gt;=0")=0,"", MIN(MAX(SUMPRODUCT('3 Sys'!F111:F115,'3 Sys'!$G111:$G115)*4/(SUM('3 Sys'!$G111:$G115) - SUMIF('3 Sys'!F111:F115,"X",'3 Sys'!$G111:$G115)),MAX('3 Sys'!AD111:AD115)),MIN('3 Sys'!AH111:AH115))))</f>
        <v/>
      </c>
      <c r="H86" s="447">
        <f>IF(AND(OR(D86="X",D86=""),OR(E86="X",E86=""),OR(F86="X",F86=""),OR(G86="X",G86="")),1,ROUND(MIN(IF(OR(D86="",D86="X"),4,D86),IF(OR(E86="",E86="X"),4,E86),IF(OR(F86="",F86="X"),4,F86),IF(OR(G86="",G86="X"),4,G86)),0))</f>
        <v>1</v>
      </c>
      <c r="I86" s="16" t="str">
        <f>IF(OR(Projets!C9 = 1, Projets!D9 = 1), IF(IndG = 3, Projets!I9,IF(AND(IndG = 4,NOT(Projets!F9= ""), Projets!F9&lt;dateanal ),Projets!I9, "")),"")</f>
        <v/>
      </c>
      <c r="J86" s="448">
        <f>IF(IF(IndG&gt;=3,MAX(H86,I86),H86)&lt;1,1,IF(IndG&gt;=3,MAX(H86,I86),H86))</f>
        <v>1</v>
      </c>
      <c r="L86" s="1163">
        <v>5</v>
      </c>
      <c r="M86" s="34"/>
    </row>
    <row r="87" spans="1:21" ht="15" customHeight="1" x14ac:dyDescent="0.25">
      <c r="A87" s="269" t="s">
        <v>551</v>
      </c>
      <c r="B87" s="1280" t="s">
        <v>1395</v>
      </c>
      <c r="C87" s="1281"/>
      <c r="D87" s="138" t="s">
        <v>229</v>
      </c>
      <c r="E87" s="138" t="s">
        <v>230</v>
      </c>
      <c r="F87" s="138" t="s">
        <v>265</v>
      </c>
      <c r="G87" s="138" t="s">
        <v>266</v>
      </c>
      <c r="H87" s="420"/>
      <c r="I87" s="16"/>
      <c r="J87" s="420"/>
      <c r="L87" s="1163"/>
      <c r="M87" s="34"/>
    </row>
    <row r="88" spans="1:21" s="34" customFormat="1" ht="12" customHeight="1" x14ac:dyDescent="0.25">
      <c r="A88" s="272"/>
      <c r="B88" s="35" t="s">
        <v>463</v>
      </c>
      <c r="C88" s="37"/>
      <c r="D88" s="139"/>
      <c r="E88" s="139"/>
      <c r="F88" s="139"/>
      <c r="G88" s="139"/>
      <c r="H88" s="449"/>
      <c r="I88" s="16"/>
      <c r="J88" s="448"/>
      <c r="L88" s="1162"/>
    </row>
    <row r="89" spans="1:21" s="34" customFormat="1" ht="12" customHeight="1" x14ac:dyDescent="0.25">
      <c r="A89" s="272"/>
      <c r="B89" s="42" t="s">
        <v>735</v>
      </c>
      <c r="C89" s="212" t="s">
        <v>736</v>
      </c>
      <c r="D89" s="139" t="str">
        <f>IF(NOT('4 Ope'!C4 = ""),'4 Ope'!C4,IF(COUNTIF('4 Ope'!C5:C13,"&gt;=0")=0,"", MIN(MAX(SUMPRODUCT('4 Ope'!C5:C13,'4 Ope'!$G5:$G13)*4/(SUM('4 Ope'!$G5:$G13) - SUMIF('4 Ope'!C5:C13,"X",'4 Ope'!$G5:$G13)),MAX('4 Ope'!AA5:AA13)),MIN('4 Ope'!AE5:AE13))))</f>
        <v/>
      </c>
      <c r="E89" s="139" t="str">
        <f>IF(NOT('4 Ope'!D4 = ""),'4 Ope'!D4,IF(COUNTIF('4 Ope'!D5:D13,"&gt;=0")=0,"", MIN(MAX(SUMPRODUCT('4 Ope'!D5:D13,'4 Ope'!$G5:$G13)*4/(SUM('4 Ope'!$G5:$G13) - SUMIF('4 Ope'!D5:D13,"X",'4 Ope'!$G5:$G13)),MAX('4 Ope'!AB5:AB13)),MIN('4 Ope'!AF5:AF13))))</f>
        <v/>
      </c>
      <c r="F89" s="139" t="str">
        <f>IF(NOT('4 Ope'!E4 = ""),'4 Ope'!E4,IF(COUNTIF('4 Ope'!E5:E13,"&gt;=0")=0,"", MIN(MAX(SUMPRODUCT('4 Ope'!E5:E13,'4 Ope'!$G5:$G13)*4/(SUM('4 Ope'!$G5:$G13) - SUMIF('4 Ope'!E5:E13,"X",'4 Ope'!$G5:$G13)),MAX('4 Ope'!AC5:AC13)),MIN('4 Ope'!AG5:AG13))))</f>
        <v/>
      </c>
      <c r="G89" s="139" t="str">
        <f>IF(NOT('4 Ope'!F4 = ""),'4 Ope'!F4,IF(COUNTIF('4 Ope'!F5:F13,"&gt;=0")=0,"", MIN(MAX(SUMPRODUCT('4 Ope'!F5:F13,'4 Ope'!$G5:$G13)*4/(SUM('4 Ope'!$G5:$G13) - SUMIF('4 Ope'!F5:F13,"X",'4 Ope'!$G5:$G13)),MAX('4 Ope'!AD5:AD13)),MIN('4 Ope'!AH5:AH13))))</f>
        <v/>
      </c>
      <c r="H89" s="447">
        <f t="shared" ref="H89:H102" si="8">IF(AND(OR(D89="X",D89=""),OR(E89="X",E89=""),OR(F89="X",F89=""),OR(G89="X",G89="")),1,ROUND(MIN(IF(OR(D89="",D89="X"),4,D89),IF(OR(E89="",E89="X"),4,E89),IF(OR(F89="",F89="X"),4,F89),IF(OR(G89="",G89="X"),4,G89)),0))</f>
        <v>1</v>
      </c>
      <c r="I89" s="16"/>
      <c r="J89" s="448">
        <f t="shared" ref="J89:J102" si="9">IF(IF(IndG&gt;=3,MAX(H89,I89),H89)&lt;1,1,IF(IndG&gt;=3,MAX(H89,I89),H89))</f>
        <v>1</v>
      </c>
      <c r="L89" s="1163">
        <v>9</v>
      </c>
      <c r="U89" s="34">
        <f>IF(INDEX(Tab_actions,70,1)=1,INDEX(Tab_actions,70,8),0)</f>
        <v>0</v>
      </c>
    </row>
    <row r="90" spans="1:21" s="237" customFormat="1" ht="11.25" customHeight="1" x14ac:dyDescent="0.25">
      <c r="A90" s="282"/>
      <c r="B90" s="283" t="s">
        <v>650</v>
      </c>
      <c r="C90" s="284" t="s">
        <v>737</v>
      </c>
      <c r="D90" s="139">
        <f>IF(NOT('4 Ope'!C14 = ""),'4 Ope'!C14,IF(COUNTIF('4 Ope'!C15:C23,"&gt;=0")=0,"", MIN(MAX(SUMPRODUCT('4 Ope'!C15:C23,'4 Ope'!$G15:$G23)*4/(SUM('4 Ope'!$G15:$G23) - SUMIF('4 Ope'!C15:C23,"X",'4 Ope'!$G15:$G23)),MAX('4 Ope'!AA15:AA23)),MIN('4 Ope'!AE15:AE23))))</f>
        <v>0</v>
      </c>
      <c r="E90" s="139" t="str">
        <f>IF(NOT('4 Ope'!D14 = ""),'4 Ope'!D14,IF(COUNTIF('4 Ope'!D15:D23,"&gt;=0")=0,"", MIN(MAX(SUMPRODUCT('4 Ope'!D15:D23,'4 Ope'!$G15:$G23)*4/(SUM('4 Ope'!$G15:$G23) - SUMIF('4 Ope'!D15:D23,"X",'4 Ope'!$G15:$G23)),MAX('4 Ope'!AB15:AB23)),MIN('4 Ope'!AF15:AF23))))</f>
        <v/>
      </c>
      <c r="F90" s="139" t="str">
        <f>IF(NOT('4 Ope'!E14 = ""),'4 Ope'!E14,IF(COUNTIF('4 Ope'!E15:E23,"&gt;=0")=0,"", MIN(MAX(SUMPRODUCT('4 Ope'!E15:E23,'4 Ope'!$G15:$G23)*4/(SUM('4 Ope'!$G15:$G23) - SUMIF('4 Ope'!E15:E23,"X",'4 Ope'!$G15:$G23)),MAX('4 Ope'!AC15:AC23)),MIN('4 Ope'!AG15:AG23))))</f>
        <v/>
      </c>
      <c r="G90" s="139" t="str">
        <f>IF(NOT('4 Ope'!F14 = ""),'4 Ope'!F14,IF(COUNTIF('4 Ope'!F15:F23,"&gt;=0")=0,"", MIN(MAX(SUMPRODUCT('4 Ope'!F15:F23,'4 Ope'!$G15:$G23)*4/(SUM('4 Ope'!$G15:$G23) - SUMIF('4 Ope'!F15:F23,"X",'4 Ope'!$G15:$G23)),MAX('4 Ope'!AD15:AD23)),MIN('4 Ope'!AH15:AH23))))</f>
        <v/>
      </c>
      <c r="H90" s="447">
        <f t="shared" si="8"/>
        <v>0</v>
      </c>
      <c r="I90" s="16" t="str">
        <f>IF(OR(Projets!C11 = 1, Projets!D11 = 1), IF(IndG = 3, Projets!L11,IF(AND(IndG = 4,NOT(Projets!F11= ""), Projets!F11&lt;dateanal ),Projets!L11, "")),"")</f>
        <v/>
      </c>
      <c r="J90" s="448">
        <f t="shared" si="9"/>
        <v>1</v>
      </c>
      <c r="L90" s="1163">
        <v>9</v>
      </c>
      <c r="M90" s="34"/>
      <c r="U90" s="237">
        <f>IF(INDEX(Tab_actions,17,1)=1,INDEX(Tab_actions,17,12),0)</f>
        <v>0</v>
      </c>
    </row>
    <row r="91" spans="1:21" s="240" customFormat="1" ht="12" customHeight="1" x14ac:dyDescent="0.25">
      <c r="A91" s="270"/>
      <c r="B91" s="42" t="s">
        <v>622</v>
      </c>
      <c r="C91" s="285" t="s">
        <v>947</v>
      </c>
      <c r="D91" s="139">
        <f>IF(NOT('4 Ope'!C24 = ""),'4 Ope'!C24,IF(COUNTIF('4 Ope'!C25:C41,"&gt;=0")=0,"", MIN(MAX(SUMPRODUCT('4 Ope'!C25:C41,'4 Ope'!$G25:$G41)*4/(SUM('4 Ope'!$G25:$G41) - SUMIF('4 Ope'!C25:C41,"X",'4 Ope'!$G25:$G41)),MAX('4 Ope'!AA25:AA41)),MIN('4 Ope'!AE25:AE41))))</f>
        <v>0.4</v>
      </c>
      <c r="E91" s="139" t="str">
        <f>IF(NOT('4 Ope'!D24 = ""),'4 Ope'!D24,IF(COUNTIF('4 Ope'!D25:D41,"&gt;=0")=0,"", MIN(MAX(SUMPRODUCT('4 Ope'!D25:D41,'4 Ope'!$G25:$G41)*4/(SUM('4 Ope'!$G25:$G41) - SUMIF('4 Ope'!D25:D41,"X",'4 Ope'!$G25:$G41)),MAX('4 Ope'!AB25:AB41)),MIN('4 Ope'!AF25:AF41))))</f>
        <v/>
      </c>
      <c r="F91" s="139" t="str">
        <f>IF(NOT('4 Ope'!E24 = ""),'4 Ope'!E24,IF(COUNTIF('4 Ope'!E25:E41,"&gt;=0")=0,"", MIN(MAX(SUMPRODUCT('4 Ope'!E25:E41,'4 Ope'!$G25:$G41)*4/(SUM('4 Ope'!$G25:$G41) - SUMIF('4 Ope'!E25:E41,"X",'4 Ope'!$G25:$G41)),MAX('4 Ope'!AC25:AC41)),MIN('4 Ope'!AG25:AG41))))</f>
        <v/>
      </c>
      <c r="G91" s="139" t="str">
        <f>IF(NOT('4 Ope'!F24 = ""),'4 Ope'!F24,IF(COUNTIF('4 Ope'!F25:F41,"&gt;=0")=0,"", MIN(MAX(SUMPRODUCT('4 Ope'!F25:F41,'4 Ope'!$G25:$G41)*4/(SUM('4 Ope'!$G25:$G41) - SUMIF('4 Ope'!F25:F41,"X",'4 Ope'!$G25:$G41)),MAX('4 Ope'!AD25:AD41)),MIN('4 Ope'!AH25:AH41))))</f>
        <v/>
      </c>
      <c r="H91" s="447">
        <f t="shared" si="8"/>
        <v>0</v>
      </c>
      <c r="I91" s="16" t="str">
        <f>IF(OR(Projets!C8 = 1, Projets!D8 = 1), IF(IndG = 3, Projets!I8,IF(AND(IndG = 4,NOT(Projets!F8= ""), Projets!F8&lt;dateanal ),Projets!I8, "")),"")</f>
        <v/>
      </c>
      <c r="J91" s="448">
        <f t="shared" si="9"/>
        <v>1</v>
      </c>
      <c r="L91" s="1163">
        <v>17</v>
      </c>
      <c r="M91" s="34"/>
    </row>
    <row r="92" spans="1:21" s="34" customFormat="1" ht="12" customHeight="1" x14ac:dyDescent="0.25">
      <c r="A92" s="270"/>
      <c r="B92" s="42" t="s">
        <v>739</v>
      </c>
      <c r="C92" s="212" t="s">
        <v>6793</v>
      </c>
      <c r="D92" s="139">
        <f>IF(NOT('4 Ope'!C42 = ""),'4 Ope'!C42,IF(COUNTIF('4 Ope'!C43:C53,"&gt;=0")=0,"", MIN(MAX(SUMPRODUCT('4 Ope'!C43:C53,'4 Ope'!$G43:$G53)*4/(SUM('4 Ope'!$G43:$G53) - SUMIF('4 Ope'!C43:C53,"X",'4 Ope'!$G43:$G53)),MAX('4 Ope'!AA43:AA53)),MIN('4 Ope'!AE43:AE53))))</f>
        <v>0</v>
      </c>
      <c r="E92" s="139" t="str">
        <f>IF(NOT('4 Ope'!D42 = ""),'4 Ope'!D42,IF(COUNTIF('4 Ope'!D43:D53,"&gt;=0")=0,"", MIN(MAX(SUMPRODUCT('4 Ope'!D43:D53,'4 Ope'!$G43:$G53)*4/(SUM('4 Ope'!$G43:$G53) - SUMIF('4 Ope'!D43:D53,"X",'4 Ope'!$G43:$G53)),MAX('4 Ope'!AB43:AB53)),MIN('4 Ope'!AF43:AF53))))</f>
        <v/>
      </c>
      <c r="F92" s="139" t="str">
        <f>IF(NOT('4 Ope'!E42 = ""),'4 Ope'!E42,IF(COUNTIF('4 Ope'!E43:E53,"&gt;=0")=0,"", MIN(MAX(SUMPRODUCT('4 Ope'!E43:E53,'4 Ope'!$G43:$G53)*4/(SUM('4 Ope'!$G43:$G53) - SUMIF('4 Ope'!E43:E53,"X",'4 Ope'!$G43:$G53)),MAX('4 Ope'!AC43:AC53)),MIN('4 Ope'!AG43:AG53))))</f>
        <v/>
      </c>
      <c r="G92" s="139" t="str">
        <f>IF(NOT('4 Ope'!F42 = ""),'4 Ope'!F42,IF(COUNTIF('4 Ope'!F43:F53,"&gt;=0")=0,"", MIN(MAX(SUMPRODUCT('4 Ope'!F43:F53,'4 Ope'!$G43:$G53)*4/(SUM('4 Ope'!$G43:$G53) - SUMIF('4 Ope'!F43:F53,"X",'4 Ope'!$G43:$G53)),MAX('4 Ope'!AD43:AD53)),MIN('4 Ope'!AH43:AH53))))</f>
        <v/>
      </c>
      <c r="H92" s="447">
        <f t="shared" si="8"/>
        <v>0</v>
      </c>
      <c r="I92" s="16" t="str">
        <f>IF(OR(Projets!C9 = 1, Projets!D9 = 1), IF(IndG = 3, Projets!L9,IF(AND(IndG = 4,NOT(Projets!F9= ""), Projets!F9&lt;dateanal ),Projets!L9, "")),"")</f>
        <v/>
      </c>
      <c r="J92" s="448">
        <f t="shared" si="9"/>
        <v>1</v>
      </c>
      <c r="L92" s="1163">
        <v>11</v>
      </c>
      <c r="T92" s="34">
        <f>IF(INDEX(Tab_actions,33,1)=1,INDEX(Tab_actions,33,8),0)</f>
        <v>0</v>
      </c>
      <c r="U92" s="34">
        <f>IF(INDEX(Tab_actions,40,1)=1,INDEX(Tab_actions,40,12),0)</f>
        <v>0</v>
      </c>
    </row>
    <row r="93" spans="1:21" s="34" customFormat="1" ht="11.25" customHeight="1" x14ac:dyDescent="0.25">
      <c r="A93" s="270"/>
      <c r="B93" s="38" t="s">
        <v>625</v>
      </c>
      <c r="C93" s="36" t="s">
        <v>3104</v>
      </c>
      <c r="D93" s="139" t="str">
        <f>IF(NOT('4 Ope'!C54 = ""),'4 Ope'!C54,IF(COUNTIF('4 Ope'!C55:C69,"&gt;=0")=0,"", MIN(MAX(SUMPRODUCT('4 Ope'!C55:C69,'4 Ope'!$G55:$G69)*4/(SUM('4 Ope'!$G55:$G69) - SUMIF('4 Ope'!C55:C69,"X",'4 Ope'!$G55:$G69)),MAX('4 Ope'!AA55:AA69)),MIN('4 Ope'!AE55:AE69))))</f>
        <v/>
      </c>
      <c r="E93" s="139" t="str">
        <f>IF(NOT('4 Ope'!D54 = ""),'4 Ope'!D54,IF(COUNTIF('4 Ope'!D55:D69,"&gt;=0")=0,"", MIN(MAX(SUMPRODUCT('4 Ope'!D55:D69,'4 Ope'!$G55:$G69)*4/(SUM('4 Ope'!$G55:$G69) - SUMIF('4 Ope'!D55:D69,"X",'4 Ope'!$G55:$G69)),MAX('4 Ope'!AB55:AB69)),MIN('4 Ope'!AF55:AF69))))</f>
        <v/>
      </c>
      <c r="F93" s="139" t="str">
        <f>IF(NOT('4 Ope'!E54 = ""),'4 Ope'!E54,IF(COUNTIF('4 Ope'!E55:E69,"&gt;=0")=0,"", MIN(MAX(SUMPRODUCT('4 Ope'!E55:E69,'4 Ope'!$G55:$G69)*4/(SUM('4 Ope'!$G55:$G69) - SUMIF('4 Ope'!E55:E69,"X",'4 Ope'!$G55:$G69)),MAX('4 Ope'!AC55:AC69)),MIN('4 Ope'!AG55:AG69))))</f>
        <v/>
      </c>
      <c r="G93" s="139" t="str">
        <f>IF(NOT('4 Ope'!F54 = ""),'4 Ope'!F54,IF(COUNTIF('4 Ope'!F55:F69,"&gt;=0")=0,"", MIN(MAX(SUMPRODUCT('4 Ope'!F55:F69,'4 Ope'!$G55:$G69)*4/(SUM('4 Ope'!$G55:$G69) - SUMIF('4 Ope'!F55:F69,"X",'4 Ope'!$G55:$G69)),MAX('4 Ope'!AD55:AD69)),MIN('4 Ope'!AH55:AH69))))</f>
        <v/>
      </c>
      <c r="H93" s="447">
        <f t="shared" si="8"/>
        <v>1</v>
      </c>
      <c r="I93" s="16" t="str">
        <f>IF(OR(Projets!C33 = 1, Projets!D33 = 1), IF(IndG = 3, Projets!I33,IF(AND(IndG = 4,NOT(Projets!F33= ""), Projets!F33&lt;dateanal ),Projets!I33, "")),"")</f>
        <v/>
      </c>
      <c r="J93" s="448">
        <f t="shared" si="9"/>
        <v>1</v>
      </c>
      <c r="L93" s="1163">
        <v>15</v>
      </c>
    </row>
    <row r="94" spans="1:21" s="34" customFormat="1" ht="12" customHeight="1" x14ac:dyDescent="0.25">
      <c r="A94" s="270"/>
      <c r="B94" s="38" t="s">
        <v>744</v>
      </c>
      <c r="C94" s="40" t="s">
        <v>47</v>
      </c>
      <c r="D94" s="139" t="str">
        <f>IF(NOT('4 Ope'!C70 = ""),'4 Ope'!C70,IF(COUNTIF('4 Ope'!C71:C74,"&gt;=0")=0,"", MIN(MAX(SUMPRODUCT('4 Ope'!C71:C74,'4 Ope'!$G71:$G74)*4/(SUM('4 Ope'!$G71:$G74) - SUMIF('4 Ope'!C71:C74,"X",'4 Ope'!$G71:$G74)),MAX('4 Ope'!AA71:AA74)),MIN('4 Ope'!AE71:AE74))))</f>
        <v/>
      </c>
      <c r="E94" s="139" t="str">
        <f>IF(NOT('4 Ope'!D70 = ""),'4 Ope'!D70,IF(COUNTIF('4 Ope'!D71:D74,"&gt;=0")=0,"", MIN(MAX(SUMPRODUCT('4 Ope'!D71:D74,'4 Ope'!$G71:$G74)*4/(SUM('4 Ope'!$G71:$G74) - SUMIF('4 Ope'!D71:D74,"X",'4 Ope'!$G71:$G74)),MAX('4 Ope'!AB71:AB74)),MIN('4 Ope'!AF71:AF74))))</f>
        <v/>
      </c>
      <c r="F94" s="139" t="str">
        <f>IF(NOT('4 Ope'!E70 = ""),'4 Ope'!E70,IF(COUNTIF('4 Ope'!E71:E74,"&gt;=0")=0,"", MIN(MAX(SUMPRODUCT('4 Ope'!E71:E74,'4 Ope'!$G71:$G74)*4/(SUM('4 Ope'!$G71:$G74) - SUMIF('4 Ope'!E71:E74,"X",'4 Ope'!$G71:$G74)),MAX('4 Ope'!AC71:AC74)),MIN('4 Ope'!AG71:AG74))))</f>
        <v/>
      </c>
      <c r="G94" s="139" t="str">
        <f>IF(NOT('4 Ope'!F70 = ""),'4 Ope'!F70,IF(COUNTIF('4 Ope'!F71:F74,"&gt;=0")=0,"", MIN(MAX(SUMPRODUCT('4 Ope'!F71:F74,'4 Ope'!$G71:$G74)*4/(SUM('4 Ope'!$G71:$G74) - SUMIF('4 Ope'!F71:F74,"X",'4 Ope'!$G71:$G74)),MAX('4 Ope'!AD71:AD74)),MIN('4 Ope'!AH71:AH74))))</f>
        <v/>
      </c>
      <c r="H94" s="447">
        <f t="shared" si="8"/>
        <v>1</v>
      </c>
      <c r="I94" s="16"/>
      <c r="J94" s="448">
        <f t="shared" si="9"/>
        <v>1</v>
      </c>
      <c r="L94" s="1163">
        <v>4</v>
      </c>
    </row>
    <row r="95" spans="1:21" s="34" customFormat="1" ht="12" customHeight="1" x14ac:dyDescent="0.25">
      <c r="A95" s="270"/>
      <c r="B95" s="38" t="s">
        <v>745</v>
      </c>
      <c r="C95" s="40" t="s">
        <v>746</v>
      </c>
      <c r="D95" s="139" t="str">
        <f>IF(NOT('4 Ope'!C75 = ""),'4 Ope'!C75,IF(COUNTIF('4 Ope'!C76:C77,"&gt;=0")=0,"", MIN(MAX(SUMPRODUCT('4 Ope'!C76:C77,'4 Ope'!$G76:$G77)*4/(SUM('4 Ope'!$G76:$G77) - SUMIF('4 Ope'!C76:C77,"X",'4 Ope'!$G76:$G77)),MAX('4 Ope'!AA76:AA77)),MIN('4 Ope'!AE76:AE77))))</f>
        <v/>
      </c>
      <c r="E95" s="139" t="str">
        <f>IF(NOT('4 Ope'!D75 = ""),'4 Ope'!D75,IF(COUNTIF('4 Ope'!D76:D77,"&gt;=0")=0,"", MIN(MAX(SUMPRODUCT('4 Ope'!D76:D77,'4 Ope'!$G76:$G77)*4/(SUM('4 Ope'!$G76:$G77) - SUMIF('4 Ope'!D76:D77,"X",'4 Ope'!$G76:$G77)),MAX('4 Ope'!AB76:AB77)),MIN('4 Ope'!AF76:AF77))))</f>
        <v/>
      </c>
      <c r="F95" s="139" t="str">
        <f>IF(NOT('4 Ope'!E75 = ""),'4 Ope'!E75,IF(COUNTIF('4 Ope'!E76:E77,"&gt;=0")=0,"", MIN(MAX(SUMPRODUCT('4 Ope'!E76:E77,'4 Ope'!$G76:$G77)*4/(SUM('4 Ope'!$G76:$G77) - SUMIF('4 Ope'!E76:E77,"X",'4 Ope'!$G76:$G77)),MAX('4 Ope'!AC76:AC77)),MIN('4 Ope'!AG76:AG77))))</f>
        <v/>
      </c>
      <c r="G95" s="139" t="str">
        <f>IF(NOT('4 Ope'!F75 = ""),'4 Ope'!F75,IF(COUNTIF('4 Ope'!F76:F77,"&gt;=0")=0,"", MIN(MAX(SUMPRODUCT('4 Ope'!F76:F77,'4 Ope'!$G76:$G77)*4/(SUM('4 Ope'!$G76:$G77) - SUMIF('4 Ope'!F76:F77,"X",'4 Ope'!$G76:$G77)),MAX('4 Ope'!AD76:AD77)),MIN('4 Ope'!AH76:AH77))))</f>
        <v/>
      </c>
      <c r="H95" s="447">
        <f t="shared" si="8"/>
        <v>1</v>
      </c>
      <c r="I95" s="16"/>
      <c r="J95" s="448">
        <f t="shared" si="9"/>
        <v>1</v>
      </c>
      <c r="L95" s="1163">
        <v>2</v>
      </c>
    </row>
    <row r="96" spans="1:21" s="34" customFormat="1" ht="12" customHeight="1" x14ac:dyDescent="0.25">
      <c r="A96" s="270"/>
      <c r="B96" s="38" t="s">
        <v>747</v>
      </c>
      <c r="C96" s="40" t="s">
        <v>6764</v>
      </c>
      <c r="D96" s="139" t="str">
        <f>IF(NOT('4 Ope'!C78 = ""),'4 Ope'!C78,IF(COUNTIF('4 Ope'!C79:C80,"&gt;=0")=0,"", MIN(MAX(SUMPRODUCT('4 Ope'!C79:C80,'4 Ope'!$G79:$G80)*4/(SUM('4 Ope'!$G79:$G80) - SUMIF('4 Ope'!C79:C80,"X",'4 Ope'!$G79:$G80)),MAX('4 Ope'!AA79:AA80)),MIN('4 Ope'!AE79:AE80))))</f>
        <v/>
      </c>
      <c r="E96" s="139" t="str">
        <f>IF(NOT('4 Ope'!D78 = ""),'4 Ope'!D78,IF(COUNTIF('4 Ope'!D79:D80,"&gt;=0")=0,"", MIN(MAX(SUMPRODUCT('4 Ope'!D79:D80,'4 Ope'!$G79:$G80)*4/(SUM('4 Ope'!$G79:$G80) - SUMIF('4 Ope'!D79:D80,"X",'4 Ope'!$G79:$G80)),MAX('4 Ope'!AB79:AB80)),MIN('4 Ope'!AF79:AF80))))</f>
        <v/>
      </c>
      <c r="F96" s="139" t="str">
        <f>IF(NOT('4 Ope'!E78 = ""),'4 Ope'!E78,IF(COUNTIF('4 Ope'!E79:E80,"&gt;=0")=0,"", MIN(MAX(SUMPRODUCT('4 Ope'!E79:E80,'4 Ope'!$G79:$G80)*4/(SUM('4 Ope'!$G79:$G80) - SUMIF('4 Ope'!E79:E80,"X",'4 Ope'!$G79:$G80)),MAX('4 Ope'!AC79:AC80)),MIN('4 Ope'!AG79:AG80))))</f>
        <v/>
      </c>
      <c r="G96" s="139" t="str">
        <f>IF(NOT('4 Ope'!F78 = ""),'4 Ope'!F78,IF(COUNTIF('4 Ope'!F79:F80,"&gt;=0")=0,"", MIN(MAX(SUMPRODUCT('4 Ope'!F79:F80,'4 Ope'!$G79:$G80)*4/(SUM('4 Ope'!$G79:$G80) - SUMIF('4 Ope'!F79:F80,"X",'4 Ope'!$G79:$G80)),MAX('4 Ope'!AD79:AD80)),MIN('4 Ope'!AH79:AH80))))</f>
        <v/>
      </c>
      <c r="H96" s="447">
        <f t="shared" si="8"/>
        <v>1</v>
      </c>
      <c r="I96" s="16"/>
      <c r="J96" s="448">
        <f t="shared" si="9"/>
        <v>1</v>
      </c>
      <c r="L96" s="1163">
        <v>2</v>
      </c>
    </row>
    <row r="97" spans="1:22" s="240" customFormat="1" ht="10.5" customHeight="1" x14ac:dyDescent="0.25">
      <c r="A97" s="270"/>
      <c r="B97" s="38" t="s">
        <v>626</v>
      </c>
      <c r="C97" s="36" t="s">
        <v>345</v>
      </c>
      <c r="D97" s="139" t="str">
        <f>IF(NOT('4 Ope'!C81 = ""),'4 Ope'!C81,IF(COUNTIF('4 Ope'!C82:C86,"&gt;=0")=0,"", MIN(MAX(SUMPRODUCT('4 Ope'!C82:C86,'4 Ope'!$G82:$G86)*4/(SUM('4 Ope'!$G82:$G86) - SUMIF('4 Ope'!C82:C86,"X",'4 Ope'!$G82:$G86)),MAX('4 Ope'!AA82:AA86)),MIN('4 Ope'!AE82:AE86))))</f>
        <v/>
      </c>
      <c r="E97" s="139" t="str">
        <f>IF(NOT('4 Ope'!D81 = ""),'4 Ope'!D81,IF(COUNTIF('4 Ope'!D82:D86,"&gt;=0")=0,"", MIN(MAX(SUMPRODUCT('4 Ope'!D82:D86,'4 Ope'!$G82:$G86)*4/(SUM('4 Ope'!$G82:$G86) - SUMIF('4 Ope'!D82:D86,"X",'4 Ope'!$G82:$G86)),MAX('4 Ope'!AB82:AB86)),MIN('4 Ope'!AF82:AF86))))</f>
        <v/>
      </c>
      <c r="F97" s="139" t="str">
        <f>IF(NOT('4 Ope'!E81 = ""),'4 Ope'!E81,IF(COUNTIF('4 Ope'!E82:E86,"&gt;=0")=0,"", MIN(MAX(SUMPRODUCT('4 Ope'!E82:E86,'4 Ope'!$G82:$G86)*4/(SUM('4 Ope'!$G82:$G86) - SUMIF('4 Ope'!E82:E86,"X",'4 Ope'!$G82:$G86)),MAX('4 Ope'!AC82:AC86)),MIN('4 Ope'!AG82:AG86))))</f>
        <v/>
      </c>
      <c r="G97" s="139" t="str">
        <f>IF(NOT('4 Ope'!F81 = ""),'4 Ope'!F81,IF(COUNTIF('4 Ope'!F82:F86,"&gt;=0")=0,"", MIN(MAX(SUMPRODUCT('4 Ope'!F82:F86,'4 Ope'!$G82:$G86)*4/(SUM('4 Ope'!$G82:$G86) - SUMIF('4 Ope'!F82:F86,"X",'4 Ope'!$G82:$G86)),MAX('4 Ope'!AD82:AD86)),MIN('4 Ope'!AH82:AH86))))</f>
        <v/>
      </c>
      <c r="H97" s="447">
        <f t="shared" si="8"/>
        <v>1</v>
      </c>
      <c r="I97" s="16" t="str">
        <f>IF(OR(Projets!C39 = 1, Projets!D39 = 1), IF(IndG = 3, Projets!I39,IF(AND(IndG = 4,NOT(Projets!F39= ""), Projets!F39&lt;dateanal ),Projets!I39, "")),"")</f>
        <v/>
      </c>
      <c r="J97" s="448">
        <f t="shared" si="9"/>
        <v>1</v>
      </c>
      <c r="L97" s="1163">
        <v>5</v>
      </c>
      <c r="M97" s="34"/>
    </row>
    <row r="98" spans="1:22" s="240" customFormat="1" ht="11.25" customHeight="1" x14ac:dyDescent="0.25">
      <c r="A98" s="270"/>
      <c r="B98" s="42" t="s">
        <v>624</v>
      </c>
      <c r="C98" s="1056" t="s">
        <v>3235</v>
      </c>
      <c r="D98" s="139" t="str">
        <f>IF(NOT('4 Ope'!C87 = ""),'4 Ope'!C87,IF(COUNTIF('4 Ope'!C88:C95,"&gt;=0")=0,"", MIN(MAX(SUMPRODUCT('4 Ope'!C88:C95,'4 Ope'!$G88:$G95)*4/(SUM('4 Ope'!$G88:$G95) - SUMIF('4 Ope'!C88:C95,"X",'4 Ope'!$G88:$G95)),MAX('4 Ope'!AA88:AA95)),MIN('4 Ope'!AE88:AE95))))</f>
        <v/>
      </c>
      <c r="E98" s="139" t="str">
        <f>IF(NOT('4 Ope'!D87 = ""),'4 Ope'!D87,IF(COUNTIF('4 Ope'!D88:D95,"&gt;=0")=0,"", MIN(MAX(SUMPRODUCT('4 Ope'!D88:D95,'4 Ope'!$G88:$G95)*4/(SUM('4 Ope'!$G88:$G95) - SUMIF('4 Ope'!D88:D95,"X",'4 Ope'!$G88:$G95)),MAX('4 Ope'!AB88:AB95)),MIN('4 Ope'!AF88:AF95))))</f>
        <v/>
      </c>
      <c r="F98" s="139" t="str">
        <f>IF(NOT('4 Ope'!E87 = ""),'4 Ope'!E87,IF(COUNTIF('4 Ope'!E88:E95,"&gt;=0")=0,"", MIN(MAX(SUMPRODUCT('4 Ope'!E88:E95,'4 Ope'!$G88:$G95)*4/(SUM('4 Ope'!$G88:$G95) - SUMIF('4 Ope'!E88:E95,"X",'4 Ope'!$G88:$G95)),MAX('4 Ope'!AC88:AC95)),MIN('4 Ope'!AG88:AG95))))</f>
        <v/>
      </c>
      <c r="G98" s="139" t="str">
        <f>IF(NOT('4 Ope'!F87 = ""),'4 Ope'!F87,IF(COUNTIF('4 Ope'!F88:F95,"&gt;=0")=0,"", MIN(MAX(SUMPRODUCT('4 Ope'!F88:F95,'4 Ope'!$G88:$G95)*4/(SUM('4 Ope'!$G88:$G95) - SUMIF('4 Ope'!F88:F95,"X",'4 Ope'!$G88:$G95)),MAX('4 Ope'!AD88:AD95)),MIN('4 Ope'!AH88:AH95))))</f>
        <v/>
      </c>
      <c r="H98" s="447">
        <f t="shared" si="8"/>
        <v>1</v>
      </c>
      <c r="I98" s="16" t="str">
        <f>IF(OR(Projets!C38 = 1, Projets!D38 = 1), IF(IndG = 3, Projets!I38,IF(AND(IndG = 4,NOT(Projets!F38= ""), Projets!F38&lt;dateanal ),Projets!I38, "")),"")</f>
        <v/>
      </c>
      <c r="J98" s="448">
        <f t="shared" si="9"/>
        <v>1</v>
      </c>
      <c r="L98" s="1163">
        <v>8</v>
      </c>
      <c r="M98" s="34"/>
      <c r="N98" s="734"/>
    </row>
    <row r="99" spans="1:22" s="240" customFormat="1" ht="11.25" customHeight="1" x14ac:dyDescent="0.25">
      <c r="A99" s="270"/>
      <c r="B99" s="38" t="s">
        <v>623</v>
      </c>
      <c r="C99" s="285" t="s">
        <v>1029</v>
      </c>
      <c r="D99" s="139" t="str">
        <f>IF(NOT('4 Ope'!C97 = ""),'4 Ope'!C97,IF(COUNTIF('4 Ope'!C98:C110,"&gt;=0")=0,"", MIN(MAX(SUMPRODUCT('4 Ope'!C98:C110,'4 Ope'!$G98:$G110)*4/(SUM('4 Ope'!$G98:$G110) - SUMIF('4 Ope'!C98:C110,"X",'4 Ope'!$G98:$G110)),MAX('4 Ope'!AA98:AA110)),MIN('4 Ope'!AE98:AE110))))</f>
        <v/>
      </c>
      <c r="E99" s="139" t="str">
        <f>IF(NOT('4 Ope'!D97 = ""),'4 Ope'!D97,IF(COUNTIF('4 Ope'!D98:D110,"&gt;=0")=0,"", MIN(MAX(SUMPRODUCT('4 Ope'!D98:D110,'4 Ope'!$G98:$G110)*4/(SUM('4 Ope'!$G98:$G110) - SUMIF('4 Ope'!D98:D110,"X",'4 Ope'!$G98:$G110)),MAX('4 Ope'!AB98:AB110)),MIN('4 Ope'!AF98:AF110))))</f>
        <v/>
      </c>
      <c r="F99" s="139" t="str">
        <f>IF(NOT('4 Ope'!E97 = ""),'4 Ope'!E97,IF(COUNTIF('4 Ope'!E98:E110,"&gt;=0")=0,"", MIN(MAX(SUMPRODUCT('4 Ope'!E98:E110,'4 Ope'!$G98:$G110)*4/(SUM('4 Ope'!$G98:$G110) - SUMIF('4 Ope'!E98:E110,"X",'4 Ope'!$G98:$G110)),MAX('4 Ope'!AC98:AC110)),MIN('4 Ope'!AG98:AG110))))</f>
        <v/>
      </c>
      <c r="G99" s="139" t="str">
        <f>IF(NOT('4 Ope'!F97 = ""),'4 Ope'!F97,IF(COUNTIF('4 Ope'!F98:F110,"&gt;=0")=0,"", MIN(MAX(SUMPRODUCT('4 Ope'!F98:F110,'4 Ope'!$G98:$G110)*4/(SUM('4 Ope'!$G98:$G110) - SUMIF('4 Ope'!F98:F110,"X",'4 Ope'!$G98:$G110)),MAX('4 Ope'!AD98:AD110)),MIN('4 Ope'!AH98:AH110))))</f>
        <v/>
      </c>
      <c r="H99" s="447">
        <f t="shared" si="8"/>
        <v>1</v>
      </c>
      <c r="I99" s="16" t="str">
        <f>IF(OR(Projets!C36 = 1, Projets!D36 = 1), IF(IndG = 3, Projets!L36,IF(AND(IndG = 4,NOT(Projets!F36= ""), Projets!F36&lt;dateanal ),Projets!L36, "")),"")</f>
        <v/>
      </c>
      <c r="J99" s="448">
        <f t="shared" si="9"/>
        <v>1</v>
      </c>
      <c r="L99" s="1163">
        <v>13</v>
      </c>
      <c r="M99" s="34"/>
    </row>
    <row r="100" spans="1:22" s="34" customFormat="1" ht="12" customHeight="1" x14ac:dyDescent="0.25">
      <c r="A100" s="270"/>
      <c r="B100" s="38" t="s">
        <v>631</v>
      </c>
      <c r="C100" s="36" t="s">
        <v>1045</v>
      </c>
      <c r="D100" s="139" t="str">
        <f>IF(NOT('4 Ope'!C111 = ""),'4 Ope'!C111,IF(COUNTIF('4 Ope'!C112:C121,"&gt;=0")=0,"", MIN(MAX(SUMPRODUCT('4 Ope'!C112:C121,'4 Ope'!$G112:$G121)*4/(SUM('4 Ope'!$G112:$G121) - SUMIF('4 Ope'!C112:C121,"X",'4 Ope'!$G112:$G121)),MAX('4 Ope'!AA112:AA121)),MIN('4 Ope'!AE112:AE121))))</f>
        <v/>
      </c>
      <c r="E100" s="139" t="str">
        <f>IF(NOT('4 Ope'!D111 = ""),'4 Ope'!D111,IF(COUNTIF('4 Ope'!D112:D121,"&gt;=0")=0,"", MIN(MAX(SUMPRODUCT('4 Ope'!D112:D121,'4 Ope'!$G112:$G121)*4/(SUM('4 Ope'!$G112:$G121) - SUMIF('4 Ope'!D112:D121,"X",'4 Ope'!$G112:$G121)),MAX('4 Ope'!AB112:AB121)),MIN('4 Ope'!AF112:AF121))))</f>
        <v/>
      </c>
      <c r="F100" s="139" t="str">
        <f>IF(NOT('4 Ope'!E111 = ""),'4 Ope'!E111,IF(COUNTIF('4 Ope'!E112:E121,"&gt;=0")=0,"", MIN(MAX(SUMPRODUCT('4 Ope'!E112:E121,'4 Ope'!$G112:$G121)*4/(SUM('4 Ope'!$G112:$G121) - SUMIF('4 Ope'!E112:E121,"X",'4 Ope'!$G112:$G121)),MAX('4 Ope'!AC112:AC121)),MIN('4 Ope'!AG112:AG121))))</f>
        <v/>
      </c>
      <c r="G100" s="139" t="str">
        <f>IF(NOT('4 Ope'!F111 = ""),'4 Ope'!F111,IF(COUNTIF('4 Ope'!F112:F121,"&gt;=0")=0,"", MIN(MAX(SUMPRODUCT('4 Ope'!F112:F121,'4 Ope'!$G112:$G121)*4/(SUM('4 Ope'!$G112:$G121) - SUMIF('4 Ope'!F112:F121,"X",'4 Ope'!$G112:$G121)),MAX('4 Ope'!AD112:AD121)),MIN('4 Ope'!AH112:AH121))))</f>
        <v/>
      </c>
      <c r="H100" s="447">
        <f t="shared" si="8"/>
        <v>1</v>
      </c>
      <c r="I100" s="16"/>
      <c r="J100" s="448">
        <f t="shared" si="9"/>
        <v>1</v>
      </c>
      <c r="L100" s="1163">
        <v>10</v>
      </c>
    </row>
    <row r="101" spans="1:22" s="240" customFormat="1" ht="12" customHeight="1" x14ac:dyDescent="0.25">
      <c r="A101" s="270"/>
      <c r="B101" s="38" t="s">
        <v>1056</v>
      </c>
      <c r="C101" s="285" t="s">
        <v>1396</v>
      </c>
      <c r="D101" s="139" t="str">
        <f>IF(NOT('4 Ope'!C122 = ""),'4 Ope'!C122,IF(COUNTIF('4 Ope'!C123:C125,"&gt;=0")=0,"", MIN(MAX(SUMPRODUCT('4 Ope'!C123:C125,'4 Ope'!$G123:$G125)*4/(SUM('4 Ope'!$G123:$G125) - SUMIF('4 Ope'!C123:C125,"X",'4 Ope'!$G123:$G125)),MAX('4 Ope'!AA123:AA125)),MIN('4 Ope'!AE123:AE125))))</f>
        <v/>
      </c>
      <c r="E101" s="139" t="str">
        <f>IF(NOT('4 Ope'!D122 = ""),'4 Ope'!D122,IF(COUNTIF('4 Ope'!D123:D125,"&gt;=0")=0,"", MIN(MAX(SUMPRODUCT('4 Ope'!D123:D125,'4 Ope'!$G123:$G125)*4/(SUM('4 Ope'!$G123:$G125) - SUMIF('4 Ope'!D123:D125,"X",'4 Ope'!$G123:$G125)),MAX('4 Ope'!AB123:AB125)),MIN('4 Ope'!AF123:AF125))))</f>
        <v/>
      </c>
      <c r="F101" s="139" t="str">
        <f>IF(NOT('4 Ope'!E122 = ""),'4 Ope'!E122,IF(COUNTIF('4 Ope'!E123:E125,"&gt;=0")=0,"", MIN(MAX(SUMPRODUCT('4 Ope'!E123:E125,'4 Ope'!$G123:$G125)*4/(SUM('4 Ope'!$G123:$G125) - SUMIF('4 Ope'!E123:E125,"X",'4 Ope'!$G123:$G125)),MAX('4 Ope'!AC123:AC125)),MIN('4 Ope'!AG123:AG125))))</f>
        <v/>
      </c>
      <c r="G101" s="139" t="str">
        <f>IF(NOT('4 Ope'!F122 = ""),'4 Ope'!F122,IF(COUNTIF('4 Ope'!F123:F125,"&gt;=0")=0,"", MIN(MAX(SUMPRODUCT('4 Ope'!F123:F125,'4 Ope'!$G123:$G125)*4/(SUM('4 Ope'!$G123:$G125) - SUMIF('4 Ope'!F123:F125,"X",'4 Ope'!$G123:$G125)),MAX('4 Ope'!AD123:AD125)),MIN('4 Ope'!AH123:AH125))))</f>
        <v/>
      </c>
      <c r="H101" s="447">
        <f t="shared" si="8"/>
        <v>1</v>
      </c>
      <c r="I101" s="16"/>
      <c r="J101" s="448">
        <f t="shared" si="9"/>
        <v>1</v>
      </c>
      <c r="L101" s="1163">
        <v>3</v>
      </c>
      <c r="M101" s="34"/>
    </row>
    <row r="102" spans="1:22" s="240" customFormat="1" ht="13.5" customHeight="1" x14ac:dyDescent="0.25">
      <c r="A102" s="270"/>
      <c r="B102" s="38" t="s">
        <v>1060</v>
      </c>
      <c r="C102" s="285" t="s">
        <v>4517</v>
      </c>
      <c r="D102" s="139" t="str">
        <f>IF(NOT('4 Ope'!C126 = ""),'4 Ope'!C126,IF(COUNTIF('4 Ope'!C127:C134,"&gt;=0")=0,"", MIN(MAX(SUMPRODUCT('4 Ope'!C127:C134,'4 Ope'!$G127:$G134)*4/(SUM('4 Ope'!$G127:$G134) - SUMIF('4 Ope'!C127:C134,"X",'4 Ope'!$G127:$G134)),MAX('4 Ope'!AA127:AA134)),MIN('4 Ope'!AE127:AE134))))</f>
        <v/>
      </c>
      <c r="E102" s="139" t="str">
        <f>IF(NOT('4 Ope'!D126 = ""),'4 Ope'!D126,IF(COUNTIF('4 Ope'!D127:D134,"&gt;=0")=0,"", MIN(MAX(SUMPRODUCT('4 Ope'!D127:D134,'4 Ope'!$G127:$G134)*4/(SUM('4 Ope'!$G127:$G134) - SUMIF('4 Ope'!D127:D134,"X",'4 Ope'!$G127:$G134)),MAX('4 Ope'!AB127:AB134)),MIN('4 Ope'!AF127:AF134))))</f>
        <v/>
      </c>
      <c r="F102" s="139" t="str">
        <f>IF(NOT('4 Ope'!E126 = ""),'4 Ope'!E126,IF(COUNTIF('4 Ope'!E127:E134,"&gt;=0")=0,"", MIN(MAX(SUMPRODUCT('4 Ope'!E127:E134,'4 Ope'!$G127:$G134)*4/(SUM('4 Ope'!$G127:$G134) - SUMIF('4 Ope'!E127:E134,"X",'4 Ope'!$G127:$G134)),MAX('4 Ope'!AC127:AC134)),MIN('4 Ope'!AG127:AG134))))</f>
        <v/>
      </c>
      <c r="G102" s="139" t="str">
        <f>IF(NOT('4 Ope'!F126 = ""),'4 Ope'!F126,IF(COUNTIF('4 Ope'!F127:F134,"&gt;=0")=0,"", MIN(MAX(SUMPRODUCT('4 Ope'!F127:F134,'4 Ope'!$G127:$G134)*4/(SUM('4 Ope'!$G127:$G134) - SUMIF('4 Ope'!F127:F134,"X",'4 Ope'!$G127:$G134)),MAX('4 Ope'!AD127:AD134)),MIN('4 Ope'!AH127:AH134))))</f>
        <v/>
      </c>
      <c r="H102" s="447">
        <f t="shared" si="8"/>
        <v>1</v>
      </c>
      <c r="I102" s="16" t="str">
        <f>IF(OR(Projets!C33 = 1, Projets!D33 = 1), IF(IndG = 3, Projets!L33,IF(AND(IndG = 4,NOT(Projets!F33= ""), Projets!F33&lt;dateanal ),Projets!L33, "")),"")</f>
        <v/>
      </c>
      <c r="J102" s="448">
        <f t="shared" si="9"/>
        <v>1</v>
      </c>
      <c r="L102" s="1163">
        <v>8</v>
      </c>
      <c r="M102" s="34"/>
    </row>
    <row r="103" spans="1:22" s="34" customFormat="1" ht="12" customHeight="1" x14ac:dyDescent="0.25">
      <c r="A103" s="272"/>
      <c r="B103" s="35" t="s">
        <v>233</v>
      </c>
      <c r="C103" s="37"/>
      <c r="D103" s="139"/>
      <c r="E103" s="139"/>
      <c r="F103" s="139"/>
      <c r="G103" s="139"/>
      <c r="H103" s="447"/>
      <c r="I103" s="16"/>
      <c r="J103" s="448"/>
      <c r="L103" s="1162"/>
    </row>
    <row r="104" spans="1:22" s="34" customFormat="1" ht="14.25" customHeight="1" x14ac:dyDescent="0.25">
      <c r="A104" s="272"/>
      <c r="B104" s="38" t="s">
        <v>627</v>
      </c>
      <c r="C104" s="36" t="s">
        <v>4534</v>
      </c>
      <c r="D104" s="139" t="str">
        <f>IF(NOT('4 Ope'!C136 = ""),'4 Ope'!C136,IF(COUNTIF('4 Ope'!C137:C148,"&gt;=0")=0,"", MIN(MAX(SUMPRODUCT('4 Ope'!C137:C148,'4 Ope'!$G137:$G148)*4/(SUM('4 Ope'!$G137:$G148) - SUMIF('4 Ope'!C137:C148,"X",'4 Ope'!$G137:$G148)),MAX('4 Ope'!AA137:AA148)),MIN('4 Ope'!AE137:AE148))))</f>
        <v/>
      </c>
      <c r="E104" s="139" t="str">
        <f>IF(NOT('4 Ope'!D136 = ""),'4 Ope'!D136,IF(COUNTIF('4 Ope'!D137:D148,"&gt;=0")=0,"", MIN(MAX(SUMPRODUCT('4 Ope'!D137:D148,'4 Ope'!$G137:$G148)*4/(SUM('4 Ope'!$G137:$G148) - SUMIF('4 Ope'!D137:D148,"X",'4 Ope'!$G137:$G148)),MAX('4 Ope'!AB137:AB148)),MIN('4 Ope'!AF137:AF148))))</f>
        <v/>
      </c>
      <c r="F104" s="139" t="str">
        <f>IF(NOT('4 Ope'!E136 = ""),'4 Ope'!E136,IF(COUNTIF('4 Ope'!E137:E148,"&gt;=0")=0,"", MIN(MAX(SUMPRODUCT('4 Ope'!E137:E148,'4 Ope'!$G137:$G148)*4/(SUM('4 Ope'!$G137:$G148) - SUMIF('4 Ope'!E137:E148,"X",'4 Ope'!$G137:$G148)),MAX('4 Ope'!AC137:AC148)),MIN('4 Ope'!AG137:AG148))))</f>
        <v/>
      </c>
      <c r="G104" s="139" t="str">
        <f>IF(NOT('4 Ope'!F136 = ""),'4 Ope'!F136,IF(COUNTIF('4 Ope'!F137:F148,"&gt;=0")=0,"", MIN(MAX(SUMPRODUCT('4 Ope'!F137:F148,'4 Ope'!$G137:$G148)*4/(SUM('4 Ope'!$G137:$G148) - SUMIF('4 Ope'!F137:F148,"X",'4 Ope'!$G137:$G148)),MAX('4 Ope'!AD137:AD148)),MIN('4 Ope'!AH137:AH148))))</f>
        <v/>
      </c>
      <c r="H104" s="447">
        <f>IF(AND(OR(D104="X",D104=""),OR(E104="X",E104=""),OR(F104="X",F104=""),OR(G104="X",G104="")),1,ROUND(MIN(IF(OR(D104="",D104="X"),4,D104),IF(OR(E104="",E104="X"),4,E104),IF(OR(F104="",F104="X"),4,F104),IF(OR(G104="",G104="X"),4,G104)),0))</f>
        <v>1</v>
      </c>
      <c r="I104" s="16" t="str">
        <f>IF(OR(Projets!C32 = 1, Projets!D32 = 1), IF(IndG = 3, Projets!I32,IF(AND(IndG = 4,NOT(Projets!F32= ""), Projets!F32&lt;dateanal ),Projets!I32, "")),"")</f>
        <v/>
      </c>
      <c r="J104" s="448">
        <f>IF(IF(IndG&gt;=3,MAX(H104,I104),H104)&lt;1,1,IF(IndG&gt;=3,MAX(H104,I104),H104))</f>
        <v>1</v>
      </c>
      <c r="L104" s="1163">
        <v>12</v>
      </c>
      <c r="U104" s="34">
        <f>IF(INDEX(Tab_actions,70,1)=1,INDEX(Tab_actions,70,8),0)</f>
        <v>0</v>
      </c>
    </row>
    <row r="105" spans="1:22" s="34" customFormat="1" ht="12" customHeight="1" x14ac:dyDescent="0.25">
      <c r="A105" s="270"/>
      <c r="B105" s="246" t="s">
        <v>488</v>
      </c>
      <c r="C105" s="49"/>
      <c r="D105" s="452"/>
      <c r="E105" s="452"/>
      <c r="F105" s="452"/>
      <c r="G105" s="452"/>
      <c r="H105" s="237"/>
      <c r="I105" s="16"/>
      <c r="J105" s="448"/>
      <c r="L105" s="1162"/>
    </row>
    <row r="106" spans="1:22" s="240" customFormat="1" ht="24" customHeight="1" x14ac:dyDescent="0.25">
      <c r="A106" s="270"/>
      <c r="B106" s="38" t="s">
        <v>619</v>
      </c>
      <c r="C106" s="36" t="s">
        <v>1079</v>
      </c>
      <c r="D106" s="139" t="str">
        <f>IF(NOT('4 Ope'!C154 = ""),'4 Ope'!C154,IF(COUNTIF('4 Ope'!C155:C170,"&gt;=0")=0,"", MIN(MAX(SUMPRODUCT('4 Ope'!C155:C170,'4 Ope'!$G155:$G170)*4/(SUM('4 Ope'!$G155:$G170) - SUMIF('4 Ope'!C155:C170,"X",'4 Ope'!$G155:$G170)),MAX('4 Ope'!AA155:AA170)),MIN('4 Ope'!AE155:AE170))))</f>
        <v/>
      </c>
      <c r="E106" s="139" t="str">
        <f>IF(NOT('4 Ope'!D154 = ""),'4 Ope'!D154,IF(COUNTIF('4 Ope'!D155:D170,"&gt;=0")=0,"", MIN(MAX(SUMPRODUCT('4 Ope'!D155:D170,'4 Ope'!$G155:$G170)*4/(SUM('4 Ope'!$G155:$G170) - SUMIF('4 Ope'!D155:D170,"X",'4 Ope'!$G155:$G170)),MAX('4 Ope'!AB155:AB170)),MIN('4 Ope'!AF155:AF170))))</f>
        <v/>
      </c>
      <c r="F106" s="139" t="str">
        <f>IF(NOT('4 Ope'!E154 = ""),'4 Ope'!E154,IF(COUNTIF('4 Ope'!E155:E170,"&gt;=0")=0,"", MIN(MAX(SUMPRODUCT('4 Ope'!E155:E170,'4 Ope'!$G155:$G170)*4/(SUM('4 Ope'!$G155:$G170) - SUMIF('4 Ope'!E155:E170,"X",'4 Ope'!$G155:$G170)),MAX('4 Ope'!AC155:AC170)),MIN('4 Ope'!AG155:AG170))))</f>
        <v/>
      </c>
      <c r="G106" s="139" t="str">
        <f>IF(NOT('4 Ope'!F154 = ""),'4 Ope'!F154,IF(COUNTIF('4 Ope'!F155:F170,"&gt;=0")=0,"", MIN(MAX(SUMPRODUCT('4 Ope'!F155:F170,'4 Ope'!$G155:$G170)*4/(SUM('4 Ope'!$G155:$G170) - SUMIF('4 Ope'!F155:F170,"X",'4 Ope'!$G155:$G170)),MAX('4 Ope'!AD155:AD170)),MIN('4 Ope'!AH155:AH170))))</f>
        <v/>
      </c>
      <c r="H106" s="447">
        <f t="shared" ref="H106:H111" si="10">IF(AND(OR(D106="X",D106=""),OR(E106="X",E106=""),OR(F106="X",F106=""),OR(G106="X",G106="")),1,ROUND(MIN(IF(OR(D106="",D106="X"),4,D106),IF(OR(E106="",E106="X"),4,E106),IF(OR(F106="",F106="X"),4,F106),IF(OR(G106="",G106="X"),4,G106)),0))</f>
        <v>1</v>
      </c>
      <c r="I106" s="16" t="str">
        <f>IF(OR(Projets!C4 = 1, Projets!D4 = 1), IF(IndG = 3, Projets!I4,IF(AND(IndG = 4,NOT(Projets!F4= ""), Projets!F4&lt;dateanal ),Projets!I4, "")),"")</f>
        <v/>
      </c>
      <c r="J106" s="448">
        <f t="shared" ref="J106:J111" si="11">IF(IF(IndG&gt;=3,MAX(H106,I106),H106)&lt;1,1,IF(IndG&gt;=3,MAX(H106,I106),H106))</f>
        <v>1</v>
      </c>
      <c r="L106" s="1163">
        <v>16</v>
      </c>
      <c r="M106" s="34"/>
    </row>
    <row r="107" spans="1:22" s="34" customFormat="1" ht="12.75" customHeight="1" x14ac:dyDescent="0.25">
      <c r="A107" s="270"/>
      <c r="B107" s="38" t="s">
        <v>633</v>
      </c>
      <c r="C107" s="36" t="s">
        <v>137</v>
      </c>
      <c r="D107" s="139" t="str">
        <f>IF(NOT('4 Ope'!C171 = ""),'4 Ope'!C171,IF(COUNTIF('4 Ope'!C172:C181,"&gt;=0")=0,"", MIN(MAX(SUMPRODUCT('4 Ope'!C172:C181,'4 Ope'!$G172:$G181)*4/(SUM('4 Ope'!$G172:$G181) - SUMIF('4 Ope'!C172:C181,"X",'4 Ope'!$G172:$G181)),MAX('4 Ope'!AA172:AA181)),MIN('4 Ope'!AE172:AE181))))</f>
        <v/>
      </c>
      <c r="E107" s="139" t="str">
        <f>IF(NOT('4 Ope'!D171 = ""),'4 Ope'!D171,IF(COUNTIF('4 Ope'!D172:D181,"&gt;=0")=0,"", MIN(MAX(SUMPRODUCT('4 Ope'!D172:D181,'4 Ope'!$G172:$G181)*4/(SUM('4 Ope'!$G172:$G181) - SUMIF('4 Ope'!D172:D181,"X",'4 Ope'!$G172:$G181)),MAX('4 Ope'!AB172:AB181)),MIN('4 Ope'!AF172:AF181))))</f>
        <v/>
      </c>
      <c r="F107" s="139" t="str">
        <f>IF(NOT('4 Ope'!E171 = ""),'4 Ope'!E171,IF(COUNTIF('4 Ope'!E172:E181,"&gt;=0")=0,"", MIN(MAX(SUMPRODUCT('4 Ope'!E172:E181,'4 Ope'!$G172:$G181)*4/(SUM('4 Ope'!$G172:$G181) - SUMIF('4 Ope'!E172:E181,"X",'4 Ope'!$G172:$G181)),MAX('4 Ope'!AC172:AC181)),MIN('4 Ope'!AG172:AG181))))</f>
        <v/>
      </c>
      <c r="G107" s="139" t="str">
        <f>IF(NOT('4 Ope'!F171 = ""),'4 Ope'!F171,IF(COUNTIF('4 Ope'!F172:F181,"&gt;=0")=0,"", MIN(MAX(SUMPRODUCT('4 Ope'!F172:F181,'4 Ope'!$G172:$G181)*4/(SUM('4 Ope'!$G172:$G181) - SUMIF('4 Ope'!F172:F181,"X",'4 Ope'!$G172:$G181)),MAX('4 Ope'!AD172:AD181)),MIN('4 Ope'!AH172:AH181))))</f>
        <v/>
      </c>
      <c r="H107" s="447">
        <f t="shared" si="10"/>
        <v>1</v>
      </c>
      <c r="I107" s="16" t="str">
        <f>IF(OR(Projets!C58 = 1, Projets!D58 = 1), IF(IndG = 3, Projets!I58,IF(AND(IndG = 4,NOT(Projets!F58= ""), Projets!F58&lt;dateanal ),Projets!I58, "")),"")</f>
        <v/>
      </c>
      <c r="J107" s="448">
        <f t="shared" si="11"/>
        <v>1</v>
      </c>
      <c r="L107" s="1163">
        <v>10</v>
      </c>
    </row>
    <row r="108" spans="1:22" s="240" customFormat="1" ht="12.75" customHeight="1" x14ac:dyDescent="0.25">
      <c r="A108" s="270"/>
      <c r="B108" s="38" t="s">
        <v>620</v>
      </c>
      <c r="C108" s="36" t="s">
        <v>756</v>
      </c>
      <c r="D108" s="139" t="str">
        <f>IF(NOT('4 Ope'!C182 = ""),'4 Ope'!C182,IF(COUNTIF('4 Ope'!C183:C196,"&gt;=0")=0,"", MIN(MAX(SUMPRODUCT('4 Ope'!C183:C196,'4 Ope'!$G183:$G196)*4/(SUM('4 Ope'!$G183:$G196) - SUMIF('4 Ope'!C183:C196,"X",'4 Ope'!$G183:$G196)),MAX('4 Ope'!AA183:AA196)),MIN('4 Ope'!AE183:AE196))))</f>
        <v/>
      </c>
      <c r="E108" s="139" t="str">
        <f>IF(NOT('4 Ope'!D182 = ""),'4 Ope'!D182,IF(COUNTIF('4 Ope'!D183:D196,"&gt;=0")=0,"", MIN(MAX(SUMPRODUCT('4 Ope'!D183:D196,'4 Ope'!$G183:$G196)*4/(SUM('4 Ope'!$G183:$G196) - SUMIF('4 Ope'!D183:D196,"X",'4 Ope'!$G183:$G196)),MAX('4 Ope'!AB183:AB196)),MIN('4 Ope'!AF183:AF196))))</f>
        <v/>
      </c>
      <c r="F108" s="139" t="str">
        <f>IF(NOT('4 Ope'!E182 = ""),'4 Ope'!E182,IF(COUNTIF('4 Ope'!E183:E196,"&gt;=0")=0,"", MIN(MAX(SUMPRODUCT('4 Ope'!E183:E196,'4 Ope'!$G183:$G196)*4/(SUM('4 Ope'!$G183:$G196) - SUMIF('4 Ope'!E183:E196,"X",'4 Ope'!$G183:$G196)),MAX('4 Ope'!AC183:AC196)),MIN('4 Ope'!AG183:AG196))))</f>
        <v/>
      </c>
      <c r="G108" s="139" t="str">
        <f>IF(NOT('4 Ope'!F182 = ""),'4 Ope'!F182,IF(COUNTIF('4 Ope'!F183:F196,"&gt;=0")=0,"", MIN(MAX(SUMPRODUCT('4 Ope'!F183:F196,'4 Ope'!$G183:$G196)*4/(SUM('4 Ope'!$G183:$G196) - SUMIF('4 Ope'!F183:F196,"X",'4 Ope'!$G183:$G196)),MAX('4 Ope'!AD183:AD196)),MIN('4 Ope'!AH183:AH196))))</f>
        <v/>
      </c>
      <c r="H108" s="447">
        <f t="shared" si="10"/>
        <v>1</v>
      </c>
      <c r="I108" s="16" t="str">
        <f>IF(OR(Projets!C13 = 1, Projets!D13 = 1), IF(IndG = 3, Projets!I13,IF(AND(IndG = 4,NOT(Projets!F13= ""), Projets!F13&lt;dateanal ),Projets!I13, "")),"")</f>
        <v/>
      </c>
      <c r="J108" s="448">
        <f t="shared" si="11"/>
        <v>1</v>
      </c>
      <c r="L108" s="1163">
        <v>14</v>
      </c>
      <c r="M108" s="34"/>
      <c r="U108" s="240">
        <f>IF(INDEX(Tab_actions,57,1)=1,INDEX(Tab_actions,57,4),0)</f>
        <v>0</v>
      </c>
      <c r="V108" s="240">
        <f>IF(INDEX(Tab_actions,103,1)=1,INDEX(Tab_actions,103,4),0)</f>
        <v>0</v>
      </c>
    </row>
    <row r="109" spans="1:22" s="34" customFormat="1" ht="12.75" customHeight="1" x14ac:dyDescent="0.25">
      <c r="A109" s="272"/>
      <c r="B109" s="38" t="s">
        <v>755</v>
      </c>
      <c r="C109" s="36" t="s">
        <v>757</v>
      </c>
      <c r="D109" s="139" t="str">
        <f>IF(NOT('4 Ope'!C197 = ""),'4 Ope'!C197,IF(COUNTIF('4 Ope'!C198:C212,"&gt;=0")=0,"", MIN(MAX(SUMPRODUCT('4 Ope'!C198:C212,'4 Ope'!$G198:$G212)*4/(SUM('4 Ope'!$G198:$G212) - SUMIF('4 Ope'!C198:C212,"X",'4 Ope'!$G198:$G212)),MAX('4 Ope'!AA198:AA212)),MIN('4 Ope'!AE198:AE212))))</f>
        <v/>
      </c>
      <c r="E109" s="139" t="str">
        <f>IF(NOT('4 Ope'!D197 = ""),'4 Ope'!D197,IF(COUNTIF('4 Ope'!D198:D212,"&gt;=0")=0,"", MIN(MAX(SUMPRODUCT('4 Ope'!D198:D212,'4 Ope'!$G198:$G212)*4/(SUM('4 Ope'!$G198:$G212) - SUMIF('4 Ope'!D198:D212,"X",'4 Ope'!$G198:$G212)),MAX('4 Ope'!AB198:AB212)),MIN('4 Ope'!AF198:AF212))))</f>
        <v/>
      </c>
      <c r="F109" s="139" t="str">
        <f>IF(NOT('4 Ope'!E197 = ""),'4 Ope'!E197,IF(COUNTIF('4 Ope'!E198:E212,"&gt;=0")=0,"", MIN(MAX(SUMPRODUCT('4 Ope'!E198:E212,'4 Ope'!$G198:$G212)*4/(SUM('4 Ope'!$G198:$G212) - SUMIF('4 Ope'!E198:E212,"X",'4 Ope'!$G198:$G212)),MAX('4 Ope'!AC198:AC212)),MIN('4 Ope'!AG198:AG212))))</f>
        <v/>
      </c>
      <c r="G109" s="139" t="str">
        <f>IF(NOT('4 Ope'!F197 = ""),'4 Ope'!F197,IF(COUNTIF('4 Ope'!F198:F212,"&gt;=0")=0,"", MIN(MAX(SUMPRODUCT('4 Ope'!F198:F212,'4 Ope'!$G198:$G212)*4/(SUM('4 Ope'!$G198:$G212) - SUMIF('4 Ope'!F198:F212,"X",'4 Ope'!$G198:$G212)),MAX('4 Ope'!AD198:AD212)),MIN('4 Ope'!AH198:AH212))))</f>
        <v/>
      </c>
      <c r="H109" s="447">
        <f t="shared" si="10"/>
        <v>1</v>
      </c>
      <c r="I109" s="16" t="str">
        <f>IF(OR(Projets!C14 = 1, Projets!D14 = 1), IF(IndG = 3, Projets!I14,IF(AND(IndG = 4,NOT(Projets!F14= ""), Projets!F14&lt;dateanal ),Projets!I14, "")),"")</f>
        <v/>
      </c>
      <c r="J109" s="448">
        <f t="shared" si="11"/>
        <v>1</v>
      </c>
      <c r="L109" s="1163">
        <v>15</v>
      </c>
    </row>
    <row r="110" spans="1:22" s="34" customFormat="1" ht="12" customHeight="1" x14ac:dyDescent="0.25">
      <c r="A110" s="272"/>
      <c r="B110" s="38" t="s">
        <v>621</v>
      </c>
      <c r="C110" s="36" t="s">
        <v>505</v>
      </c>
      <c r="D110" s="139" t="str">
        <f>IF(NOT('4 Ope'!C213 = ""),'4 Ope'!C213,IF(COUNTIF('4 Ope'!C214:C220,"&gt;=0")=0,"", MIN(MAX(SUMPRODUCT('4 Ope'!C214:C220,'4 Ope'!$G214:$G220)*4/(SUM('4 Ope'!$G214:$G220) - SUMIF('4 Ope'!C214:C220,"X",'4 Ope'!$G214:$G220)),MAX('4 Ope'!AA214:AA220)),MIN('4 Ope'!AE214:AE220))))</f>
        <v/>
      </c>
      <c r="E110" s="139" t="str">
        <f>IF(NOT('4 Ope'!D213 = ""),'4 Ope'!D213,IF(COUNTIF('4 Ope'!D214:D220,"&gt;=0")=0,"", MIN(MAX(SUMPRODUCT('4 Ope'!D214:D220,'4 Ope'!$G214:$G220)*4/(SUM('4 Ope'!$G214:$G220) - SUMIF('4 Ope'!D214:D220,"X",'4 Ope'!$G214:$G220)),MAX('4 Ope'!AB214:AB220)),MIN('4 Ope'!AF214:AF220))))</f>
        <v/>
      </c>
      <c r="F110" s="139" t="str">
        <f>IF(NOT('4 Ope'!E213 = ""),'4 Ope'!E213,IF(COUNTIF('4 Ope'!E214:E220,"&gt;=0")=0,"", MIN(MAX(SUMPRODUCT('4 Ope'!E214:E220,'4 Ope'!$G214:$G220)*4/(SUM('4 Ope'!$G214:$G220) - SUMIF('4 Ope'!E214:E220,"X",'4 Ope'!$G214:$G220)),MAX('4 Ope'!AC214:AC220)),MIN('4 Ope'!AG214:AG220))))</f>
        <v/>
      </c>
      <c r="G110" s="139" t="str">
        <f>IF(NOT('4 Ope'!F213 = ""),'4 Ope'!F213,IF(COUNTIF('4 Ope'!F214:F220,"&gt;=0")=0,"", MIN(MAX(SUMPRODUCT('4 Ope'!F214:F220,'4 Ope'!$G214:$G220)*4/(SUM('4 Ope'!$G214:$G220) - SUMIF('4 Ope'!F214:F220,"X",'4 Ope'!$G214:$G220)),MAX('4 Ope'!AD214:AD220)),MIN('4 Ope'!AH214:AH220))))</f>
        <v/>
      </c>
      <c r="H110" s="447">
        <f t="shared" si="10"/>
        <v>1</v>
      </c>
      <c r="I110" s="16" t="str">
        <f>IF(OR(Projets!C38 = 1, Projets!D38 = 1), IF(IndG = 3, Projets!L38,IF(AND(IndG = 4,NOT(Projets!F38= ""), Projets!F38&lt;dateanal ),Projets!L38, "")),"")</f>
        <v/>
      </c>
      <c r="J110" s="448">
        <f t="shared" si="11"/>
        <v>1</v>
      </c>
      <c r="L110" s="1163">
        <v>7</v>
      </c>
    </row>
    <row r="111" spans="1:22" s="240" customFormat="1" ht="12" customHeight="1" x14ac:dyDescent="0.25">
      <c r="A111" s="270"/>
      <c r="B111" s="38" t="s">
        <v>634</v>
      </c>
      <c r="C111" s="36" t="s">
        <v>4528</v>
      </c>
      <c r="D111" s="139" t="str">
        <f>IF(NOT('4 Ope'!C221 = ""),'4 Ope'!C221,IF(COUNTIF('4 Ope'!C222:C230,"&gt;=0")=0,"", MIN(MAX(SUMPRODUCT('4 Ope'!C222:C230,'4 Ope'!$G222:$G230)*4/(SUM('4 Ope'!$G222:$G230) - SUMIF('4 Ope'!C222:C230,"X",'4 Ope'!$G222:$G230)),MAX('4 Ope'!AA222:AA230)),MIN('4 Ope'!AE222:AE230))))</f>
        <v/>
      </c>
      <c r="E111" s="139" t="str">
        <f>IF(NOT('4 Ope'!D221 = ""),'4 Ope'!D221,IF(COUNTIF('4 Ope'!D222:D230,"&gt;=0")=0,"", MIN(MAX(SUMPRODUCT('4 Ope'!D222:D230,'4 Ope'!$G222:$G230)*4/(SUM('4 Ope'!$G222:$G230) - SUMIF('4 Ope'!D222:D230,"X",'4 Ope'!$G222:$G230)),MAX('4 Ope'!AB222:AB230)),MIN('4 Ope'!AF222:AF230))))</f>
        <v/>
      </c>
      <c r="F111" s="139" t="str">
        <f>IF(NOT('4 Ope'!E221 = ""),'4 Ope'!E221,IF(COUNTIF('4 Ope'!E222:E230,"&gt;=0")=0,"", MIN(MAX(SUMPRODUCT('4 Ope'!E222:E230,'4 Ope'!$G222:$G230)*4/(SUM('4 Ope'!$G222:$G230) - SUMIF('4 Ope'!E222:E230,"X",'4 Ope'!$G222:$G230)),MAX('4 Ope'!AC222:AC230)),MIN('4 Ope'!AG222:AG230))))</f>
        <v/>
      </c>
      <c r="G111" s="139" t="str">
        <f>IF(NOT('4 Ope'!F221 = ""),'4 Ope'!F221,IF(COUNTIF('4 Ope'!F222:F230,"&gt;=0")=0,"", MIN(MAX(SUMPRODUCT('4 Ope'!F222:F230,'4 Ope'!$G222:$G230)*4/(SUM('4 Ope'!$G222:$G230) - SUMIF('4 Ope'!F222:F230,"X",'4 Ope'!$G222:$G230)),MAX('4 Ope'!AD222:AD230)),MIN('4 Ope'!AH222:AH230))))</f>
        <v/>
      </c>
      <c r="H111" s="447">
        <f t="shared" si="10"/>
        <v>1</v>
      </c>
      <c r="I111" s="16"/>
      <c r="J111" s="448">
        <f t="shared" si="11"/>
        <v>1</v>
      </c>
      <c r="L111" s="1163">
        <v>9</v>
      </c>
      <c r="M111" s="34"/>
    </row>
    <row r="112" spans="1:22" s="34" customFormat="1" ht="12" customHeight="1" x14ac:dyDescent="0.25">
      <c r="A112" s="272"/>
      <c r="B112" s="35" t="s">
        <v>758</v>
      </c>
      <c r="C112" s="37"/>
      <c r="D112" s="139"/>
      <c r="E112" s="139"/>
      <c r="F112" s="139"/>
      <c r="G112" s="139"/>
      <c r="H112" s="447"/>
      <c r="I112" s="16"/>
      <c r="J112" s="448"/>
      <c r="L112" s="1162"/>
    </row>
    <row r="113" spans="1:13" s="34" customFormat="1" ht="14.25" customHeight="1" x14ac:dyDescent="0.25">
      <c r="A113" s="272"/>
      <c r="B113" s="38" t="s">
        <v>759</v>
      </c>
      <c r="C113" s="36" t="s">
        <v>196</v>
      </c>
      <c r="D113" s="139" t="str">
        <f>IF(NOT('4 Ope'!C232 = ""),'4 Ope'!C232,IF(COUNTIF('4 Ope'!C233:C242,"&gt;=0")=0,"", MIN(MAX(SUMPRODUCT('4 Ope'!C233:C242,'4 Ope'!$G233:$G242)*4/(SUM('4 Ope'!$G233:$G242) - SUMIF('4 Ope'!C233:C242,"X",'4 Ope'!$G233:$G242)),MAX('4 Ope'!AA233:AA242)),MIN('4 Ope'!AE233:AE242))))</f>
        <v/>
      </c>
      <c r="E113" s="139" t="str">
        <f>IF(NOT('4 Ope'!D232 = ""),'4 Ope'!D232,IF(COUNTIF('4 Ope'!D233:D242,"&gt;=0")=0,"", MIN(MAX(SUMPRODUCT('4 Ope'!D233:D242,'4 Ope'!$G233:$G242)*4/(SUM('4 Ope'!$G233:$G242) - SUMIF('4 Ope'!D233:D242,"X",'4 Ope'!$G233:$G242)),MAX('4 Ope'!AB233:AB242)),MIN('4 Ope'!AF233:AF242))))</f>
        <v/>
      </c>
      <c r="F113" s="139" t="str">
        <f>IF(NOT('4 Ope'!E232 = ""),'4 Ope'!E232,IF(COUNTIF('4 Ope'!E233:E242,"&gt;=0")=0,"", MIN(MAX(SUMPRODUCT('4 Ope'!E233:E242,'4 Ope'!$G233:$G242)*4/(SUM('4 Ope'!$G233:$G242) - SUMIF('4 Ope'!E233:E242,"X",'4 Ope'!$G233:$G242)),MAX('4 Ope'!AC233:AC242)),MIN('4 Ope'!AG233:AG242))))</f>
        <v/>
      </c>
      <c r="G113" s="139" t="str">
        <f>IF(NOT('4 Ope'!F232 = ""),'4 Ope'!F232,IF(COUNTIF('4 Ope'!F233:F242,"&gt;=0")=0,"", MIN(MAX(SUMPRODUCT('4 Ope'!F233:F242,'4 Ope'!$G233:$G242)*4/(SUM('4 Ope'!$G233:$G242) - SUMIF('4 Ope'!F233:F242,"X",'4 Ope'!$G233:$G242)),MAX('4 Ope'!AD233:AD242)),MIN('4 Ope'!AH233:AH242))))</f>
        <v/>
      </c>
      <c r="H113" s="447">
        <f>IF(AND(OR(D113="X",D113=""),OR(E113="X",E113=""),OR(F113="X",F113=""),OR(G113="X",G113="")),1,ROUND(MIN(IF(OR(D113="",D113="X"),4,D113),IF(OR(E113="",E113="X"),4,E113),IF(OR(F113="",F113="X"),4,F113),IF(OR(G113="",G113="X"),4,G113)),0))</f>
        <v>1</v>
      </c>
      <c r="I113" s="16"/>
      <c r="J113" s="448">
        <f>IF(IF(IndG&gt;=3,MAX(H113,I113),H113)&lt;1,1,IF(IndG&gt;=3,MAX(H113,I113),H113))</f>
        <v>1</v>
      </c>
      <c r="L113" s="1163">
        <v>10</v>
      </c>
    </row>
    <row r="114" spans="1:13" s="34" customFormat="1" ht="12.75" customHeight="1" x14ac:dyDescent="0.25">
      <c r="A114" s="272"/>
      <c r="B114" s="38" t="s">
        <v>1170</v>
      </c>
      <c r="C114" s="36" t="s">
        <v>1171</v>
      </c>
      <c r="D114" s="139" t="str">
        <f>IF(NOT('4 Ope'!C243 = ""),'4 Ope'!C243,IF(COUNTIF('4 Ope'!C244:C258,"&gt;=0")=0,"", MIN(MAX(SUMPRODUCT('4 Ope'!C244:C258,'4 Ope'!$G244:$G258)*4/(SUM('4 Ope'!$G244:$G258) - SUMIF('4 Ope'!C244:C258,"X",'4 Ope'!$G244:$G258)),MAX('4 Ope'!AA244:AA258)),MIN('4 Ope'!AE244:AE258))))</f>
        <v/>
      </c>
      <c r="E114" s="139" t="str">
        <f>IF(NOT('4 Ope'!D243 = ""),'4 Ope'!D243,IF(COUNTIF('4 Ope'!D244:D258,"&gt;=0")=0,"", MIN(MAX(SUMPRODUCT('4 Ope'!D244:D258,'4 Ope'!$G244:$G258)*4/(SUM('4 Ope'!$G244:$G258) - SUMIF('4 Ope'!D244:D258,"X",'4 Ope'!$G244:$G258)),MAX('4 Ope'!AB244:AB258)),MIN('4 Ope'!AF244:AF258))))</f>
        <v/>
      </c>
      <c r="F114" s="139" t="str">
        <f>IF(NOT('4 Ope'!E243 = ""),'4 Ope'!E243,IF(COUNTIF('4 Ope'!E244:E258,"&gt;=0")=0,"", MIN(MAX(SUMPRODUCT('4 Ope'!E244:E258,'4 Ope'!$G244:$G258)*4/(SUM('4 Ope'!$G244:$G258) - SUMIF('4 Ope'!E244:E258,"X",'4 Ope'!$G244:$G258)),MAX('4 Ope'!AC244:AC258)),MIN('4 Ope'!AG244:AG258))))</f>
        <v/>
      </c>
      <c r="G114" s="139" t="str">
        <f>IF(NOT('4 Ope'!F243 = ""),'4 Ope'!F243,IF(COUNTIF('4 Ope'!F244:F258,"&gt;=0")=0,"", MIN(MAX(SUMPRODUCT('4 Ope'!F244:F258,'4 Ope'!$G244:$G258)*4/(SUM('4 Ope'!$G244:$G258) - SUMIF('4 Ope'!F244:F258,"X",'4 Ope'!$G244:$G258)),MAX('4 Ope'!AD244:AD258)),MIN('4 Ope'!AH244:AH258))))</f>
        <v/>
      </c>
      <c r="H114" s="447">
        <f>IF(AND(OR(D114="X",D114=""),OR(E114="X",E114=""),OR(F114="X",F114=""),OR(G114="X",G114="")),1,ROUND(MIN(IF(OR(D114="",D114="X"),4,D114),IF(OR(E114="",E114="X"),4,E114),IF(OR(F114="",F114="X"),4,F114),IF(OR(G114="",G114="X"),4,G114)),0))</f>
        <v>1</v>
      </c>
      <c r="I114" s="16"/>
      <c r="J114" s="448">
        <f>IF(IF(IndG&gt;=3,MAX(H114,I114),H114)&lt;1,1,IF(IndG&gt;=3,MAX(H114,I114),H114))</f>
        <v>1</v>
      </c>
      <c r="L114" s="1163">
        <v>15</v>
      </c>
    </row>
    <row r="115" spans="1:13" s="34" customFormat="1" ht="12" customHeight="1" x14ac:dyDescent="0.25">
      <c r="A115" s="270"/>
      <c r="B115" s="35" t="s">
        <v>750</v>
      </c>
      <c r="C115" s="49"/>
      <c r="D115" s="139"/>
      <c r="E115" s="139"/>
      <c r="F115" s="139"/>
      <c r="G115" s="139"/>
      <c r="H115" s="447"/>
      <c r="I115" s="16"/>
      <c r="J115" s="448"/>
      <c r="L115" s="1162"/>
    </row>
    <row r="116" spans="1:13" s="34" customFormat="1" ht="12" customHeight="1" x14ac:dyDescent="0.25">
      <c r="A116" s="270"/>
      <c r="B116" s="286" t="s">
        <v>651</v>
      </c>
      <c r="C116" s="36" t="s">
        <v>5</v>
      </c>
      <c r="D116" s="139" t="str">
        <f>IF(NOT('4 Ope'!C260 = ""),'4 Ope'!C260,IF(COUNTIF('4 Ope'!C261:C268,"&gt;=0")=0,"", MIN(MAX(SUMPRODUCT('4 Ope'!C261:C268,'4 Ope'!$G261:$G268)*4/(SUM('4 Ope'!$G261:$G268) - SUMIF('4 Ope'!C261:C268,"X",'4 Ope'!$G261:$G268)),MAX('4 Ope'!AA261:AA268)),MIN('4 Ope'!AE261:AE268))))</f>
        <v/>
      </c>
      <c r="E116" s="139" t="str">
        <f>IF(NOT('4 Ope'!D260 = ""),'4 Ope'!D260,IF(COUNTIF('4 Ope'!D261:D268,"&gt;=0")=0,"", MIN(MAX(SUMPRODUCT('4 Ope'!D261:D268,'4 Ope'!$G261:$G268)*4/(SUM('4 Ope'!$G261:$G268) - SUMIF('4 Ope'!D261:D268,"X",'4 Ope'!$G261:$G268)),MAX('4 Ope'!AB261:AB268)),MIN('4 Ope'!AF261:AF268))))</f>
        <v/>
      </c>
      <c r="F116" s="139" t="str">
        <f>IF(NOT('4 Ope'!E260 = ""),'4 Ope'!E260,IF(COUNTIF('4 Ope'!E261:E268,"&gt;=0")=0,"", MIN(MAX(SUMPRODUCT('4 Ope'!E261:E268,'4 Ope'!$G261:$G268)*4/(SUM('4 Ope'!$G261:$G268) - SUMIF('4 Ope'!E261:E268,"X",'4 Ope'!$G261:$G268)),MAX('4 Ope'!AC261:AC268)),MIN('4 Ope'!AG261:AG268))))</f>
        <v/>
      </c>
      <c r="G116" s="139" t="str">
        <f>IF(NOT('4 Ope'!F260 = ""),'4 Ope'!F260,IF(COUNTIF('4 Ope'!F261:F268,"&gt;=0")=0,"", MIN(MAX(SUMPRODUCT('4 Ope'!F261:F268,'4 Ope'!$G261:$G268)*4/(SUM('4 Ope'!$G261:$G268) - SUMIF('4 Ope'!F261:F268,"X",'4 Ope'!$G261:$G268)),MAX('4 Ope'!AD261:AD268)),MIN('4 Ope'!AH261:AH268))))</f>
        <v/>
      </c>
      <c r="H116" s="447">
        <f>IF(AND(OR(D116="X",D116=""),OR(E116="X",E116=""),OR(F116="X",F116=""),OR(G116="X",G116="")),1,ROUND(MIN(IF(OR(D116="",D116="X"),4,D116),IF(OR(E116="",E116="X"),4,E116),IF(OR(F116="",F116="X"),4,F116),IF(OR(G116="",G116="X"),4,G116)),0))</f>
        <v>1</v>
      </c>
      <c r="I116" s="16" t="str">
        <f>IF(OR(Projets!C10 = 1, Projets!D10 = 1), IF(IndG = 3, Projets!I10,IF(AND(IndG = 4,NOT(Projets!F10= ""), Projets!F10&lt;dateanal ),Projets!I10, "")),"")</f>
        <v/>
      </c>
      <c r="J116" s="448">
        <f>IF(IF(IndG&gt;=3,MAX(H116,I116),H116)&lt;1,1,IF(IndG&gt;=3,MAX(H116,I116),H116))</f>
        <v>1</v>
      </c>
      <c r="L116" s="1163">
        <v>8</v>
      </c>
    </row>
    <row r="117" spans="1:13" s="34" customFormat="1" ht="12" customHeight="1" x14ac:dyDescent="0.25">
      <c r="A117" s="270"/>
      <c r="B117" s="286" t="s">
        <v>751</v>
      </c>
      <c r="C117" s="36" t="s">
        <v>4603</v>
      </c>
      <c r="D117" s="139" t="str">
        <f>IF(NOT('4 Ope'!C269 = ""),'4 Ope'!C269,IF(COUNTIF('4 Ope'!C270:C279,"&gt;=0")=0,"", MIN(MAX(SUMPRODUCT('4 Ope'!C270:C279,'4 Ope'!$G270:$G279)*4/(SUM('4 Ope'!$G270:$G279) - SUMIF('4 Ope'!C270:C279,"X",'4 Ope'!$G270:$G279)),MAX('4 Ope'!AA270:AA279)),MIN('4 Ope'!AE270:AE279))))</f>
        <v/>
      </c>
      <c r="E117" s="139" t="str">
        <f>IF(NOT('4 Ope'!D269 = ""),'4 Ope'!D269,IF(COUNTIF('4 Ope'!D270:D279,"&gt;=0")=0,"", MIN(MAX(SUMPRODUCT('4 Ope'!D270:D279,'4 Ope'!$G270:$G279)*4/(SUM('4 Ope'!$G270:$G279) - SUMIF('4 Ope'!D270:D279,"X",'4 Ope'!$G270:$G279)),MAX('4 Ope'!AB270:AB279)),MIN('4 Ope'!AF270:AF279))))</f>
        <v/>
      </c>
      <c r="F117" s="139" t="str">
        <f>IF(NOT('4 Ope'!E269 = ""),'4 Ope'!E269,IF(COUNTIF('4 Ope'!E270:E279,"&gt;=0")=0,"", MIN(MAX(SUMPRODUCT('4 Ope'!E270:E279,'4 Ope'!$G270:$G279)*4/(SUM('4 Ope'!$G270:$G279) - SUMIF('4 Ope'!E270:E279,"X",'4 Ope'!$G270:$G279)),MAX('4 Ope'!AC270:AC279)),MIN('4 Ope'!AG270:AG279))))</f>
        <v/>
      </c>
      <c r="G117" s="139" t="str">
        <f>IF(NOT('4 Ope'!F269 = ""),'4 Ope'!F269,IF(COUNTIF('4 Ope'!F270:F279,"&gt;=0")=0,"", MIN(MAX(SUMPRODUCT('4 Ope'!F270:F279,'4 Ope'!$G270:$G279)*4/(SUM('4 Ope'!$G270:$G279) - SUMIF('4 Ope'!F270:F279,"X",'4 Ope'!$G270:$G279)),MAX('4 Ope'!AD270:AD279)),MIN('4 Ope'!AH270:AH279))))</f>
        <v/>
      </c>
      <c r="H117" s="447">
        <f>IF(AND(OR(D117="X",D117=""),OR(E117="X",E117=""),OR(F117="X",F117=""),OR(G117="X",G117="")),1,ROUND(MIN(IF(OR(D117="",D117="X"),4,D117),IF(OR(E117="",E117="X"),4,E117),IF(OR(F117="",F117="X"),4,F117),IF(OR(G117="",G117="X"),4,G117)),0))</f>
        <v>1</v>
      </c>
      <c r="I117" s="16" t="str">
        <f>IF(OR(Projets!C66 = 1, Projets!D66 = 1), IF(IndG = 3, Projets!I66,IF(AND(IndG = 4,NOT(Projets!F66= ""), Projets!F66&lt;dateanal ),Projets!I66, "")),"")</f>
        <v/>
      </c>
      <c r="J117" s="448">
        <f>IF(IF(IndG&gt;=3,MAX(H117,I117),H117)&lt;1,1,IF(IndG&gt;=3,MAX(H117,I117),H117))</f>
        <v>1</v>
      </c>
      <c r="L117" s="1163">
        <v>10</v>
      </c>
    </row>
    <row r="118" spans="1:13" s="34" customFormat="1" ht="12" customHeight="1" x14ac:dyDescent="0.25">
      <c r="A118" s="270"/>
      <c r="B118" s="286" t="s">
        <v>754</v>
      </c>
      <c r="C118" s="36" t="s">
        <v>6693</v>
      </c>
      <c r="D118" s="139" t="str">
        <f>IF(NOT('4 Ope'!C280 = ""),'4 Ope'!C280,IF(COUNTIF('4 Ope'!C281:C285,"&gt;=0")=0,"", MIN(MAX(SUMPRODUCT('4 Ope'!C281:C285,'4 Ope'!$G281:$G285)*4/(SUM('4 Ope'!$G281:$G285) - SUMIF('4 Ope'!C281:C285,"X",'4 Ope'!$G281:$G285)),MAX('4 Ope'!AA281:AA285)),MIN('4 Ope'!AE281:AE285))))</f>
        <v/>
      </c>
      <c r="E118" s="139" t="str">
        <f>IF(NOT('4 Ope'!D280 = ""),'4 Ope'!D280,IF(COUNTIF('4 Ope'!D281:D285,"&gt;=0")=0,"", MIN(MAX(SUMPRODUCT('4 Ope'!D281:D285,'4 Ope'!$G281:$G285)*4/(SUM('4 Ope'!$G281:$G285) - SUMIF('4 Ope'!D281:D285,"X",'4 Ope'!$G281:$G285)),MAX('4 Ope'!AB281:AB285)),MIN('4 Ope'!AF281:AF285))))</f>
        <v/>
      </c>
      <c r="F118" s="139" t="str">
        <f>IF(NOT('4 Ope'!E280 = ""),'4 Ope'!E280,IF(COUNTIF('4 Ope'!E281:E285,"&gt;=0")=0,"", MIN(MAX(SUMPRODUCT('4 Ope'!E281:E285,'4 Ope'!$G281:$G285)*4/(SUM('4 Ope'!$G281:$G285) - SUMIF('4 Ope'!E281:E285,"X",'4 Ope'!$G281:$G285)),MAX('4 Ope'!AC281:AC285)),MIN('4 Ope'!AG281:AG285))))</f>
        <v/>
      </c>
      <c r="G118" s="139" t="str">
        <f>IF(NOT('4 Ope'!F280 = ""),'4 Ope'!F280,IF(COUNTIF('4 Ope'!F281:F285,"&gt;=0")=0,"", MIN(MAX(SUMPRODUCT('4 Ope'!F281:F285,'4 Ope'!$G281:$G285)*4/(SUM('4 Ope'!$G281:$G285) - SUMIF('4 Ope'!F281:F285,"X",'4 Ope'!$G281:$G285)),MAX('4 Ope'!AD281:AD285)),MIN('4 Ope'!AH281:AH285))))</f>
        <v/>
      </c>
      <c r="H118" s="447">
        <f>IF(AND(OR(D118="X",D118=""),OR(E118="X",E118=""),OR(F118="X",F118=""),OR(G118="X",G118="")),1,ROUND(MIN(IF(OR(D118="",D118="X"),4,D118),IF(OR(E118="",E118="X"),4,E118),IF(OR(F118="",F118="X"),4,F118),IF(OR(G118="",G118="X"),4,G118)),0))</f>
        <v>1</v>
      </c>
      <c r="I118" s="16" t="str">
        <f>IF(OR(Projets!C47 = 1, Projets!D47 = 1), IF(IndG = 3, Projets!I47,IF(AND(IndG = 4,NOT(Projets!F47= ""), Projets!F47&lt;dateanal ),Projets!I47, "")),"")</f>
        <v/>
      </c>
      <c r="J118" s="448">
        <f>IF(IF(IndG&gt;=3,MAX(H118,I118),H118)&lt;1,1,IF(IndG&gt;=3,MAX(H118,I118),H118))</f>
        <v>1</v>
      </c>
      <c r="L118" s="1163">
        <v>5</v>
      </c>
    </row>
    <row r="119" spans="1:13" s="34" customFormat="1" ht="12" customHeight="1" x14ac:dyDescent="0.25">
      <c r="A119" s="270"/>
      <c r="B119" s="286" t="s">
        <v>753</v>
      </c>
      <c r="C119" s="36" t="s">
        <v>481</v>
      </c>
      <c r="D119" s="139" t="str">
        <f>IF(NOT('4 Ope'!C286 = ""),'4 Ope'!C286,IF(COUNTIF('4 Ope'!C287:C291,"&gt;=0")=0,"", MIN(MAX(SUMPRODUCT('4 Ope'!C287:C291,'4 Ope'!$G287:$G291)*4/(SUM('4 Ope'!$G287:$G291) - SUMIF('4 Ope'!C287:C291,"X",'4 Ope'!$G287:$G291)),MAX('4 Ope'!AA287:AA291)),MIN('4 Ope'!AE287:AE291))))</f>
        <v/>
      </c>
      <c r="E119" s="139" t="str">
        <f>IF(NOT('4 Ope'!D286 = ""),'4 Ope'!D286,IF(COUNTIF('4 Ope'!D287:D291,"&gt;=0")=0,"", MIN(MAX(SUMPRODUCT('4 Ope'!D287:D291,'4 Ope'!$G287:$G291)*4/(SUM('4 Ope'!$G287:$G291) - SUMIF('4 Ope'!D287:D291,"X",'4 Ope'!$G287:$G291)),MAX('4 Ope'!AB287:AB291)),MIN('4 Ope'!AF287:AF291))))</f>
        <v/>
      </c>
      <c r="F119" s="139" t="str">
        <f>IF(NOT('4 Ope'!E286 = ""),'4 Ope'!E286,IF(COUNTIF('4 Ope'!E287:E291,"&gt;=0")=0,"", MIN(MAX(SUMPRODUCT('4 Ope'!E287:E291,'4 Ope'!$G287:$G291)*4/(SUM('4 Ope'!$G287:$G291) - SUMIF('4 Ope'!E287:E291,"X",'4 Ope'!$G287:$G291)),MAX('4 Ope'!AC287:AC291)),MIN('4 Ope'!AG287:AG291))))</f>
        <v/>
      </c>
      <c r="G119" s="139" t="str">
        <f>IF(NOT('4 Ope'!F286 = ""),'4 Ope'!F286,IF(COUNTIF('4 Ope'!F287:F291,"&gt;=0")=0,"", MIN(MAX(SUMPRODUCT('4 Ope'!F287:F291,'4 Ope'!$G287:$G291)*4/(SUM('4 Ope'!$G287:$G291) - SUMIF('4 Ope'!F287:F291,"X",'4 Ope'!$G287:$G291)),MAX('4 Ope'!AD287:AD291)),MIN('4 Ope'!AH287:AH291))))</f>
        <v/>
      </c>
      <c r="H119" s="447">
        <f>IF(AND(OR(D119="X",D119=""),OR(E119="X",E119=""),OR(F119="X",F119=""),OR(G119="X",G119="")),1,ROUND(MIN(IF(OR(D119="",D119="X"),4,D119),IF(OR(E119="",E119="X"),4,E119),IF(OR(F119="",F119="X"),4,F119),IF(OR(G119="",G119="X"),4,G119)),0))</f>
        <v>1</v>
      </c>
      <c r="I119" s="16" t="str">
        <f>IF(OR(Projets!C66 = 1, Projets!D66 = 1), IF(IndG = 3, Projets!L66,IF(AND(IndG = 4,NOT(Projets!F66= ""), Projets!F66&lt;dateanal ),Projets!L66, "")),"")</f>
        <v/>
      </c>
      <c r="J119" s="448">
        <f>IF(IF(IndG&gt;=3,MAX(H119,I119),H119)&lt;1,1,IF(IndG&gt;=3,MAX(H119,I119),H119))</f>
        <v>1</v>
      </c>
      <c r="L119" s="1163">
        <v>5</v>
      </c>
    </row>
    <row r="120" spans="1:13" s="34" customFormat="1" ht="12" customHeight="1" x14ac:dyDescent="0.25">
      <c r="A120" s="270"/>
      <c r="B120" s="286" t="s">
        <v>1398</v>
      </c>
      <c r="C120" s="36" t="s">
        <v>152</v>
      </c>
      <c r="D120" s="139" t="str">
        <f>IF(NOT('4 Ope'!C292 = ""),'4 Ope'!C292,IF(COUNTIF('4 Ope'!C293:C302,"&gt;=0")=0,"", MIN(MAX(SUMPRODUCT('4 Ope'!C293:C302,'4 Ope'!$G293:$G302)*4/(SUM('4 Ope'!$G293:$G302) - SUMIF('4 Ope'!C293:C302,"X",'4 Ope'!$G293:$G302)),MAX('4 Ope'!AA293:AA302)),MIN('4 Ope'!AE293:AE302))))</f>
        <v/>
      </c>
      <c r="E120" s="139" t="str">
        <f>IF(NOT('4 Ope'!D292 = ""),'4 Ope'!D292,IF(COUNTIF('4 Ope'!D293:D302,"&gt;=0")=0,"", MIN(MAX(SUMPRODUCT('4 Ope'!D293:D302,'4 Ope'!$G293:$G302)*4/(SUM('4 Ope'!$G293:$G302) - SUMIF('4 Ope'!D293:D302,"X",'4 Ope'!$G293:$G302)),MAX('4 Ope'!AB293:AB302)),MIN('4 Ope'!AF293:AF302))))</f>
        <v/>
      </c>
      <c r="F120" s="139" t="str">
        <f>IF(NOT('4 Ope'!E292 = ""),'4 Ope'!E292,IF(COUNTIF('4 Ope'!E293:E302,"&gt;=0")=0,"", MIN(MAX(SUMPRODUCT('4 Ope'!E293:E302,'4 Ope'!$G293:$G302)*4/(SUM('4 Ope'!$G293:$G302) - SUMIF('4 Ope'!E293:E302,"X",'4 Ope'!$G293:$G302)),MAX('4 Ope'!AC293:AC302)),MIN('4 Ope'!AG293:AG302))))</f>
        <v/>
      </c>
      <c r="G120" s="139" t="str">
        <f>IF(NOT('4 Ope'!F292 = ""),'4 Ope'!F292,IF(COUNTIF('4 Ope'!F293:F302,"&gt;=0")=0,"", MIN(MAX(SUMPRODUCT('4 Ope'!F293:F302,'4 Ope'!$G293:$G302)*4/(SUM('4 Ope'!$G293:$G302) - SUMIF('4 Ope'!F293:F302,"X",'4 Ope'!$G293:$G302)),MAX('4 Ope'!AD293:AD302)),MIN('4 Ope'!AH293:AH302))))</f>
        <v/>
      </c>
      <c r="H120" s="447">
        <f>IF(AND(OR(D120="X",D120=""),OR(E120="X",E120=""),OR(F120="X",F120=""),OR(G120="X",G120="")),1,ROUND(MIN(IF(OR(D120="",D120="X"),4,D120),IF(OR(E120="",E120="X"),4,E120),IF(OR(F120="",F120="X"),4,F120),IF(OR(G120="",G120="X"),4,G120)),0))</f>
        <v>1</v>
      </c>
      <c r="I120" s="16"/>
      <c r="J120" s="448">
        <f>IF(IF(IndG&gt;=3,MAX(H120,I120),H120)&lt;1,1,IF(IndG&gt;=3,MAX(H120,I120),H120))</f>
        <v>1</v>
      </c>
      <c r="L120" s="1163">
        <v>10</v>
      </c>
    </row>
    <row r="121" spans="1:13" s="34" customFormat="1" ht="12" customHeight="1" x14ac:dyDescent="0.25">
      <c r="A121" s="272"/>
      <c r="B121" s="210" t="s">
        <v>760</v>
      </c>
      <c r="C121" s="39"/>
      <c r="D121" s="139"/>
      <c r="E121" s="139"/>
      <c r="F121" s="139"/>
      <c r="G121" s="139"/>
      <c r="H121" s="447"/>
      <c r="I121" s="16"/>
      <c r="J121" s="448"/>
      <c r="L121" s="1162"/>
    </row>
    <row r="122" spans="1:13" s="34" customFormat="1" ht="12" customHeight="1" x14ac:dyDescent="0.25">
      <c r="A122" s="272"/>
      <c r="B122" s="286" t="s">
        <v>637</v>
      </c>
      <c r="C122" s="53" t="s">
        <v>53</v>
      </c>
      <c r="D122" s="139" t="str">
        <f>IF(NOT('4 Ope'!C304 = ""),'4 Ope'!C304,IF(COUNTIF('4 Ope'!C305:C316,"&gt;=0")=0,"", MIN(MAX(SUMPRODUCT('4 Ope'!C305:C316,'4 Ope'!$G305:$G316)*4/(SUM('4 Ope'!$G305:$G316) - SUMIF('4 Ope'!C305:C316,"X",'4 Ope'!$G305:$G316)),MAX('4 Ope'!AA305:AA316)),MIN('4 Ope'!AE305:AE316))))</f>
        <v/>
      </c>
      <c r="E122" s="139" t="str">
        <f>IF(NOT('4 Ope'!D304 = ""),'4 Ope'!D304,IF(COUNTIF('4 Ope'!D305:D316,"&gt;=0")=0,"", MIN(MAX(SUMPRODUCT('4 Ope'!D305:D316,'4 Ope'!$G305:$G316)*4/(SUM('4 Ope'!$G305:$G316) - SUMIF('4 Ope'!D305:D316,"X",'4 Ope'!$G305:$G316)),MAX('4 Ope'!AB305:AB316)),MIN('4 Ope'!AF305:AF316))))</f>
        <v/>
      </c>
      <c r="F122" s="139" t="str">
        <f>IF(NOT('4 Ope'!E304 = ""),'4 Ope'!E304,IF(COUNTIF('4 Ope'!E305:E316,"&gt;=0")=0,"", MIN(MAX(SUMPRODUCT('4 Ope'!E305:E316,'4 Ope'!$G305:$G316)*4/(SUM('4 Ope'!$G305:$G316) - SUMIF('4 Ope'!E305:E316,"X",'4 Ope'!$G305:$G316)),MAX('4 Ope'!AC305:AC316)),MIN('4 Ope'!AG305:AG316))))</f>
        <v/>
      </c>
      <c r="G122" s="139" t="str">
        <f>IF(NOT('4 Ope'!F304 = ""),'4 Ope'!F304,IF(COUNTIF('4 Ope'!F305:F316,"&gt;=0")=0,"", MIN(MAX(SUMPRODUCT('4 Ope'!F305:F316,'4 Ope'!$G305:$G316)*4/(SUM('4 Ope'!$G305:$G316) - SUMIF('4 Ope'!F305:F316,"X",'4 Ope'!$G305:$G316)),MAX('4 Ope'!AD305:AD316)),MIN('4 Ope'!AH305:AH316))))</f>
        <v/>
      </c>
      <c r="H122" s="447">
        <f>IF(AND(OR(D122="X",D122=""),OR(E122="X",E122=""),OR(F122="X",F122=""),OR(G122="X",G122="")),1,ROUND(MIN(IF(OR(D122="",D122="X"),4,D122),IF(OR(E122="",E122="X"),4,E122),IF(OR(F122="",F122="X"),4,F122),IF(OR(G122="",G122="X"),4,G122)),0))</f>
        <v>1</v>
      </c>
      <c r="I122" s="16" t="str">
        <f>IF(OR(Projets!C67 = 1, Projets!D67 = 1), IF(IndG = 3, Projets!L67,IF(AND(IndG = 4,NOT(Projets!F67= ""), Projets!F67&lt;dateanal ),Projets!L67, "")),"")</f>
        <v/>
      </c>
      <c r="J122" s="448">
        <f>IF(IF(IndG&gt;=3,MAX(H122,I122),H122)&lt;1,1,IF(IndG&gt;=3,MAX(H122,I122),H122))</f>
        <v>1</v>
      </c>
      <c r="L122" s="1163">
        <v>12</v>
      </c>
    </row>
    <row r="123" spans="1:13" s="34" customFormat="1" ht="12" customHeight="1" x14ac:dyDescent="0.25">
      <c r="A123" s="272"/>
      <c r="B123" s="286" t="s">
        <v>635</v>
      </c>
      <c r="C123" s="211" t="s">
        <v>116</v>
      </c>
      <c r="D123" s="139" t="str">
        <f>IF(NOT('4 Ope'!C317 = ""),'4 Ope'!C317,IF(COUNTIF('4 Ope'!C318:C327,"&gt;=0")=0,"", MIN(MAX(SUMPRODUCT('4 Ope'!C318:C327,'4 Ope'!$G318:$G327)*4/(SUM('4 Ope'!$G318:$G327) - SUMIF('4 Ope'!C318:C327,"X",'4 Ope'!$G318:$G327)),MAX('4 Ope'!AA318:AA327)),MIN('4 Ope'!AE318:AE327))))</f>
        <v/>
      </c>
      <c r="E123" s="139" t="str">
        <f>IF(NOT('4 Ope'!D317 = ""),'4 Ope'!D317,IF(COUNTIF('4 Ope'!D318:D327,"&gt;=0")=0,"", MIN(MAX(SUMPRODUCT('4 Ope'!D318:D327,'4 Ope'!$G318:$G327)*4/(SUM('4 Ope'!$G318:$G327) - SUMIF('4 Ope'!D318:D327,"X",'4 Ope'!$G318:$G327)),MAX('4 Ope'!AB318:AB327)),MIN('4 Ope'!AF318:AF327))))</f>
        <v/>
      </c>
      <c r="F123" s="139" t="str">
        <f>IF(NOT('4 Ope'!E317 = ""),'4 Ope'!E317,IF(COUNTIF('4 Ope'!E318:E327,"&gt;=0")=0,"", MIN(MAX(SUMPRODUCT('4 Ope'!E318:E327,'4 Ope'!$G318:$G327)*4/(SUM('4 Ope'!$G318:$G327) - SUMIF('4 Ope'!E318:E327,"X",'4 Ope'!$G318:$G327)),MAX('4 Ope'!AC318:AC327)),MIN('4 Ope'!AG318:AG327))))</f>
        <v/>
      </c>
      <c r="G123" s="139" t="str">
        <f>IF(NOT('4 Ope'!F317 = ""),'4 Ope'!F317,IF(COUNTIF('4 Ope'!F318:F327,"&gt;=0")=0,"", MIN(MAX(SUMPRODUCT('4 Ope'!F318:F327,'4 Ope'!$G318:$G327)*4/(SUM('4 Ope'!$G318:$G327) - SUMIF('4 Ope'!F318:F327,"X",'4 Ope'!$G318:$G327)),MAX('4 Ope'!AD318:AD327)),MIN('4 Ope'!AH318:AH327))))</f>
        <v/>
      </c>
      <c r="H123" s="447">
        <f>IF(AND(OR(D123="X",D123=""),OR(E123="X",E123=""),OR(F123="X",F123=""),OR(G123="X",G123="")),1,ROUND(MIN(IF(OR(D123="",D123="X"),4,D123),IF(OR(E123="",E123="X"),4,E123),IF(OR(F123="",F123="X"),4,F123),IF(OR(G123="",G123="X"),4,G123)),0))</f>
        <v>1</v>
      </c>
      <c r="I123" s="16" t="str">
        <f>IF(OR(Projets!C67 = 1, Projets!D67 = 1), IF(IndG = 3, Projets!O67,IF(AND(IndG = 4,NOT(Projets!F67= ""), Projets!F67&lt;dateanal ),Projets!O67, "")),"")</f>
        <v/>
      </c>
      <c r="J123" s="448">
        <f>IF(IF(IndG&gt;=3,MAX(H123,I123),H123)&lt;1,1,IF(IndG&gt;=3,MAX(H123,I123),H123))</f>
        <v>1</v>
      </c>
      <c r="L123" s="1163">
        <v>10</v>
      </c>
    </row>
    <row r="124" spans="1:13" s="34" customFormat="1" ht="12" customHeight="1" x14ac:dyDescent="0.25">
      <c r="A124" s="272"/>
      <c r="B124" s="286" t="s">
        <v>636</v>
      </c>
      <c r="C124" s="211" t="s">
        <v>1615</v>
      </c>
      <c r="D124" s="139" t="str">
        <f>IF(NOT('4 Ope'!C328 = ""),'4 Ope'!C328,IF(COUNTIF('4 Ope'!C329:C337,"&gt;=0")=0,"", MIN(MAX(SUMPRODUCT('4 Ope'!C329:C337,'4 Ope'!$G329:$G337)*4/(SUM('4 Ope'!$G329:$G337) - SUMIF('4 Ope'!C329:C337,"X",'4 Ope'!$G329:$G337)),MAX('4 Ope'!AA329:AA337)),MIN('4 Ope'!AE329:AE337))))</f>
        <v/>
      </c>
      <c r="E124" s="139" t="str">
        <f>IF(NOT('4 Ope'!D328 = ""),'4 Ope'!D328,IF(COUNTIF('4 Ope'!D329:D337,"&gt;=0")=0,"", MIN(MAX(SUMPRODUCT('4 Ope'!D329:D337,'4 Ope'!$G329:$G337)*4/(SUM('4 Ope'!$G329:$G337) - SUMIF('4 Ope'!D329:D337,"X",'4 Ope'!$G329:$G337)),MAX('4 Ope'!AB329:AB337)),MIN('4 Ope'!AF329:AF337))))</f>
        <v/>
      </c>
      <c r="F124" s="139" t="str">
        <f>IF(NOT('4 Ope'!E328 = ""),'4 Ope'!E328,IF(COUNTIF('4 Ope'!E329:E337,"&gt;=0")=0,"", MIN(MAX(SUMPRODUCT('4 Ope'!E329:E337,'4 Ope'!$G329:$G337)*4/(SUM('4 Ope'!$G329:$G337) - SUMIF('4 Ope'!E329:E337,"X",'4 Ope'!$G329:$G337)),MAX('4 Ope'!AC329:AC337)),MIN('4 Ope'!AG329:AG337))))</f>
        <v/>
      </c>
      <c r="G124" s="139" t="str">
        <f>IF(NOT('4 Ope'!F328 = ""),'4 Ope'!F328,IF(COUNTIF('4 Ope'!F329:F337,"&gt;=0")=0,"", MIN(MAX(SUMPRODUCT('4 Ope'!F329:F337,'4 Ope'!$G329:$G337)*4/(SUM('4 Ope'!$G329:$G337) - SUMIF('4 Ope'!F329:F337,"X",'4 Ope'!$G329:$G337)),MAX('4 Ope'!AD329:AD337)),MIN('4 Ope'!AH329:AH337))))</f>
        <v/>
      </c>
      <c r="H124" s="447">
        <f>IF(AND(OR(D124="X",D124=""),OR(E124="X",E124=""),OR(F124="X",F124=""),OR(G124="X",G124="")),1,ROUND(MIN(IF(OR(D124="",D124="X"),4,D124),IF(OR(E124="",E124="X"),4,E124),IF(OR(F124="",F124="X"),4,F124),IF(OR(G124="",G124="X"),4,G124)),0))</f>
        <v>1</v>
      </c>
      <c r="I124" s="16" t="str">
        <f>IF(OR(Projets!C67 = 1, Projets!D67 = 1), IF(IndG = 3, Projets!R67,IF(AND(IndG = 4,NOT(Projets!F67= ""), Projets!F67&lt;dateanal ),Projets!R67, "")),"")</f>
        <v/>
      </c>
      <c r="J124" s="448">
        <f>IF(IF(IndG&gt;=3,MAX(H124,I124),H124)&lt;1,1,IF(IndG&gt;=3,MAX(H124,I124),H124))</f>
        <v>1</v>
      </c>
      <c r="L124" s="1163">
        <v>9</v>
      </c>
    </row>
    <row r="125" spans="1:13" ht="15" customHeight="1" x14ac:dyDescent="0.25">
      <c r="A125" s="269" t="s">
        <v>1399</v>
      </c>
      <c r="B125" s="182" t="s">
        <v>1400</v>
      </c>
      <c r="C125" s="1057"/>
      <c r="D125" s="138" t="s">
        <v>229</v>
      </c>
      <c r="E125" s="138" t="s">
        <v>230</v>
      </c>
      <c r="F125" s="138" t="s">
        <v>265</v>
      </c>
      <c r="G125" s="138" t="s">
        <v>266</v>
      </c>
      <c r="H125" s="420"/>
      <c r="I125" s="16"/>
      <c r="J125" s="420"/>
      <c r="L125" s="1163"/>
      <c r="M125" s="34"/>
    </row>
    <row r="126" spans="1:13" ht="12" customHeight="1" x14ac:dyDescent="0.25">
      <c r="A126" s="287"/>
      <c r="B126" s="288" t="s">
        <v>4639</v>
      </c>
      <c r="C126" s="289"/>
      <c r="D126" s="139"/>
      <c r="E126" s="139"/>
      <c r="F126" s="139"/>
      <c r="G126" s="139"/>
      <c r="H126" s="447"/>
      <c r="I126" s="16"/>
      <c r="J126" s="448"/>
      <c r="L126" s="1162"/>
      <c r="M126" s="34"/>
    </row>
    <row r="127" spans="1:13" ht="12" customHeight="1" x14ac:dyDescent="0.25">
      <c r="A127" s="287"/>
      <c r="B127" s="289" t="s">
        <v>762</v>
      </c>
      <c r="C127" s="289" t="s">
        <v>1260</v>
      </c>
      <c r="D127" s="139" t="str">
        <f>IF(NOT('5 App'!C4 = ""),'5 App'!C4,IF(COUNTIF('5 App'!C5:C10,"&gt;=0")=0,"", MIN(MAX(SUMPRODUCT('5 App'!C5:C10,'5 App'!$G5:$G10)*4/(SUM('5 App'!$G5:$G10) - SUMIF('5 App'!C5:C10,"X",'5 App'!$G5:$G10)),MAX('5 App'!AA5:AA10)),MIN('5 App'!AE5:AE10))))</f>
        <v/>
      </c>
      <c r="E127" s="139" t="str">
        <f>IF(NOT('5 App'!D4 = ""),'5 App'!D4,IF(COUNTIF('5 App'!D5:D10,"&gt;=0")=0,"", MIN(MAX(SUMPRODUCT('5 App'!D5:D10,'5 App'!$G5:$G10)*4/(SUM('5 App'!$G5:$G10) - SUMIF('5 App'!D5:D10,"X",'5 App'!$G5:$G10)),MAX('5 App'!AB5:AB10)),MIN('5 App'!AF5:AF10))))</f>
        <v/>
      </c>
      <c r="F127" s="139" t="str">
        <f>IF(NOT('5 App'!E4 = ""),'5 App'!E4,IF(COUNTIF('5 App'!E5:E10,"&gt;=0")=0,"", MIN(MAX(SUMPRODUCT('5 App'!E5:E10,'5 App'!$G5:$G10)*4/(SUM('5 App'!$G5:$G10) - SUMIF('5 App'!E5:E10,"X",'5 App'!$G5:$G10)),MAX('5 App'!AC5:AC10)),MIN('5 App'!AG5:AG10))))</f>
        <v/>
      </c>
      <c r="G127" s="139" t="str">
        <f>IF(NOT('5 App'!F4 = ""),'5 App'!F4,IF(COUNTIF('5 App'!F5:F10,"&gt;=0")=0,"", MIN(MAX(SUMPRODUCT('5 App'!F5:F10,'5 App'!$G5:$G10)*4/(SUM('5 App'!$G5:$G10) - SUMIF('5 App'!F5:F10,"X",'5 App'!$G5:$G10)),MAX('5 App'!AD5:AD10)),MIN('5 App'!AH5:AH10))))</f>
        <v/>
      </c>
      <c r="H127" s="447">
        <f t="shared" ref="H127:H132" si="12">IF(AND(OR(D127="X",D127=""),OR(E127="X",E127=""),OR(F127="X",F127=""),OR(G127="X",G127="")),1,ROUND(MIN(IF(OR(D127="",D127="X"),4,D127),IF(OR(E127="",E127="X"),4,E127),IF(OR(F127="",F127="X"),4,F127),IF(OR(G127="",G127="X"),4,G127)),0))</f>
        <v>1</v>
      </c>
      <c r="I127" s="16" t="str">
        <f>IF(OR(Projets!C54 = 1, Projets!D54 = 1), IF(IndG = 3, Projets!I54,IF(AND(IndG = 4,NOT(Projets!F54= ""), Projets!F54&lt;dateanal ),Projets!I54, "")),"")</f>
        <v/>
      </c>
      <c r="J127" s="448">
        <f t="shared" ref="J127:J132" si="13">IF(IF(IndG&gt;=3,MAX(H127,I127),H127)&lt;1,1,IF(IndG&gt;=3,MAX(H127,I127),H127))</f>
        <v>1</v>
      </c>
      <c r="L127" s="1163">
        <v>6</v>
      </c>
      <c r="M127" s="34"/>
    </row>
    <row r="128" spans="1:13" ht="12" customHeight="1" x14ac:dyDescent="0.25">
      <c r="A128" s="287"/>
      <c r="B128" s="289" t="s">
        <v>763</v>
      </c>
      <c r="C128" s="128" t="s">
        <v>1997</v>
      </c>
      <c r="D128" s="139" t="str">
        <f>IF(NOT('5 App'!C11 = ""),'5 App'!C11,IF(COUNTIF('5 App'!C12:C18,"&gt;=0")=0,"", MIN(MAX(SUMPRODUCT('5 App'!C12:C18,'5 App'!$G12:$G18)*4/(SUM('5 App'!$G12:$G18) - SUMIF('5 App'!C12:C18,"X",'5 App'!$G12:$G18)),MAX('5 App'!AA12:AA18)),MIN('5 App'!AE12:AE18))))</f>
        <v/>
      </c>
      <c r="E128" s="139" t="str">
        <f>IF(NOT('5 App'!D11 = ""),'5 App'!D11,IF(COUNTIF('5 App'!D12:D18,"&gt;=0")=0,"", MIN(MAX(SUMPRODUCT('5 App'!D12:D18,'5 App'!$G12:$G18)*4/(SUM('5 App'!$G12:$G18) - SUMIF('5 App'!D12:D18,"X",'5 App'!$G12:$G18)),MAX('5 App'!AB12:AB18)),MIN('5 App'!AF12:AF18))))</f>
        <v/>
      </c>
      <c r="F128" s="139" t="str">
        <f>IF(NOT('5 App'!E11 = ""),'5 App'!E11,IF(COUNTIF('5 App'!E12:E18,"&gt;=0")=0,"", MIN(MAX(SUMPRODUCT('5 App'!E12:E18,'5 App'!$G12:$G18)*4/(SUM('5 App'!$G12:$G18) - SUMIF('5 App'!E12:E18,"X",'5 App'!$G12:$G18)),MAX('5 App'!AC12:AC18)),MIN('5 App'!AG12:AG18))))</f>
        <v/>
      </c>
      <c r="G128" s="139" t="str">
        <f>IF(NOT('5 App'!F11 = ""),'5 App'!F11,IF(COUNTIF('5 App'!F12:F18,"&gt;=0")=0,"", MIN(MAX(SUMPRODUCT('5 App'!F12:F18,'5 App'!$G12:$G18)*4/(SUM('5 App'!$G12:$G18) - SUMIF('5 App'!F12:F18,"X",'5 App'!$G12:$G18)),MAX('5 App'!AD12:AD18)),MIN('5 App'!AH12:AH18))))</f>
        <v/>
      </c>
      <c r="H128" s="447">
        <f t="shared" si="12"/>
        <v>1</v>
      </c>
      <c r="I128" s="16" t="str">
        <f>IF(OR(Projets!C51 = 1, Projets!D51 = 1), IF(IndG = 3, Projets!I51,IF(AND(IndG = 4,NOT(Projets!F51= ""), Projets!F51&lt;dateanal ),Projets!I51, "")),"")</f>
        <v/>
      </c>
      <c r="J128" s="448">
        <f t="shared" si="13"/>
        <v>1</v>
      </c>
      <c r="L128" s="1163">
        <v>7</v>
      </c>
      <c r="M128" s="34"/>
    </row>
    <row r="129" spans="1:23" ht="12" customHeight="1" x14ac:dyDescent="0.25">
      <c r="A129" s="287"/>
      <c r="B129" s="289" t="s">
        <v>638</v>
      </c>
      <c r="C129" s="289" t="s">
        <v>1267</v>
      </c>
      <c r="D129" s="139" t="str">
        <f>IF(NOT('5 App'!C19 = ""),'5 App'!C19,IF(COUNTIF('5 App'!C20:C25,"&gt;=0")=0,"", MIN(MAX(SUMPRODUCT('5 App'!C20:C25,'5 App'!$G20:$G25)*4/(SUM('5 App'!$G20:$G25) - SUMIF('5 App'!C20:C25,"X",'5 App'!$G20:$G25)),MAX('5 App'!AA20:AA25)),MIN('5 App'!AE20:AE25))))</f>
        <v/>
      </c>
      <c r="E129" s="139" t="str">
        <f>IF(NOT('5 App'!D19 = ""),'5 App'!D19,IF(COUNTIF('5 App'!D20:D25,"&gt;=0")=0,"", MIN(MAX(SUMPRODUCT('5 App'!D20:D25,'5 App'!$G20:$G25)*4/(SUM('5 App'!$G20:$G25) - SUMIF('5 App'!D20:D25,"X",'5 App'!$G20:$G25)),MAX('5 App'!AB20:AB25)),MIN('5 App'!AF20:AF25))))</f>
        <v/>
      </c>
      <c r="F129" s="139" t="str">
        <f>IF(NOT('5 App'!E19 = ""),'5 App'!E19,IF(COUNTIF('5 App'!E20:E25,"&gt;=0")=0,"", MIN(MAX(SUMPRODUCT('5 App'!E20:E25,'5 App'!$G20:$G25)*4/(SUM('5 App'!$G20:$G25) - SUMIF('5 App'!E20:E25,"X",'5 App'!$G20:$G25)),MAX('5 App'!AC20:AC25)),MIN('5 App'!AG20:AG25))))</f>
        <v/>
      </c>
      <c r="G129" s="139" t="str">
        <f>IF(NOT('5 App'!F19 = ""),'5 App'!F19,IF(COUNTIF('5 App'!F20:F25,"&gt;=0")=0,"", MIN(MAX(SUMPRODUCT('5 App'!F20:F25,'5 App'!$G20:$G25)*4/(SUM('5 App'!$G20:$G25) - SUMIF('5 App'!F20:F25,"X",'5 App'!$G20:$G25)),MAX('5 App'!AD20:AD25)),MIN('5 App'!AH20:AH25))))</f>
        <v/>
      </c>
      <c r="H129" s="447">
        <f t="shared" si="12"/>
        <v>1</v>
      </c>
      <c r="I129" s="16" t="str">
        <f>IF(OR(Projets!C59 = 1, Projets!D59 = 1), IF(IndG = 3, Projets!I59,IF(AND(IndG = 4,NOT(Projets!F59= ""), Projets!F59&lt;dateanal ),Projets!I59, "")),"")</f>
        <v/>
      </c>
      <c r="J129" s="448">
        <f t="shared" si="13"/>
        <v>1</v>
      </c>
      <c r="L129" s="1163">
        <v>6</v>
      </c>
      <c r="M129" s="34"/>
      <c r="W129" s="50">
        <f>IF(INDEX(Tab_actions,104,1)=1,INDEX(Tab_actions,104,4),0)</f>
        <v>0</v>
      </c>
    </row>
    <row r="130" spans="1:23" ht="12" customHeight="1" x14ac:dyDescent="0.25">
      <c r="A130" s="287"/>
      <c r="B130" s="289" t="s">
        <v>639</v>
      </c>
      <c r="C130" s="53" t="s">
        <v>398</v>
      </c>
      <c r="D130" s="139" t="str">
        <f>IF(NOT('5 App'!C26 = ""),'5 App'!C26,IF(COUNTIF('5 App'!C27:C35,"&gt;=0")=0,"", MIN(MAX(SUMPRODUCT('5 App'!C27:C35,'5 App'!$G27:$G35)*4/(SUM('5 App'!$G27:$G35) - SUMIF('5 App'!C27:C35,"X",'5 App'!$G27:$G35)),MAX('5 App'!AA27:AA35)),MIN('5 App'!AE27:AE35))))</f>
        <v/>
      </c>
      <c r="E130" s="139" t="str">
        <f>IF(NOT('5 App'!D26 = ""),'5 App'!D26,IF(COUNTIF('5 App'!D27:D35,"&gt;=0")=0,"", MIN(MAX(SUMPRODUCT('5 App'!D27:D35,'5 App'!$G27:$G35)*4/(SUM('5 App'!$G27:$G35) - SUMIF('5 App'!D27:D35,"X",'5 App'!$G27:$G35)),MAX('5 App'!AB27:AB35)),MIN('5 App'!AF27:AF35))))</f>
        <v/>
      </c>
      <c r="F130" s="139" t="str">
        <f>IF(NOT('5 App'!E26 = ""),'5 App'!E26,IF(COUNTIF('5 App'!E27:E35,"&gt;=0")=0,"", MIN(MAX(SUMPRODUCT('5 App'!E27:E35,'5 App'!$G27:$G35)*4/(SUM('5 App'!$G27:$G35) - SUMIF('5 App'!E27:E35,"X",'5 App'!$G27:$G35)),MAX('5 App'!AC27:AC35)),MIN('5 App'!AG27:AG35))))</f>
        <v/>
      </c>
      <c r="G130" s="139" t="str">
        <f>IF(NOT('5 App'!F26 = ""),'5 App'!F26,IF(COUNTIF('5 App'!F27:F35,"&gt;=0")=0,"", MIN(MAX(SUMPRODUCT('5 App'!F27:F35,'5 App'!$G27:$G35)*4/(SUM('5 App'!$G27:$G35) - SUMIF('5 App'!F27:F35,"X",'5 App'!$G27:$G35)),MAX('5 App'!AD27:AD35)),MIN('5 App'!AH27:AH35))))</f>
        <v/>
      </c>
      <c r="H130" s="447">
        <f t="shared" si="12"/>
        <v>1</v>
      </c>
      <c r="I130" s="16" t="str">
        <f>IF(OR(Projets!C60 = 1, Projets!D60 = 1), IF(IndG = 3, Projets!I60,IF(AND(IndG = 4,NOT(Projets!F60= ""), Projets!F60&lt;dateanal ),Projets!I60, "")),"")</f>
        <v/>
      </c>
      <c r="J130" s="448">
        <f t="shared" si="13"/>
        <v>1</v>
      </c>
      <c r="L130" s="1163">
        <v>9</v>
      </c>
      <c r="M130" s="34"/>
      <c r="W130" s="50">
        <f>IF(INDEX(Tab_actions,104,1)=1,INDEX(Tab_actions,104,4),0)</f>
        <v>0</v>
      </c>
    </row>
    <row r="131" spans="1:23" ht="12" customHeight="1" x14ac:dyDescent="0.25">
      <c r="A131" s="287"/>
      <c r="B131" s="289" t="s">
        <v>4391</v>
      </c>
      <c r="C131" s="53" t="s">
        <v>6247</v>
      </c>
      <c r="D131" s="139" t="str">
        <f>IF(NOT('5 App'!C36 = ""),'5 App'!C36,IF(COUNTIF('5 App'!C37:C42,"&gt;=0")=0,"", MIN(MAX(SUMPRODUCT('5 App'!C37:C42,'5 App'!$G37:$G42)*4/(SUM('5 App'!$G37:$G42) - SUMIF('5 App'!C37:C42,"X",'5 App'!$G37:$G42)),MAX('5 App'!AA37:AA42)),MIN('5 App'!AE37:AE42))))</f>
        <v/>
      </c>
      <c r="E131" s="139" t="str">
        <f>IF(NOT('5 App'!D36 = ""),'5 App'!D36,IF(COUNTIF('5 App'!D37:D42,"&gt;=0")=0,"", MIN(MAX(SUMPRODUCT('5 App'!D37:D42,'5 App'!$G37:$G42)*4/(SUM('5 App'!$G37:$G42) - SUMIF('5 App'!D37:D42,"X",'5 App'!$G37:$G42)),MAX('5 App'!AB37:AB42)),MIN('5 App'!AF37:AF42))))</f>
        <v/>
      </c>
      <c r="F131" s="139" t="str">
        <f>IF(NOT('5 App'!E36 = ""),'5 App'!E36,IF(COUNTIF('5 App'!E37:E42,"&gt;=0")=0,"", MIN(MAX(SUMPRODUCT('5 App'!E37:E42,'5 App'!$G37:$G42)*4/(SUM('5 App'!$G37:$G42) - SUMIF('5 App'!E37:E42,"X",'5 App'!$G37:$G42)),MAX('5 App'!AC37:AC42)),MIN('5 App'!AG37:AG42))))</f>
        <v/>
      </c>
      <c r="G131" s="139" t="str">
        <f>IF(NOT('5 App'!F36 = ""),'5 App'!F36,IF(COUNTIF('5 App'!F37:F42,"&gt;=0")=0,"", MIN(MAX(SUMPRODUCT('5 App'!F37:F42,'5 App'!$G37:$G42)*4/(SUM('5 App'!$G37:$G42) - SUMIF('5 App'!F37:F42,"X",'5 App'!$G37:$G42)),MAX('5 App'!AD37:AD42)),MIN('5 App'!AH37:AH42))))</f>
        <v/>
      </c>
      <c r="H131" s="447">
        <f t="shared" si="12"/>
        <v>1</v>
      </c>
      <c r="I131" s="16" t="str">
        <f>IF(OR(Projets!C37 = 1, Projets!D37 = 1), IF(IndG = 3, Projets!I37,IF(AND(IndG = 4,NOT(Projets!F37= ""), Projets!F37&lt;dateanal ),Projets!I37, "")),"")</f>
        <v/>
      </c>
      <c r="J131" s="448">
        <f t="shared" si="13"/>
        <v>1</v>
      </c>
      <c r="L131" s="1163">
        <v>6</v>
      </c>
      <c r="M131" s="34"/>
      <c r="W131" s="50">
        <f>IF(INDEX(Tab_actions,104,1)=1,INDEX(Tab_actions,104,4),0)</f>
        <v>0</v>
      </c>
    </row>
    <row r="132" spans="1:23" ht="12" customHeight="1" x14ac:dyDescent="0.25">
      <c r="A132" s="287"/>
      <c r="B132" s="289" t="s">
        <v>4626</v>
      </c>
      <c r="C132" s="53" t="s">
        <v>4625</v>
      </c>
      <c r="D132" s="139" t="str">
        <f>IF(NOT('5 App'!C43 = ""),'5 App'!C43,IF(COUNTIF('5 App'!C44:C49,"&gt;=0")=0,"", MIN(MAX(SUMPRODUCT('5 App'!C44:C49,'5 App'!$G44:$G49)*4/(SUM('5 App'!$G44:$G49) - SUMIF('5 App'!C44:C49,"X",'5 App'!$G44:$G49)),MAX('5 App'!AA44:AA49)),MIN('5 App'!AE44:AE49))))</f>
        <v/>
      </c>
      <c r="E132" s="139" t="str">
        <f>IF(NOT('5 App'!D43 = ""),'5 App'!D43,IF(COUNTIF('5 App'!D44:D49,"&gt;=0")=0,"", MIN(MAX(SUMPRODUCT('5 App'!D44:D49,'5 App'!$G44:$G49)*4/(SUM('5 App'!$G44:$G49) - SUMIF('5 App'!D44:D49,"X",'5 App'!$G44:$G49)),MAX('5 App'!AB44:AB49)),MIN('5 App'!AF44:AF49))))</f>
        <v/>
      </c>
      <c r="F132" s="139" t="str">
        <f>IF(NOT('5 App'!E43 = ""),'5 App'!E43,IF(COUNTIF('5 App'!E44:E49,"&gt;=0")=0,"", MIN(MAX(SUMPRODUCT('5 App'!E44:E49,'5 App'!$G44:$G49)*4/(SUM('5 App'!$G44:$G49) - SUMIF('5 App'!E44:E49,"X",'5 App'!$G44:$G49)),MAX('5 App'!AC44:AC49)),MIN('5 App'!AG44:AG49))))</f>
        <v/>
      </c>
      <c r="G132" s="139" t="str">
        <f>IF(NOT('5 App'!F43 = ""),'5 App'!F43,IF(COUNTIF('5 App'!F44:F49,"&gt;=0")=0,"", MIN(MAX(SUMPRODUCT('5 App'!F44:F49,'5 App'!$G44:$G49)*4/(SUM('5 App'!$G44:$G49) - SUMIF('5 App'!F44:F49,"X",'5 App'!$G44:$G49)),MAX('5 App'!AD44:AD49)),MIN('5 App'!AH44:AH49))))</f>
        <v/>
      </c>
      <c r="H132" s="447">
        <f t="shared" si="12"/>
        <v>1</v>
      </c>
      <c r="I132" s="16" t="str">
        <f>IF(OR(Projets!C32 = 1, Projets!D32 = 1), IF(IndG = 3, Projets!L32,IF(AND(IndG = 4,NOT(Projets!F32= ""), Projets!F32&lt;dateanal ),Projets!L32, "")),"")</f>
        <v/>
      </c>
      <c r="J132" s="448">
        <f t="shared" si="13"/>
        <v>1</v>
      </c>
      <c r="L132" s="1163">
        <v>6</v>
      </c>
      <c r="M132" s="34"/>
      <c r="W132" s="50">
        <f>IF(INDEX(Tab_actions,104,1)=1,INDEX(Tab_actions,104,4),0)</f>
        <v>0</v>
      </c>
    </row>
    <row r="133" spans="1:23" ht="12" customHeight="1" x14ac:dyDescent="0.25">
      <c r="A133" s="287"/>
      <c r="B133" s="288" t="s">
        <v>1401</v>
      </c>
      <c r="C133" s="289"/>
      <c r="D133" s="139"/>
      <c r="E133" s="139"/>
      <c r="F133" s="139"/>
      <c r="G133" s="139"/>
      <c r="H133" s="447"/>
      <c r="I133" s="16"/>
      <c r="J133" s="448"/>
      <c r="L133" s="1162"/>
      <c r="M133" s="34"/>
    </row>
    <row r="134" spans="1:23" ht="12" customHeight="1" x14ac:dyDescent="0.25">
      <c r="A134" s="287"/>
      <c r="B134" s="289" t="s">
        <v>640</v>
      </c>
      <c r="C134" s="289" t="s">
        <v>1617</v>
      </c>
      <c r="D134" s="139" t="str">
        <f>IF(NOT('5 App'!C51 = ""),'5 App'!C51,IF(COUNTIF('5 App'!C52:C55,"&gt;=0")=0,"", MIN(MAX(SUMPRODUCT('5 App'!C52:C55,'5 App'!$G52:$G55)*4/(SUM('5 App'!$G52:$G55) - SUMIF('5 App'!C52:C55,"X",'5 App'!$G52:$G55)),MAX('5 App'!AA52:AA55)),MIN('5 App'!AE52:AE55))))</f>
        <v/>
      </c>
      <c r="E134" s="139" t="str">
        <f>IF(NOT('5 App'!D51 = ""),'5 App'!D51,IF(COUNTIF('5 App'!D52:D55,"&gt;=0")=0,"", MIN(MAX(SUMPRODUCT('5 App'!D52:D55,'5 App'!$G52:$G55)*4/(SUM('5 App'!$G52:$G55) - SUMIF('5 App'!D52:D55,"X",'5 App'!$G52:$G55)),MAX('5 App'!AB52:AB55)),MIN('5 App'!AF52:AF55))))</f>
        <v/>
      </c>
      <c r="F134" s="139" t="str">
        <f>IF(NOT('5 App'!E51 = ""),'5 App'!E51,IF(COUNTIF('5 App'!E52:E55,"&gt;=0")=0,"", MIN(MAX(SUMPRODUCT('5 App'!E52:E55,'5 App'!$G52:$G55)*4/(SUM('5 App'!$G52:$G55) - SUMIF('5 App'!E52:E55,"X",'5 App'!$G52:$G55)),MAX('5 App'!AC52:AC55)),MIN('5 App'!AG52:AG55))))</f>
        <v/>
      </c>
      <c r="G134" s="139" t="str">
        <f>IF(NOT('5 App'!F51 = ""),'5 App'!F51,IF(COUNTIF('5 App'!F52:F55,"&gt;=0")=0,"", MIN(MAX(SUMPRODUCT('5 App'!F52:F55,'5 App'!$G52:$G55)*4/(SUM('5 App'!$G52:$G55) - SUMIF('5 App'!F52:F55,"X",'5 App'!$G52:$G55)),MAX('5 App'!AD52:AD55)),MIN('5 App'!AH52:AH55))))</f>
        <v/>
      </c>
      <c r="H134" s="447">
        <f>IF(AND(OR(D134="X",D134=""),OR(E134="X",E134=""),OR(F134="X",F134=""),OR(G134="X",G134="")),1,ROUND(MIN(IF(OR(D134="",D134="X"),4,D134),IF(OR(E134="",E134="X"),4,E134),IF(OR(F134="",F134="X"),4,F134),IF(OR(G134="",G134="X"),4,G134)),0))</f>
        <v>1</v>
      </c>
      <c r="I134" s="16" t="str">
        <f>IF(OR(Projets!C44 = 1, Projets!D44 = 1), IF(IndG = 3, Projets!I44,IF(AND(IndG = 4,NOT(Projets!F44= ""), Projets!F44&lt;dateanal ),Projets!I44, "")),"")</f>
        <v/>
      </c>
      <c r="J134" s="448">
        <f>IF(IF(IndG&gt;=3,MAX(H134,I134),H134)&lt;1,1,IF(IndG&gt;=3,MAX(H134,I134),H134))</f>
        <v>1</v>
      </c>
      <c r="L134" s="1163">
        <v>4</v>
      </c>
      <c r="M134" s="34"/>
    </row>
    <row r="135" spans="1:23" ht="12" customHeight="1" x14ac:dyDescent="0.25">
      <c r="A135" s="287"/>
      <c r="B135" s="289" t="s">
        <v>641</v>
      </c>
      <c r="C135" s="289" t="s">
        <v>1618</v>
      </c>
      <c r="D135" s="458" t="str">
        <f>IF(NOT('5 App'!C56 = ""),'5 App'!C56,IF(COUNTIF('5 App'!C57:C62,"&gt;=0")=0,"", MIN(MAX(SUMPRODUCT('5 App'!C57:C62,'5 App'!$G57:$G62)*4/(SUM('5 App'!$G57:$G62) - SUMIF('5 App'!C57:C62,"X",'5 App'!$G57:$G62)),MAX('5 App'!AA57:AA62)),MIN('5 App'!AE57:AE62))))</f>
        <v/>
      </c>
      <c r="E135" s="458" t="str">
        <f>IF(NOT('5 App'!D56 = ""),'5 App'!D56,IF(COUNTIF('5 App'!D57:D62,"&gt;=0")=0,"", MIN(MAX(SUMPRODUCT('5 App'!D57:D62,'5 App'!$G57:$G62)*4/(SUM('5 App'!$G57:$G62) - SUMIF('5 App'!D57:D62,"X",'5 App'!$G57:$G62)),MAX('5 App'!AB57:AB62)),MIN('5 App'!AF57:AF62))))</f>
        <v/>
      </c>
      <c r="F135" s="458" t="str">
        <f>IF(NOT('5 App'!E56 = ""),'5 App'!E56,IF(COUNTIF('5 App'!E57:E62,"&gt;=0")=0,"", MIN(MAX(SUMPRODUCT('5 App'!E57:E62,'5 App'!$G57:$G62)*4/(SUM('5 App'!$G57:$G62) - SUMIF('5 App'!E57:E62,"X",'5 App'!$G57:$G62)),MAX('5 App'!AC57:AC62)),MIN('5 App'!AG57:AG62))))</f>
        <v/>
      </c>
      <c r="G135" s="458" t="str">
        <f>IF(NOT('5 App'!F56 = ""),'5 App'!F56,IF(COUNTIF('5 App'!F57:F62,"&gt;=0")=0,"", MIN(MAX(SUMPRODUCT('5 App'!F57:F62,'5 App'!$G57:$G62)*4/(SUM('5 App'!$G57:$G62) - SUMIF('5 App'!F57:F62,"X",'5 App'!$G57:$G62)),MAX('5 App'!AD57:AD62)),MIN('5 App'!AH57:AH62))))</f>
        <v/>
      </c>
      <c r="H135" s="447">
        <f>IF(AND(OR(D135="X",D135=""),OR(E135="X",E135=""),OR(F135="X",F135=""),OR(G135="X",G135="")),1,ROUND(MIN(IF(OR(D135="",D135="X"),4,D135),IF(OR(E135="",E135="X"),4,E135),IF(OR(F135="",F135="X"),4,F135),IF(OR(G135="",G135="X"),4,G135)),0))</f>
        <v>1</v>
      </c>
      <c r="I135" s="16" t="str">
        <f>IF(OR(Projets!C42 = 1, Projets!D42 = 1), IF(IndG = 3, Projets!I42,IF(AND(IndG = 4,NOT(Projets!F42= ""), Projets!F42&lt;dateanal ),Projets!I42, "")),"")</f>
        <v/>
      </c>
      <c r="J135" s="448">
        <f>IF(IF(IndG&gt;=3,MAX(H135,I135),H135)&lt;1,1,IF(IndG&gt;=3,MAX(H135,I135),H135))</f>
        <v>1</v>
      </c>
      <c r="L135" s="1163">
        <v>6</v>
      </c>
      <c r="M135" s="34"/>
    </row>
    <row r="136" spans="1:23" ht="12" customHeight="1" x14ac:dyDescent="0.25">
      <c r="A136" s="287"/>
      <c r="B136" s="288" t="s">
        <v>6796</v>
      </c>
      <c r="C136" s="289"/>
      <c r="D136" s="139"/>
      <c r="E136" s="139"/>
      <c r="F136" s="139"/>
      <c r="G136" s="139"/>
      <c r="H136" s="449"/>
      <c r="I136" s="16"/>
      <c r="J136" s="448"/>
      <c r="L136" s="1162"/>
      <c r="M136" s="34"/>
    </row>
    <row r="137" spans="1:23" ht="12" customHeight="1" x14ac:dyDescent="0.25">
      <c r="A137" s="287"/>
      <c r="B137" s="289" t="s">
        <v>643</v>
      </c>
      <c r="C137" s="289" t="s">
        <v>4620</v>
      </c>
      <c r="D137" s="139" t="str">
        <f>IF(NOT('5 App'!C64 = ""),'5 App'!C64,IF(COUNTIF('5 App'!C65:C71,"&gt;=0")=0,"", MIN(MAX(SUMPRODUCT('5 App'!C65:C71,'5 App'!$G65:$G71)*4/(SUM('5 App'!$G65:$G71) - SUMIF('5 App'!C65:C71,"X",'5 App'!$G65:$G71)),MAX('5 App'!AA65:AA71)),MIN('5 App'!AE65:AE71))))</f>
        <v/>
      </c>
      <c r="E137" s="139" t="str">
        <f>IF(NOT('5 App'!D64 = ""),'5 App'!D64,IF(COUNTIF('5 App'!D65:D71,"&gt;=0")=0,"", MIN(MAX(SUMPRODUCT('5 App'!D65:D71,'5 App'!$G65:$G71)*4/(SUM('5 App'!$G65:$G71) - SUMIF('5 App'!D65:D71,"X",'5 App'!$G65:$G71)),MAX('5 App'!AB65:AB71)),MIN('5 App'!AF65:AF71))))</f>
        <v/>
      </c>
      <c r="F137" s="139" t="str">
        <f>IF(NOT('5 App'!E64 = ""),'5 App'!E64,IF(COUNTIF('5 App'!E65:E71,"&gt;=0")=0,"", MIN(MAX(SUMPRODUCT('5 App'!E65:E71,'5 App'!$G65:$G71)*4/(SUM('5 App'!$G65:$G71) - SUMIF('5 App'!E65:E71,"X",'5 App'!$G65:$G71)),MAX('5 App'!AC65:AC71)),MIN('5 App'!AG65:AG71))))</f>
        <v/>
      </c>
      <c r="G137" s="139" t="str">
        <f>IF(NOT('5 App'!F64 = ""),'5 App'!F64,IF(COUNTIF('5 App'!F65:F71,"&gt;=0")=0,"", MIN(MAX(SUMPRODUCT('5 App'!F65:F71,'5 App'!$G65:$G71)*4/(SUM('5 App'!$G65:$G71) - SUMIF('5 App'!F65:F71,"X",'5 App'!$G65:$G71)),MAX('5 App'!AD65:AD71)),MIN('5 App'!AH65:AH71))))</f>
        <v/>
      </c>
      <c r="H137" s="447">
        <f>IF(AND(OR(D137="X",D137=""),OR(E137="X",E137=""),OR(F137="X",F137=""),OR(G137="X",G137="")),1,ROUND(MIN(IF(OR(D137="",D137="X"),4,D137),IF(OR(E137="",E137="X"),4,E137),IF(OR(F137="",F137="X"),4,F137),IF(OR(G137="",G137="X"),4,G137)),0))</f>
        <v>1</v>
      </c>
      <c r="I137" s="16" t="str">
        <f>IF(OR(Projets!C10 = 1, Projets!D10 = 1), IF(IndG = 3, Projets!L10,IF(AND(IndG = 4,NOT(Projets!F10= ""), Projets!F10&lt;dateanal ),Projets!L10, "")),"")</f>
        <v/>
      </c>
      <c r="J137" s="448">
        <f>IF(IF(IndG&gt;=3,MAX(H137,I137),H137)&lt;1,1,IF(IndG&gt;=3,MAX(H137,I137),H137))</f>
        <v>1</v>
      </c>
      <c r="L137" s="1163">
        <v>7</v>
      </c>
      <c r="M137" s="34"/>
      <c r="W137" s="50">
        <f>IF(INDEX(Tab_actions,53,1)=1,INDEX(Tab_actions,53,4),0)</f>
        <v>0</v>
      </c>
    </row>
    <row r="138" spans="1:23" ht="12" customHeight="1" x14ac:dyDescent="0.25">
      <c r="A138" s="287"/>
      <c r="B138" s="289" t="s">
        <v>642</v>
      </c>
      <c r="C138" s="53" t="s">
        <v>336</v>
      </c>
      <c r="D138" s="139" t="str">
        <f>IF(NOT('5 App'!C72 = ""),'5 App'!C72,IF(COUNTIF('5 App'!C73:C76,"&gt;=0")=0,"", MIN(MAX(SUMPRODUCT('5 App'!C73:C76,'5 App'!$G73:$G76)*4/(SUM('5 App'!$G73:$G76) - SUMIF('5 App'!C73:C76,"X",'5 App'!$G73:$G76)),MAX('5 App'!AA73:AA76)),MIN('5 App'!AE73:AE76))))</f>
        <v/>
      </c>
      <c r="E138" s="139" t="str">
        <f>IF(NOT('5 App'!D72 = ""),'5 App'!D72,IF(COUNTIF('5 App'!D73:D76,"&gt;=0")=0,"", MIN(MAX(SUMPRODUCT('5 App'!D73:D76,'5 App'!$G73:$G76)*4/(SUM('5 App'!$G73:$G76) - SUMIF('5 App'!D73:D76,"X",'5 App'!$G73:$G76)),MAX('5 App'!AB73:AB76)),MIN('5 App'!AF73:AF76))))</f>
        <v/>
      </c>
      <c r="F138" s="139" t="str">
        <f>IF(NOT('5 App'!E72 = ""),'5 App'!E72,IF(COUNTIF('5 App'!E73:E76,"&gt;=0")=0,"", MIN(MAX(SUMPRODUCT('5 App'!E73:E76,'5 App'!$G73:$G76)*4/(SUM('5 App'!$G73:$G76) - SUMIF('5 App'!E73:E76,"X",'5 App'!$G73:$G76)),MAX('5 App'!AC73:AC76)),MIN('5 App'!AG73:AG76))))</f>
        <v/>
      </c>
      <c r="G138" s="139" t="str">
        <f>IF(NOT('5 App'!F72 = ""),'5 App'!F72,IF(COUNTIF('5 App'!F73:F76,"&gt;=0")=0,"", MIN(MAX(SUMPRODUCT('5 App'!F73:F76,'5 App'!$G73:$G76)*4/(SUM('5 App'!$G73:$G76) - SUMIF('5 App'!F73:F76,"X",'5 App'!$G73:$G76)),MAX('5 App'!AD73:AD76)),MIN('5 App'!AH73:AH76))))</f>
        <v/>
      </c>
      <c r="H138" s="447">
        <f>IF(AND(OR(D138="X",D138=""),OR(E138="X",E138=""),OR(F138="X",F138=""),OR(G138="X",G138="")),1,ROUND(MIN(IF(OR(D138="",D138="X"),4,D138),IF(OR(E138="",E138="X"),4,E138),IF(OR(F138="",F138="X"),4,F138),IF(OR(G138="",G138="X"),4,G138)),0))</f>
        <v>1</v>
      </c>
      <c r="I138" s="16"/>
      <c r="J138" s="448">
        <f>IF(IF(IndG&gt;=3,MAX(H138,I138),H138)&lt;1,1,IF(IndG&gt;=3,MAX(H138,I138),H138))</f>
        <v>1</v>
      </c>
      <c r="L138" s="1163">
        <v>4</v>
      </c>
      <c r="M138" s="34"/>
      <c r="W138" s="50">
        <f>IF(INDEX(Tab_actions,53,1)=1,INDEX(Tab_actions,53,4),0)</f>
        <v>0</v>
      </c>
    </row>
    <row r="139" spans="1:23" s="240" customFormat="1" ht="12.75" customHeight="1" x14ac:dyDescent="0.25">
      <c r="A139" s="270"/>
      <c r="B139" s="289" t="s">
        <v>4640</v>
      </c>
      <c r="C139" s="128" t="s">
        <v>4627</v>
      </c>
      <c r="D139" s="139" t="str">
        <f>IF(NOT('5 App'!C77 = ""),'5 App'!C77,IF(COUNTIF('5 App'!C78:C83,"&gt;=0")=0,"", MIN(MAX(SUMPRODUCT('5 App'!C78:C83,'5 App'!$G78:$G83)*4/(SUM('5 App'!$G78:$G83) - SUMIF('5 App'!C78:C83,"X",'5 App'!$G78:$G83)),MAX('5 App'!AA78:AA83)),MIN('5 App'!AE78:AE83))))</f>
        <v/>
      </c>
      <c r="E139" s="139" t="str">
        <f>IF(NOT('5 App'!D77 = ""),'5 App'!D77,IF(COUNTIF('5 App'!D78:D83,"&gt;=0")=0,"", MIN(MAX(SUMPRODUCT('5 App'!D78:D83,'5 App'!$G78:$G83)*4/(SUM('5 App'!$G78:$G83) - SUMIF('5 App'!D78:D83,"X",'5 App'!$G78:$G83)),MAX('5 App'!AB78:AB83)),MIN('5 App'!AF78:AF83))))</f>
        <v/>
      </c>
      <c r="F139" s="139" t="str">
        <f>IF(NOT('5 App'!E77 = ""),'5 App'!E77,IF(COUNTIF('5 App'!E78:E83,"&gt;=0")=0,"", MIN(MAX(SUMPRODUCT('5 App'!E78:E83,'5 App'!$G78:$G83)*4/(SUM('5 App'!$G78:$G83) - SUMIF('5 App'!E78:E83,"X",'5 App'!$G78:$G83)),MAX('5 App'!AC78:AC83)),MIN('5 App'!AG78:AG83))))</f>
        <v/>
      </c>
      <c r="G139" s="139" t="str">
        <f>IF(NOT('5 App'!F77 = ""),'5 App'!F77,IF(COUNTIF('5 App'!F78:F83,"&gt;=0")=0,"", MIN(MAX(SUMPRODUCT('5 App'!F78:F83,'5 App'!$G78:$G83)*4/(SUM('5 App'!$G78:$G83) - SUMIF('5 App'!F78:F83,"X",'5 App'!$G78:$G83)),MAX('5 App'!AD78:AD83)),MIN('5 App'!AH78:AH83))))</f>
        <v/>
      </c>
      <c r="H139" s="447">
        <f>IF(AND(OR(D139="X",D139=""),OR(E139="X",E139=""),OR(F139="X",F139=""),OR(G139="X",G139="")),1,ROUND(MIN(IF(OR(D139="",D139="X"),4,D139),IF(OR(E139="",E139="X"),4,E139),IF(OR(F139="",F139="X"),4,F139),IF(OR(G139="",G139="X"),4,G139)),0))</f>
        <v>1</v>
      </c>
      <c r="I139" s="16" t="str">
        <f>IF(OR(Projets!C38 = 1, Projets!D38 = 1), IF(IndG = 3, Projets!O38,IF(AND(IndG = 4,NOT(Projets!F38= ""), Projets!F38&lt;dateanal ),Projets!O38, "")),"")</f>
        <v/>
      </c>
      <c r="J139" s="448">
        <f>IF(IF(IndG&gt;=3,MAX(H139,I139),H139)&lt;1,1,IF(IndG&gt;=3,MAX(H139,I139),H139))</f>
        <v>1</v>
      </c>
      <c r="L139" s="1163">
        <v>6</v>
      </c>
      <c r="M139" s="34"/>
    </row>
    <row r="140" spans="1:23" s="34" customFormat="1" ht="12" customHeight="1" x14ac:dyDescent="0.25">
      <c r="B140" s="290" t="s">
        <v>482</v>
      </c>
      <c r="C140" s="291"/>
      <c r="D140" s="139"/>
      <c r="E140" s="139"/>
      <c r="F140" s="139"/>
      <c r="G140" s="139"/>
      <c r="H140" s="447"/>
      <c r="I140" s="16"/>
      <c r="J140" s="448"/>
      <c r="L140" s="1162"/>
    </row>
    <row r="141" spans="1:23" s="34" customFormat="1" ht="12" customHeight="1" x14ac:dyDescent="0.25">
      <c r="A141" s="272"/>
      <c r="B141" s="292" t="s">
        <v>698</v>
      </c>
      <c r="C141" s="39" t="s">
        <v>201</v>
      </c>
      <c r="D141" s="139" t="str">
        <f>IF(NOT('5 App'!C85 = ""),'5 App'!C85,IF(COUNTIF('5 App'!C86:C95,"&gt;=0")=0,"", MIN(MAX(SUMPRODUCT('5 App'!C86:C95,'5 App'!$G86:$G95)*4/(SUM('5 App'!$G86:$G95) - SUMIF('5 App'!C86:C95,"X",'5 App'!$G86:$G95)),MAX('5 App'!AA86:AA95)),MIN('5 App'!AE86:AE95))))</f>
        <v/>
      </c>
      <c r="E141" s="139" t="str">
        <f>IF(NOT('5 App'!D85 = ""),'5 App'!D85,IF(COUNTIF('5 App'!D86:D95,"&gt;=0")=0,"", MIN(MAX(SUMPRODUCT('5 App'!D86:D95,'5 App'!$G86:$G95)*4/(SUM('5 App'!$G86:$G95) - SUMIF('5 App'!D86:D95,"X",'5 App'!$G86:$G95)),MAX('5 App'!AB86:AB95)),MIN('5 App'!AF86:AF95))))</f>
        <v/>
      </c>
      <c r="F141" s="139" t="str">
        <f>IF(NOT('5 App'!E85 = ""),'5 App'!E85,IF(COUNTIF('5 App'!E86:E95,"&gt;=0")=0,"", MIN(MAX(SUMPRODUCT('5 App'!E86:E95,'5 App'!$G86:$G95)*4/(SUM('5 App'!$G86:$G95) - SUMIF('5 App'!E86:E95,"X",'5 App'!$G86:$G95)),MAX('5 App'!AC86:AC95)),MIN('5 App'!AG86:AG95))))</f>
        <v/>
      </c>
      <c r="G141" s="139" t="str">
        <f>IF(NOT('5 App'!F85 = ""),'5 App'!F85,IF(COUNTIF('5 App'!F86:F95,"&gt;=0")=0,"", MIN(MAX(SUMPRODUCT('5 App'!F86:F95,'5 App'!$G86:$G95)*4/(SUM('5 App'!$G86:$G95) - SUMIF('5 App'!F86:F95,"X",'5 App'!$G86:$G95)),MAX('5 App'!AD86:AD95)),MIN('5 App'!AH86:AH95))))</f>
        <v/>
      </c>
      <c r="H141" s="447">
        <f>IF(AND(OR(D141="X",D141=""),OR(E141="X",E141=""),OR(F141="X",F141=""),OR(G141="X",G141="")),1,ROUND(MIN(IF(OR(D141="",D141="X"),4,D141),IF(OR(E141="",E141="X"),4,E141),IF(OR(F141="",F141="X"),4,F141),IF(OR(G141="",G141="X"),4,G141)),0))</f>
        <v>1</v>
      </c>
      <c r="I141" s="16" t="str">
        <f>IF(OR(Projets!C13 = 1, Projets!D13 = 1), IF(IndG = 3, Projets!L13,IF(AND(IndG = 4,NOT(Projets!F13= ""), Projets!F13&lt;dateanal ),Projets!L13, "")),"")</f>
        <v/>
      </c>
      <c r="J141" s="448">
        <f>IF(IF(IndG&gt;=3,MAX(H141,I141),H141)&lt;1,1,IF(IndG&gt;=3,MAX(H141,I141),H141))</f>
        <v>1</v>
      </c>
      <c r="L141" s="1163">
        <v>10</v>
      </c>
    </row>
    <row r="142" spans="1:23" s="34" customFormat="1" ht="12" customHeight="1" x14ac:dyDescent="0.25">
      <c r="A142" s="272"/>
      <c r="B142" s="292" t="s">
        <v>700</v>
      </c>
      <c r="C142" s="39" t="s">
        <v>766</v>
      </c>
      <c r="D142" s="139">
        <f>IF(NOT('5 App'!C96 = ""),'5 App'!C96,IF(COUNTIF('5 App'!C97:C102,"&gt;=0")=0,"", MIN(MAX(SUMPRODUCT('5 App'!C97:C102,'5 App'!$G97:$G102)*4/(SUM('5 App'!$G97:$G102) - SUMIF('5 App'!C97:C102,"X",'5 App'!$G97:$G102)),MAX('5 App'!AA97:AA102)),MIN('5 App'!AE97:AE102))))</f>
        <v>0</v>
      </c>
      <c r="E142" s="139" t="str">
        <f>IF(NOT('5 App'!D96 = ""),'5 App'!D96,IF(COUNTIF('5 App'!D97:D102,"&gt;=0")=0,"", MIN(MAX(SUMPRODUCT('5 App'!D97:D102,'5 App'!$G97:$G102)*4/(SUM('5 App'!$G97:$G102) - SUMIF('5 App'!D97:D102,"X",'5 App'!$G97:$G102)),MAX('5 App'!AB97:AB102)),MIN('5 App'!AF97:AF102))))</f>
        <v/>
      </c>
      <c r="F142" s="139" t="str">
        <f>IF(NOT('5 App'!E96 = ""),'5 App'!E96,IF(COUNTIF('5 App'!E97:E102,"&gt;=0")=0,"", MIN(MAX(SUMPRODUCT('5 App'!E97:E102,'5 App'!$G97:$G102)*4/(SUM('5 App'!$G97:$G102) - SUMIF('5 App'!E97:E102,"X",'5 App'!$G97:$G102)),MAX('5 App'!AC97:AC102)),MIN('5 App'!AG97:AG102))))</f>
        <v/>
      </c>
      <c r="G142" s="139" t="str">
        <f>IF(NOT('5 App'!F96 = ""),'5 App'!F96,IF(COUNTIF('5 App'!F97:F102,"&gt;=0")=0,"", MIN(MAX(SUMPRODUCT('5 App'!F97:F102,'5 App'!$G97:$G102)*4/(SUM('5 App'!$G97:$G102) - SUMIF('5 App'!F97:F102,"X",'5 App'!$G97:$G102)),MAX('5 App'!AD97:AD102)),MIN('5 App'!AH97:AH102))))</f>
        <v/>
      </c>
      <c r="H142" s="447">
        <f>IF(AND(OR(D142="X",D142=""),OR(E142="X",E142=""),OR(F142="X",F142=""),OR(G142="X",G142="")),1,ROUND(MIN(IF(OR(D142="",D142="X"),4,D142),IF(OR(E142="",E142="X"),4,E142),IF(OR(F142="",F142="X"),4,F142),IF(OR(G142="",G142="X"),4,G142)),0))</f>
        <v>0</v>
      </c>
      <c r="I142" s="16" t="str">
        <f>IF(OR(Projets!C14 = 1, Projets!D14 = 1), IF(IndG = 3, Projets!L14,IF(AND(IndG = 4,NOT(Projets!F14= ""), Projets!F14&lt;dateanal ),Projets!L14, "")),"")</f>
        <v/>
      </c>
      <c r="J142" s="448">
        <f>IF(IF(IndG&gt;=3,MAX(H142,I142),H142)&lt;1,1,IF(IndG&gt;=3,MAX(H142,I142),H142))</f>
        <v>1</v>
      </c>
      <c r="L142" s="1163">
        <v>6</v>
      </c>
    </row>
    <row r="143" spans="1:23" s="34" customFormat="1" ht="12" customHeight="1" x14ac:dyDescent="0.25">
      <c r="A143" s="272"/>
      <c r="B143" s="293" t="s">
        <v>702</v>
      </c>
      <c r="C143" s="215" t="s">
        <v>767</v>
      </c>
      <c r="D143" s="139" t="str">
        <f>IF(NOT('5 App'!C103 = ""),'5 App'!C103,IF(COUNTIF('5 App'!C104:C105,"&gt;=0")=0,"", MIN(MAX(SUMPRODUCT('5 App'!C104:C105,'5 App'!$G104:$G105)*4/(SUM('5 App'!$G104:$G105) - SUMIF('5 App'!C104:C105,"X",'5 App'!$G104:$G105)),MAX('5 App'!AA104:AA105)),MIN('5 App'!AE104:AE105))))</f>
        <v/>
      </c>
      <c r="E143" s="139" t="str">
        <f>IF(NOT('5 App'!D103 = ""),'5 App'!D103,IF(COUNTIF('5 App'!D104:D105,"&gt;=0")=0,"", MIN(MAX(SUMPRODUCT('5 App'!D104:D105,'5 App'!$G104:$G105)*4/(SUM('5 App'!$G104:$G105) - SUMIF('5 App'!D104:D105,"X",'5 App'!$G104:$G105)),MAX('5 App'!AB104:AB105)),MIN('5 App'!AF104:AF105))))</f>
        <v/>
      </c>
      <c r="F143" s="139" t="str">
        <f>IF(NOT('5 App'!E103 = ""),'5 App'!E103,IF(COUNTIF('5 App'!E104:E105,"&gt;=0")=0,"", MIN(MAX(SUMPRODUCT('5 App'!E104:E105,'5 App'!$G104:$G105)*4/(SUM('5 App'!$G104:$G105) - SUMIF('5 App'!E104:E105,"X",'5 App'!$G104:$G105)),MAX('5 App'!AC104:AC105)),MIN('5 App'!AG104:AG105))))</f>
        <v/>
      </c>
      <c r="G143" s="139" t="str">
        <f>IF(NOT('5 App'!F103 = ""),'5 App'!F103,IF(COUNTIF('5 App'!F104:F105,"&gt;=0")=0,"", MIN(MAX(SUMPRODUCT('5 App'!F104:F105,'5 App'!$G104:$G105)*4/(SUM('5 App'!$G104:$G105) - SUMIF('5 App'!F104:F105,"X",'5 App'!$G104:$G105)),MAX('5 App'!AD104:AD105)),MIN('5 App'!AH104:AH105))))</f>
        <v/>
      </c>
      <c r="H143" s="447">
        <f>IF(AND(OR(D143="X",D143=""),OR(E143="X",E143=""),OR(F143="X",F143=""),OR(G143="X",G143="")),1,ROUND(MIN(IF(OR(D143="",D143="X"),4,D143),IF(OR(E143="",E143="X"),4,E143),IF(OR(F143="",F143="X"),4,F143),IF(OR(G143="",G143="X"),4,G143)),0))</f>
        <v>1</v>
      </c>
      <c r="I143" s="16"/>
      <c r="J143" s="448">
        <f>IF(IF(IndG&gt;=3,MAX(H143,I143),H143)&lt;1,1,IF(IndG&gt;=3,MAX(H143,I143),H143))</f>
        <v>1</v>
      </c>
      <c r="L143" s="1163">
        <v>2</v>
      </c>
    </row>
    <row r="144" spans="1:23" s="240" customFormat="1" ht="12" customHeight="1" x14ac:dyDescent="0.25">
      <c r="A144" s="270"/>
      <c r="B144" s="293" t="s">
        <v>4476</v>
      </c>
      <c r="C144" s="36" t="s">
        <v>4475</v>
      </c>
      <c r="D144" s="139" t="str">
        <f>IF(NOT('5 App'!C106 = ""),'5 App'!C106,IF(COUNTIF('5 App'!C107:C112,"&gt;=0")=0,"", MIN(MAX(SUMPRODUCT('5 App'!C107:C112,'5 App'!$G107:$G112)*4/(SUM('5 App'!$G107:$G112) - SUMIF('5 App'!C107:C112,"X",'5 App'!$G107:$G112)),MAX('5 App'!AA107:AA112)),MIN('5 App'!AE107:AE112))))</f>
        <v/>
      </c>
      <c r="E144" s="139" t="str">
        <f>IF(NOT('5 App'!D106 = ""),'5 App'!D106,IF(COUNTIF('5 App'!D107:D112,"&gt;=0")=0,"", MIN(MAX(SUMPRODUCT('5 App'!D107:D112,'5 App'!$G107:$G112)*4/(SUM('5 App'!$G107:$G112) - SUMIF('5 App'!D107:D112,"X",'5 App'!$G107:$G112)),MAX('5 App'!AB107:AB112)),MIN('5 App'!AF107:AF112))))</f>
        <v/>
      </c>
      <c r="F144" s="139" t="str">
        <f>IF(NOT('5 App'!E106 = ""),'5 App'!E106,IF(COUNTIF('5 App'!E107:E112,"&gt;=0")=0,"", MIN(MAX(SUMPRODUCT('5 App'!E107:E112,'5 App'!$G107:$G112)*4/(SUM('5 App'!$G107:$G112) - SUMIF('5 App'!E107:E112,"X",'5 App'!$G107:$G112)),MAX('5 App'!AC107:AC112)),MIN('5 App'!AG107:AG112))))</f>
        <v/>
      </c>
      <c r="G144" s="139" t="str">
        <f>IF(NOT('5 App'!F106 = ""),'5 App'!F106,IF(COUNTIF('5 App'!F107:F112,"&gt;=0")=0,"", MIN(MAX(SUMPRODUCT('5 App'!F107:F112,'5 App'!$G107:$G112)*4/(SUM('5 App'!$G107:$G112) - SUMIF('5 App'!F107:F112,"X",'5 App'!$G107:$G112)),MAX('5 App'!AD107:AD112)),MIN('5 App'!AH107:AH112))))</f>
        <v/>
      </c>
      <c r="H144" s="447">
        <f>IF(AND(OR(D144="X",D144=""),OR(E144="X",E144=""),OR(F144="X",F144=""),OR(G144="X",G144="")),1,ROUND(MIN(IF(OR(D144="",D144="X"),4,D144),IF(OR(E144="",E144="X"),4,E144),IF(OR(F144="",F144="X"),4,F144),IF(OR(G144="",G144="X"),4,G144)),0))</f>
        <v>1</v>
      </c>
      <c r="I144" s="16" t="str">
        <f>IF(OR(Projets!C10 = 1, Projets!D10 = 1), IF(IndG = 3, Projets!O10,IF(AND(IndG = 4,NOT(Projets!F10= ""), Projets!F10&lt;dateanal ),Projets!O10, "")),"")</f>
        <v/>
      </c>
      <c r="J144" s="448">
        <f>IF(IF(IndG&gt;=3,MAX(H144,I144),H144)&lt;1,1,IF(IndG&gt;=3,MAX(H144,I144),H144))</f>
        <v>1</v>
      </c>
      <c r="L144" s="1163">
        <v>6</v>
      </c>
      <c r="M144" s="34"/>
    </row>
    <row r="145" spans="1:13" s="34" customFormat="1" ht="12" customHeight="1" x14ac:dyDescent="0.25">
      <c r="A145" s="272"/>
      <c r="B145" s="54" t="s">
        <v>768</v>
      </c>
      <c r="C145" s="53"/>
      <c r="D145" s="139"/>
      <c r="E145" s="139"/>
      <c r="F145" s="139"/>
      <c r="G145" s="139"/>
      <c r="H145" s="447"/>
      <c r="I145" s="16"/>
      <c r="J145" s="448"/>
      <c r="L145" s="1162"/>
    </row>
    <row r="146" spans="1:13" s="34" customFormat="1" ht="12" customHeight="1" x14ac:dyDescent="0.25">
      <c r="A146" s="272"/>
      <c r="B146" s="216" t="s">
        <v>769</v>
      </c>
      <c r="C146" s="53" t="s">
        <v>55</v>
      </c>
      <c r="D146" s="139" t="str">
        <f>IF(NOT('5 App'!C114 = ""),'5 App'!C114,IF(COUNTIF('5 App'!C115:C120,"&gt;=0")=0,"", MIN(MAX(SUMPRODUCT('5 App'!C115:C120,'5 App'!$G115:$G120)*4/(SUM('5 App'!$G115:$G120) - SUMIF('5 App'!C115:C120,"X",'5 App'!$G115:$G120)),MAX('5 App'!AA115:AA120)),MIN('5 App'!AE115:AE120))))</f>
        <v/>
      </c>
      <c r="E146" s="139" t="str">
        <f>IF(NOT('5 App'!D114 = ""),'5 App'!D114,IF(COUNTIF('5 App'!D115:D120,"&gt;=0")=0,"", MIN(MAX(SUMPRODUCT('5 App'!D115:D120,'5 App'!$G115:$G120)*4/(SUM('5 App'!$G115:$G120) - SUMIF('5 App'!D115:D120,"X",'5 App'!$G115:$G120)),MAX('5 App'!AB115:AB120)),MIN('5 App'!AF115:AF120))))</f>
        <v/>
      </c>
      <c r="F146" s="139" t="str">
        <f>IF(NOT('5 App'!E114 = ""),'5 App'!E114,IF(COUNTIF('5 App'!E115:E120,"&gt;=0")=0,"", MIN(MAX(SUMPRODUCT('5 App'!E115:E120,'5 App'!$G115:$G120)*4/(SUM('5 App'!$G115:$G120) - SUMIF('5 App'!E115:E120,"X",'5 App'!$G115:$G120)),MAX('5 App'!AC115:AC120)),MIN('5 App'!AG115:AG120))))</f>
        <v/>
      </c>
      <c r="G146" s="139" t="str">
        <f>IF(NOT('5 App'!F114 = ""),'5 App'!F114,IF(COUNTIF('5 App'!F115:F120,"&gt;=0")=0,"", MIN(MAX(SUMPRODUCT('5 App'!F115:F120,'5 App'!$G115:$G120)*4/(SUM('5 App'!$G115:$G120) - SUMIF('5 App'!F115:F120,"X",'5 App'!$G115:$G120)),MAX('5 App'!AD115:AD120)),MIN('5 App'!AH115:AH120))))</f>
        <v/>
      </c>
      <c r="H146" s="447">
        <f>IF(AND(OR(D146="X",D146=""),OR(E146="X",E146=""),OR(F146="X",F146=""),OR(G146="X",G146="")),1,ROUND(MIN(IF(OR(D146="",D146="X"),4,D146),IF(OR(E146="",E146="X"),4,E146),IF(OR(F146="",F146="X"),4,F146),IF(OR(G146="",G146="X"),4,G146)),0))</f>
        <v>1</v>
      </c>
      <c r="I146" s="16" t="str">
        <f>IF(OR(Projets!C61 = 1, Projets!D61 = 1), IF(IndG = 3, Projets!I61,IF(AND(IndG = 4,NOT(Projets!F61= ""), Projets!F61&lt;dateanal ),Projets!I61, "")),"")</f>
        <v/>
      </c>
      <c r="J146" s="448">
        <f>IF(IF(IndG&gt;=3,MAX(H146,I146),H146)&lt;1,1,IF(IndG&gt;=3,MAX(H146,I146),H146))</f>
        <v>1</v>
      </c>
      <c r="L146" s="1163">
        <v>6</v>
      </c>
    </row>
    <row r="147" spans="1:13" s="34" customFormat="1" ht="12" customHeight="1" x14ac:dyDescent="0.25">
      <c r="A147" s="272"/>
      <c r="B147" s="216" t="s">
        <v>770</v>
      </c>
      <c r="C147" s="36" t="s">
        <v>328</v>
      </c>
      <c r="D147" s="139" t="str">
        <f>IF(NOT('5 App'!C121 = ""),'5 App'!C121,IF(COUNTIF('5 App'!C122:C127,"&gt;=0")=0,"", MIN(MAX(SUMPRODUCT('5 App'!C122:C127,'5 App'!$G122:$G127)*4/(SUM('5 App'!$G122:$G127) - SUMIF('5 App'!C122:C127,"X",'5 App'!$G122:$G127)),MAX('5 App'!AA122:AA127)),MIN('5 App'!AE122:AE127))))</f>
        <v/>
      </c>
      <c r="E147" s="139" t="str">
        <f>IF(NOT('5 App'!D121 = ""),'5 App'!D121,IF(COUNTIF('5 App'!D122:D127,"&gt;=0")=0,"", MIN(MAX(SUMPRODUCT('5 App'!D122:D127,'5 App'!$G122:$G127)*4/(SUM('5 App'!$G122:$G127) - SUMIF('5 App'!D122:D127,"X",'5 App'!$G122:$G127)),MAX('5 App'!AB122:AB127)),MIN('5 App'!AF122:AF127))))</f>
        <v/>
      </c>
      <c r="F147" s="139" t="str">
        <f>IF(NOT('5 App'!E121 = ""),'5 App'!E121,IF(COUNTIF('5 App'!E122:E127,"&gt;=0")=0,"", MIN(MAX(SUMPRODUCT('5 App'!E122:E127,'5 App'!$G122:$G127)*4/(SUM('5 App'!$G122:$G127) - SUMIF('5 App'!E122:E127,"X",'5 App'!$G122:$G127)),MAX('5 App'!AC122:AC127)),MIN('5 App'!AG122:AG127))))</f>
        <v/>
      </c>
      <c r="G147" s="139" t="str">
        <f>IF(NOT('5 App'!F121 = ""),'5 App'!F121,IF(COUNTIF('5 App'!F122:F127,"&gt;=0")=0,"", MIN(MAX(SUMPRODUCT('5 App'!F122:F127,'5 App'!$G122:$G127)*4/(SUM('5 App'!$G122:$G127) - SUMIF('5 App'!F122:F127,"X",'5 App'!$G122:$G127)),MAX('5 App'!AD122:AD127)),MIN('5 App'!AH122:AH127))))</f>
        <v/>
      </c>
      <c r="H147" s="447">
        <f>IF(AND(OR(D147="X",D147=""),OR(E147="X",E147=""),OR(F147="X",F147=""),OR(G147="X",G147="")),1,ROUND(MIN(IF(OR(D147="",D147="X"),4,D147),IF(OR(E147="",E147="X"),4,E147),IF(OR(F147="",F147="X"),4,F147),IF(OR(G147="",G147="X"),4,G147)),0))</f>
        <v>1</v>
      </c>
      <c r="I147" s="16" t="str">
        <f>IF(OR(Projets!C61 = 1, Projets!D61 = 1), IF(IndG = 3, Projets!L61,IF(AND(IndG = 4,NOT(Projets!F61= ""), Projets!F61&lt;dateanal ),Projets!L61, "")),"")</f>
        <v/>
      </c>
      <c r="J147" s="448">
        <f>IF(IF(IndG&gt;=3,MAX(H147,I147),H147)&lt;1,1,IF(IndG&gt;=3,MAX(H147,I147),H147))</f>
        <v>1</v>
      </c>
      <c r="L147" s="1163">
        <v>6</v>
      </c>
    </row>
    <row r="148" spans="1:13" s="34" customFormat="1" ht="12" customHeight="1" x14ac:dyDescent="0.25">
      <c r="A148" s="272"/>
      <c r="B148" s="216" t="s">
        <v>771</v>
      </c>
      <c r="C148" s="53" t="s">
        <v>3251</v>
      </c>
      <c r="D148" s="139" t="str">
        <f>IF(NOT('5 App'!C128 = ""),'5 App'!C128,IF(COUNTIF('5 App'!C129:C135,"&gt;=0")=0,"", MIN(MAX(SUMPRODUCT('5 App'!C129:C135,'5 App'!$G129:$G135)*4/(SUM('5 App'!$G129:$G135) - SUMIF('5 App'!C129:C135,"X",'5 App'!$G129:$G135)),MAX('5 App'!AA129:AA135)),MIN('5 App'!AE129:AE135))))</f>
        <v/>
      </c>
      <c r="E148" s="139" t="str">
        <f>IF(NOT('5 App'!D128 = ""),'5 App'!D128,IF(COUNTIF('5 App'!D129:D135,"&gt;=0")=0,"", MIN(MAX(SUMPRODUCT('5 App'!D129:D135,'5 App'!$G129:$G135)*4/(SUM('5 App'!$G129:$G135) - SUMIF('5 App'!D129:D135,"X",'5 App'!$G129:$G135)),MAX('5 App'!AB129:AB135)),MIN('5 App'!AF129:AF135))))</f>
        <v/>
      </c>
      <c r="F148" s="139" t="str">
        <f>IF(NOT('5 App'!E128 = ""),'5 App'!E128,IF(COUNTIF('5 App'!E129:E135,"&gt;=0")=0,"", MIN(MAX(SUMPRODUCT('5 App'!E129:E135,'5 App'!$G129:$G135)*4/(SUM('5 App'!$G129:$G135) - SUMIF('5 App'!E129:E135,"X",'5 App'!$G129:$G135)),MAX('5 App'!AC129:AC135)),MIN('5 App'!AG129:AG135))))</f>
        <v/>
      </c>
      <c r="G148" s="139" t="str">
        <f>IF(NOT('5 App'!F128 = ""),'5 App'!F128,IF(COUNTIF('5 App'!F129:F135,"&gt;=0")=0,"", MIN(MAX(SUMPRODUCT('5 App'!F129:F135,'5 App'!$G129:$G135)*4/(SUM('5 App'!$G129:$G135) - SUMIF('5 App'!F129:F135,"X",'5 App'!$G129:$G135)),MAX('5 App'!AD129:AD135)),MIN('5 App'!AH129:AH135))))</f>
        <v/>
      </c>
      <c r="H148" s="447">
        <f>IF(AND(OR(D148="X",D148=""),OR(E148="X",E148=""),OR(F148="X",F148=""),OR(G148="X",G148="")),1,ROUND(MIN(IF(OR(D148="",D148="X"),4,D148),IF(OR(E148="",E148="X"),4,E148),IF(OR(F148="",F148="X"),4,F148),IF(OR(G148="",G148="X"),4,G148)),0))</f>
        <v>1</v>
      </c>
      <c r="I148" s="16" t="str">
        <f>IF(OR(Projets!C61 = 1, Projets!D61 = 1), IF(IndG = 3, Projets!O61,IF(AND(IndG = 4,NOT(Projets!F61= ""), Projets!F61&lt;dateanal ),Projets!O61, "")),"")</f>
        <v/>
      </c>
      <c r="J148" s="448">
        <f>IF(IF(IndG&gt;=3,MAX(H148,I148),H148)&lt;1,1,IF(IndG&gt;=3,MAX(H148,I148),H148))</f>
        <v>1</v>
      </c>
      <c r="L148" s="1163">
        <v>7</v>
      </c>
    </row>
    <row r="149" spans="1:13" s="34" customFormat="1" ht="12" customHeight="1" x14ac:dyDescent="0.25">
      <c r="A149" s="272"/>
      <c r="B149" s="216" t="s">
        <v>4591</v>
      </c>
      <c r="C149" s="53" t="s">
        <v>4590</v>
      </c>
      <c r="D149" s="139" t="str">
        <f>IF(NOT('5 App'!C136 = ""),'5 App'!C136,IF(COUNTIF('5 App'!C137:C141,"&gt;=0")=0,"", MIN(MAX(SUMPRODUCT('5 App'!C137:C141,'5 App'!$G137:$G141)*4/(SUM('5 App'!$G137:$G141) - SUMIF('5 App'!C137:C141,"X",'5 App'!$G137:$G141)),MAX('5 App'!AA137:AA141)),MIN('5 App'!AE137:AE141))))</f>
        <v/>
      </c>
      <c r="E149" s="139" t="str">
        <f>IF(NOT('5 App'!D136 = ""),'5 App'!D136,IF(COUNTIF('5 App'!D137:D141,"&gt;=0")=0,"", MIN(MAX(SUMPRODUCT('5 App'!D137:D141,'5 App'!$G137:$G141)*4/(SUM('5 App'!$G137:$G141) - SUMIF('5 App'!D137:D141,"X",'5 App'!$G137:$G141)),MAX('5 App'!AB137:AB141)),MIN('5 App'!AF137:AF141))))</f>
        <v/>
      </c>
      <c r="F149" s="139" t="str">
        <f>IF(NOT('5 App'!E136 = ""),'5 App'!E136,IF(COUNTIF('5 App'!E137:E141,"&gt;=0")=0,"", MIN(MAX(SUMPRODUCT('5 App'!E137:E141,'5 App'!$G137:$G141)*4/(SUM('5 App'!$G137:$G141) - SUMIF('5 App'!E137:E141,"X",'5 App'!$G137:$G141)),MAX('5 App'!AC137:AC141)),MIN('5 App'!AG137:AG141))))</f>
        <v/>
      </c>
      <c r="G149" s="139" t="str">
        <f>IF(NOT('5 App'!F136 = ""),'5 App'!F136,IF(COUNTIF('5 App'!F137:F141,"&gt;=0")=0,"", MIN(MAX(SUMPRODUCT('5 App'!F137:F141,'5 App'!$G137:$G141)*4/(SUM('5 App'!$G137:$G141) - SUMIF('5 App'!F137:F141,"X",'5 App'!$G137:$G141)),MAX('5 App'!AD137:AD141)),MIN('5 App'!AH137:AH141))))</f>
        <v/>
      </c>
      <c r="H149" s="447">
        <f>IF(AND(OR(D149="X",D149=""),OR(E149="X",E149=""),OR(F149="X",F149=""),OR(G149="X",G149="")),1,ROUND(MIN(IF(OR(D149="",D149="X"),4,D149),IF(OR(E149="",E149="X"),4,E149),IF(OR(F149="",F149="X"),4,F149),IF(OR(G149="",G149="X"),4,G149)),0))</f>
        <v>1</v>
      </c>
      <c r="I149" s="16" t="str">
        <f>IF(OR(Projets!C61 = 1, Projets!D61 = 1), IF(IndG = 3, Projets!R61,IF(AND(IndG = 4,NOT(Projets!F61= ""), Projets!F61&lt;dateanal ),Projets!R61, "")),"")</f>
        <v/>
      </c>
      <c r="J149" s="448">
        <f>IF(IF(IndG&gt;=3,MAX(H149,I149),H149)&lt;1,1,IF(IndG&gt;=3,MAX(H149,I149),H149))</f>
        <v>1</v>
      </c>
      <c r="L149" s="1163">
        <v>5</v>
      </c>
    </row>
    <row r="150" spans="1:13" ht="12" customHeight="1" x14ac:dyDescent="0.25">
      <c r="A150" s="287"/>
      <c r="B150" s="288" t="s">
        <v>3091</v>
      </c>
      <c r="C150" s="289"/>
      <c r="D150" s="139"/>
      <c r="E150" s="139"/>
      <c r="F150" s="139"/>
      <c r="G150" s="139"/>
      <c r="H150" s="447"/>
      <c r="I150" s="16"/>
      <c r="J150" s="448"/>
      <c r="L150" s="1162"/>
      <c r="M150" s="34"/>
    </row>
    <row r="151" spans="1:13" s="281" customFormat="1" ht="11.25" customHeight="1" x14ac:dyDescent="0.25">
      <c r="A151" s="300"/>
      <c r="B151" s="327" t="s">
        <v>1607</v>
      </c>
      <c r="C151" s="135" t="s">
        <v>2313</v>
      </c>
      <c r="D151" s="139" t="str">
        <f>IF(NOT('5 App'!C143 = ""),'5 App'!C143,IF(COUNTIF('5 App'!C144:C149,"&gt;=0")=0,"", MIN(MAX(SUMPRODUCT('5 App'!C144:C149,'5 App'!$G144:$G149)*4/(SUM('5 App'!$G144:$G149) - SUMIF('5 App'!C144:C149,"X",'5 App'!$G144:$G149)),MAX('5 App'!AA144:AA149)),MIN('5 App'!AE144:AE149))))</f>
        <v/>
      </c>
      <c r="E151" s="139" t="str">
        <f>IF(NOT('5 App'!D143 = ""),'5 App'!D143,IF(COUNTIF('5 App'!D144:D149,"&gt;=0")=0,"", MIN(MAX(SUMPRODUCT('5 App'!D144:D149,'5 App'!$G144:$G149)*4/(SUM('5 App'!$G144:$G149) - SUMIF('5 App'!D144:D149,"X",'5 App'!$G144:$G149)),MAX('5 App'!AB144:AB149)),MIN('5 App'!AF144:AF149))))</f>
        <v/>
      </c>
      <c r="F151" s="139" t="str">
        <f>IF(NOT('5 App'!E143 = ""),'5 App'!E143,IF(COUNTIF('5 App'!E144:E149,"&gt;=0")=0,"", MIN(MAX(SUMPRODUCT('5 App'!E144:E149,'5 App'!$G144:$G149)*4/(SUM('5 App'!$G144:$G149) - SUMIF('5 App'!E144:E149,"X",'5 App'!$G144:$G149)),MAX('5 App'!AC144:AC149)),MIN('5 App'!AG144:AG149))))</f>
        <v/>
      </c>
      <c r="G151" s="139" t="str">
        <f>IF(NOT('5 App'!F143 = ""),'5 App'!F143,IF(COUNTIF('5 App'!F144:F149,"&gt;=0")=0,"", MIN(MAX(SUMPRODUCT('5 App'!F144:F149,'5 App'!$G144:$G149)*4/(SUM('5 App'!$G144:$G149) - SUMIF('5 App'!F144:F149,"X",'5 App'!$G144:$G149)),MAX('5 App'!AD144:AD149)),MIN('5 App'!AH144:AH149))))</f>
        <v/>
      </c>
      <c r="H151" s="447">
        <f>IF(AND(OR(D151="X",D151=""),OR(E151="X",E151=""),OR(F151="X",F151=""),OR(G151="X",G151="")),1,ROUND(MIN(IF(OR(D151="",D151="X"),4,D151),IF(OR(E151="",E151="X"),4,E151),IF(OR(F151="",F151="X"),4,F151),IF(OR(G151="",G151="X"),4,G151)),0))</f>
        <v>1</v>
      </c>
      <c r="I151" s="16" t="str">
        <f>IF(OR(Projets!C55 = 1, Projets!D55 = 1), IF(IndG = 3, Projets!I55,IF(AND(IndG = 4,NOT(Projets!F55= ""), Projets!F55&lt;dateanal ),Projets!I55, "")),"")</f>
        <v/>
      </c>
      <c r="J151" s="448">
        <f>IF(IF(IndG&gt;=3,MAX(H151,I151),H151)&lt;1,1,IF(IndG&gt;=3,MAX(H151,I151),H151))</f>
        <v>1</v>
      </c>
      <c r="L151" s="1163">
        <v>6</v>
      </c>
      <c r="M151" s="34"/>
    </row>
    <row r="152" spans="1:13" s="281" customFormat="1" ht="11.25" customHeight="1" x14ac:dyDescent="0.25">
      <c r="A152" s="300"/>
      <c r="B152" s="327" t="s">
        <v>1608</v>
      </c>
      <c r="C152" s="128" t="s">
        <v>1921</v>
      </c>
      <c r="D152" s="139" t="str">
        <f>IF(NOT('5 App'!C150 = ""),'5 App'!C150,IF(COUNTIF('5 App'!C151:C156,"&gt;=0")=0,"", MIN(MAX(SUMPRODUCT('5 App'!C151:C156,'5 App'!$G151:$G156)*4/(SUM('5 App'!$G151:$G156) - SUMIF('5 App'!C151:C156,"X",'5 App'!$G151:$G156)),MAX('5 App'!AA151:AA156)),MIN('5 App'!AE151:AE156))))</f>
        <v/>
      </c>
      <c r="E152" s="139" t="str">
        <f>IF(NOT('5 App'!D150 = ""),'5 App'!D150,IF(COUNTIF('5 App'!D151:D156,"&gt;=0")=0,"", MIN(MAX(SUMPRODUCT('5 App'!D151:D156,'5 App'!$G151:$G156)*4/(SUM('5 App'!$G151:$G156) - SUMIF('5 App'!D151:D156,"X",'5 App'!$G151:$G156)),MAX('5 App'!AB151:AB156)),MIN('5 App'!AF151:AF156))))</f>
        <v/>
      </c>
      <c r="F152" s="139" t="str">
        <f>IF(NOT('5 App'!E150 = ""),'5 App'!E150,IF(COUNTIF('5 App'!E151:E156,"&gt;=0")=0,"", MIN(MAX(SUMPRODUCT('5 App'!E151:E156,'5 App'!$G151:$G156)*4/(SUM('5 App'!$G151:$G156) - SUMIF('5 App'!E151:E156,"X",'5 App'!$G151:$G156)),MAX('5 App'!AC151:AC156)),MIN('5 App'!AG151:AG156))))</f>
        <v/>
      </c>
      <c r="G152" s="139" t="str">
        <f>IF(NOT('5 App'!F150 = ""),'5 App'!F150,IF(COUNTIF('5 App'!F151:F156,"&gt;=0")=0,"", MIN(MAX(SUMPRODUCT('5 App'!F151:F156,'5 App'!$G151:$G156)*4/(SUM('5 App'!$G151:$G156) - SUMIF('5 App'!F151:F156,"X",'5 App'!$G151:$G156)),MAX('5 App'!AD151:AD156)),MIN('5 App'!AH151:AH156))))</f>
        <v/>
      </c>
      <c r="H152" s="447">
        <f>IF(AND(OR(D152="X",D152=""),OR(E152="X",E152=""),OR(F152="X",F152=""),OR(G152="X",G152="")),1,ROUND(MIN(IF(OR(D152="",D152="X"),4,D152),IF(OR(E152="",E152="X"),4,E152),IF(OR(F152="",F152="X"),4,F152),IF(OR(G152="",G152="X"),4,G152)),0))</f>
        <v>1</v>
      </c>
      <c r="I152" s="16" t="str">
        <f>IF(OR(Projets!C53 = 1, Projets!D53 = 1), IF(IndG = 3, Projets!I53,IF(AND(IndG = 4,NOT(Projets!F53= ""), Projets!F53&lt;dateanal ),Projets!I53, "")),"")</f>
        <v/>
      </c>
      <c r="J152" s="448">
        <f>IF(IF(IndG&gt;=3,MAX(H152,I152),H152)&lt;1,1,IF(IndG&gt;=3,MAX(H152,I152),H152))</f>
        <v>1</v>
      </c>
      <c r="L152" s="1163">
        <v>6</v>
      </c>
      <c r="M152" s="34"/>
    </row>
    <row r="153" spans="1:13" s="281" customFormat="1" ht="11.25" customHeight="1" x14ac:dyDescent="0.25">
      <c r="A153" s="300"/>
      <c r="B153" s="327" t="s">
        <v>3087</v>
      </c>
      <c r="C153" s="128" t="s">
        <v>4680</v>
      </c>
      <c r="D153" s="139" t="str">
        <f>IF(NOT('5 App'!C157 = ""),'5 App'!C157,IF(COUNTIF('5 App'!C158:C162,"&gt;=0")=0,"", MIN(MAX(SUMPRODUCT('5 App'!C158:C162,'5 App'!$G158:$G162)*4/(SUM('5 App'!$G158:$G162) - SUMIF('5 App'!C158:C162,"X",'5 App'!$G158:$G162)),MAX('5 App'!AA158:AA162)),MIN('5 App'!AE158:AE162))))</f>
        <v/>
      </c>
      <c r="E153" s="139" t="str">
        <f>IF(NOT('5 App'!D157 = ""),'5 App'!D157,IF(COUNTIF('5 App'!D158:D162,"&gt;=0")=0,"", MIN(MAX(SUMPRODUCT('5 App'!D158:D162,'5 App'!$G158:$G162)*4/(SUM('5 App'!$G158:$G162) - SUMIF('5 App'!D158:D162,"X",'5 App'!$G158:$G162)),MAX('5 App'!AB158:AB162)),MIN('5 App'!AF158:AF162))))</f>
        <v/>
      </c>
      <c r="F153" s="139" t="str">
        <f>IF(NOT('5 App'!E157 = ""),'5 App'!E157,IF(COUNTIF('5 App'!E158:E162,"&gt;=0")=0,"", MIN(MAX(SUMPRODUCT('5 App'!E158:E162,'5 App'!$G158:$G162)*4/(SUM('5 App'!$G158:$G162) - SUMIF('5 App'!E158:E162,"X",'5 App'!$G158:$G162)),MAX('5 App'!AC158:AC162)),MIN('5 App'!AG158:AG162))))</f>
        <v/>
      </c>
      <c r="G153" s="139" t="str">
        <f>IF(NOT('5 App'!F157 = ""),'5 App'!F157,IF(COUNTIF('5 App'!F158:F162,"&gt;=0")=0,"", MIN(MAX(SUMPRODUCT('5 App'!F158:F162,'5 App'!$G158:$G162)*4/(SUM('5 App'!$G158:$G162) - SUMIF('5 App'!F158:F162,"X",'5 App'!$G158:$G162)),MAX('5 App'!AD158:AD162)),MIN('5 App'!AH158:AH162))))</f>
        <v/>
      </c>
      <c r="H153" s="447">
        <f>IF(AND(OR(D153="X",D153=""),OR(E153="X",E153=""),OR(F153="X",F153=""),OR(G153="X",G153="")),1,ROUND(MIN(IF(OR(D153="",D153="X"),4,D153),IF(OR(E153="",E153="X"),4,E153),IF(OR(F153="",F153="X"),4,F153),IF(OR(G153="",G153="X"),4,G153)),0))</f>
        <v>1</v>
      </c>
      <c r="I153" s="16" t="str">
        <f>IF(OR(Projets!C56 = 1, Projets!D56 = 1), IF(IndG = 3, Projets!I56,IF(AND(IndG = 4,NOT(Projets!F56= ""), Projets!F56&lt;dateanal ),Projets!I56, "")),"")</f>
        <v/>
      </c>
      <c r="J153" s="448">
        <f>IF(IF(IndG&gt;=3,MAX(H153,I153),H153)&lt;1,1,IF(IndG&gt;=3,MAX(H153,I153),H153))</f>
        <v>1</v>
      </c>
      <c r="L153" s="1163">
        <v>5</v>
      </c>
      <c r="M153" s="34"/>
    </row>
    <row r="154" spans="1:13" ht="12" customHeight="1" x14ac:dyDescent="0.25">
      <c r="A154" s="287"/>
      <c r="B154" s="288" t="s">
        <v>1609</v>
      </c>
      <c r="C154" s="289"/>
      <c r="D154" s="139"/>
      <c r="E154" s="139"/>
      <c r="F154" s="139"/>
      <c r="G154" s="139"/>
      <c r="H154" s="447"/>
      <c r="I154" s="16"/>
      <c r="J154" s="448"/>
      <c r="L154" s="1162"/>
      <c r="M154" s="34"/>
    </row>
    <row r="155" spans="1:13" s="281" customFormat="1" ht="11.25" customHeight="1" x14ac:dyDescent="0.25">
      <c r="A155" s="300"/>
      <c r="B155" s="327" t="s">
        <v>1610</v>
      </c>
      <c r="C155" s="135" t="s">
        <v>1936</v>
      </c>
      <c r="D155" s="139" t="str">
        <f>IF(NOT('5 App'!C164 = ""),'5 App'!C164,IF(COUNTIF('5 App'!C165:C168,"&gt;=0")=0,"", MIN(MAX(SUMPRODUCT('5 App'!C165:C168,'5 App'!$G165:$G168)*4/(SUM('5 App'!$G165:$G168) - SUMIF('5 App'!C165:C168,"X",'5 App'!$G165:$G168)),MAX('5 App'!AA165:AA168)),MIN('5 App'!AE165:AE168))))</f>
        <v/>
      </c>
      <c r="E155" s="139" t="str">
        <f>IF(NOT('5 App'!D164 = ""),'5 App'!D164,IF(COUNTIF('5 App'!D165:D168,"&gt;=0")=0,"", MIN(MAX(SUMPRODUCT('5 App'!D165:D168,'5 App'!$G165:$G168)*4/(SUM('5 App'!$G165:$G168) - SUMIF('5 App'!D165:D168,"X",'5 App'!$G165:$G168)),MAX('5 App'!AB165:AB168)),MIN('5 App'!AF165:AF168))))</f>
        <v/>
      </c>
      <c r="F155" s="139" t="str">
        <f>IF(NOT('5 App'!E164 = ""),'5 App'!E164,IF(COUNTIF('5 App'!E165:E168,"&gt;=0")=0,"", MIN(MAX(SUMPRODUCT('5 App'!E165:E168,'5 App'!$G165:$G168)*4/(SUM('5 App'!$G165:$G168) - SUMIF('5 App'!E165:E168,"X",'5 App'!$G165:$G168)),MAX('5 App'!AC165:AC168)),MIN('5 App'!AG165:AG168))))</f>
        <v/>
      </c>
      <c r="G155" s="139" t="str">
        <f>IF(NOT('5 App'!F164 = ""),'5 App'!F164,IF(COUNTIF('5 App'!F165:F168,"&gt;=0")=0,"", MIN(MAX(SUMPRODUCT('5 App'!F165:F168,'5 App'!$G165:$G168)*4/(SUM('5 App'!$G165:$G168) - SUMIF('5 App'!F165:F168,"X",'5 App'!$G165:$G168)),MAX('5 App'!AD165:AD168)),MIN('5 App'!AH165:AH168))))</f>
        <v/>
      </c>
      <c r="H155" s="447">
        <f>IF(AND(OR(D155="X",D155=""),OR(E155="X",E155=""),OR(F155="X",F155=""),OR(G155="X",G155="")),1,ROUND(MIN(IF(OR(D155="",D155="X"),4,D155),IF(OR(E155="",E155="X"),4,E155),IF(OR(F155="",F155="X"),4,F155),IF(OR(G155="",G155="X"),4,G155)),0))</f>
        <v>1</v>
      </c>
      <c r="I155" s="16" t="str">
        <f>IF(OR(Projets!C55 = 1, Projets!D55 = 1), IF(IndG = 3, Projets!L55,IF(AND(IndG = 4,NOT(Projets!F55= ""), Projets!F55&lt;dateanal ),Projets!L55, "")),"")</f>
        <v/>
      </c>
      <c r="J155" s="448">
        <f>IF(IF(IndG&gt;=3,MAX(H155,I155),H155)&lt;1,1,IF(IndG&gt;=3,MAX(H155,I155),H155))</f>
        <v>1</v>
      </c>
      <c r="L155" s="1163">
        <v>4</v>
      </c>
      <c r="M155" s="34"/>
    </row>
    <row r="156" spans="1:13" s="281" customFormat="1" ht="11.25" customHeight="1" x14ac:dyDescent="0.25">
      <c r="A156" s="300"/>
      <c r="B156" s="327" t="s">
        <v>1611</v>
      </c>
      <c r="C156" s="128" t="s">
        <v>1938</v>
      </c>
      <c r="D156" s="139" t="str">
        <f>IF(NOT('5 App'!C169 = ""),'5 App'!C169,IF(COUNTIF('5 App'!C170:C174,"&gt;=0")=0,"", MIN(MAX(SUMPRODUCT('5 App'!C170:C174,'5 App'!$G170:$G174)*4/(SUM('5 App'!$G170:$G174) - SUMIF('5 App'!C170:C174,"X",'5 App'!$G170:$G174)),MAX('5 App'!AA170:AA174)),MIN('5 App'!AE170:AE174))))</f>
        <v/>
      </c>
      <c r="E156" s="139" t="str">
        <f>IF(NOT('5 App'!D169 = ""),'5 App'!D169,IF(COUNTIF('5 App'!D170:D174,"&gt;=0")=0,"", MIN(MAX(SUMPRODUCT('5 App'!D170:D174,'5 App'!$G170:$G174)*4/(SUM('5 App'!$G170:$G174) - SUMIF('5 App'!D170:D174,"X",'5 App'!$G170:$G174)),MAX('5 App'!AB170:AB174)),MIN('5 App'!AF170:AF174))))</f>
        <v/>
      </c>
      <c r="F156" s="139" t="str">
        <f>IF(NOT('5 App'!E169 = ""),'5 App'!E169,IF(COUNTIF('5 App'!E170:E174,"&gt;=0")=0,"", MIN(MAX(SUMPRODUCT('5 App'!E170:E174,'5 App'!$G170:$G174)*4/(SUM('5 App'!$G170:$G174) - SUMIF('5 App'!E170:E174,"X",'5 App'!$G170:$G174)),MAX('5 App'!AC170:AC174)),MIN('5 App'!AG170:AG174))))</f>
        <v/>
      </c>
      <c r="G156" s="139" t="str">
        <f>IF(NOT('5 App'!F169 = ""),'5 App'!F169,IF(COUNTIF('5 App'!F170:F174,"&gt;=0")=0,"", MIN(MAX(SUMPRODUCT('5 App'!F170:F174,'5 App'!$G170:$G174)*4/(SUM('5 App'!$G170:$G174) - SUMIF('5 App'!F170:F174,"X",'5 App'!$G170:$G174)),MAX('5 App'!AD170:AD174)),MIN('5 App'!AH170:AH174))))</f>
        <v/>
      </c>
      <c r="H156" s="447">
        <f>IF(AND(OR(D156="X",D156=""),OR(E156="X",E156=""),OR(F156="X",F156=""),OR(G156="X",G156="")),1,ROUND(MIN(IF(OR(D156="",D156="X"),4,D156),IF(OR(E156="",E156="X"),4,E156),IF(OR(F156="",F156="X"),4,F156),IF(OR(G156="",G156="X"),4,G156)),0))</f>
        <v>1</v>
      </c>
      <c r="I156" s="16" t="str">
        <f>IF(OR(Projets!C45 = 1, Projets!D45 = 1), IF(IndG = 3, Projets!I45,IF(AND(IndG = 4,NOT(Projets!F45= ""), Projets!F45&lt;dateanal ),Projets!I45, "")),"")</f>
        <v/>
      </c>
      <c r="J156" s="448">
        <f>IF(IF(IndG&gt;=3,MAX(H156,I156),H156)&lt;1,1,IF(IndG&gt;=3,MAX(H156,I156),H156))</f>
        <v>1</v>
      </c>
      <c r="L156" s="1163">
        <v>5</v>
      </c>
      <c r="M156" s="34"/>
    </row>
    <row r="157" spans="1:13" ht="15" customHeight="1" x14ac:dyDescent="0.25">
      <c r="A157" s="269" t="s">
        <v>1402</v>
      </c>
      <c r="B157" s="230" t="s">
        <v>1403</v>
      </c>
      <c r="C157" s="1055"/>
      <c r="D157" s="138" t="s">
        <v>229</v>
      </c>
      <c r="E157" s="138" t="s">
        <v>230</v>
      </c>
      <c r="F157" s="138" t="s">
        <v>265</v>
      </c>
      <c r="G157" s="138" t="s">
        <v>266</v>
      </c>
      <c r="H157" s="420"/>
      <c r="I157" s="16"/>
      <c r="J157" s="420"/>
      <c r="L157" s="1163"/>
      <c r="M157" s="34"/>
    </row>
    <row r="158" spans="1:13" s="34" customFormat="1" ht="13.5" customHeight="1" x14ac:dyDescent="0.25">
      <c r="A158" s="37"/>
      <c r="B158" s="246" t="s">
        <v>793</v>
      </c>
      <c r="C158" s="48"/>
      <c r="D158" s="139"/>
      <c r="E158" s="139"/>
      <c r="F158" s="139"/>
      <c r="G158" s="139"/>
      <c r="H158" s="447"/>
      <c r="I158" s="16"/>
      <c r="J158" s="448"/>
      <c r="L158" s="1162"/>
    </row>
    <row r="159" spans="1:13" s="34" customFormat="1" ht="11.25" customHeight="1" x14ac:dyDescent="0.25">
      <c r="A159" s="37"/>
      <c r="B159" s="47" t="s">
        <v>644</v>
      </c>
      <c r="C159" s="49" t="s">
        <v>383</v>
      </c>
      <c r="D159" s="139" t="str">
        <f>IF(NOT('6 Mic'!C4 = ""),'6 Mic'!C4,IF(COUNTIF('6 Mic'!C5:C14,"&gt;=0")=0,"", MIN(MAX(SUMPRODUCT('6 Mic'!C5:C14,'6 Mic'!$G5:$G14)*4/(SUM('6 Mic'!$G5:$G14) - SUMIF('6 Mic'!C5:C14,"X",'6 Mic'!$G5:$G14)),MAX('6 Mic'!AA5:AA14)),MIN('6 Mic'!AE5:AE14))))</f>
        <v/>
      </c>
      <c r="E159" s="139" t="str">
        <f>IF(NOT('6 Mic'!D4 = ""),'6 Mic'!D4,IF(COUNTIF('6 Mic'!D5:D14,"&gt;=0")=0,"", MIN(MAX(SUMPRODUCT('6 Mic'!D5:D14,'6 Mic'!$G5:$G14)*4/(SUM('6 Mic'!$G5:$G14) - SUMIF('6 Mic'!D5:D14,"X",'6 Mic'!$G5:$G14)),MAX('6 Mic'!AB5:AB14)),MIN('6 Mic'!AF5:AF14))))</f>
        <v/>
      </c>
      <c r="F159" s="139" t="str">
        <f>IF(NOT('6 Mic'!E4 = ""),'6 Mic'!E4,IF(COUNTIF('6 Mic'!E5:E14,"&gt;=0")=0,"", MIN(MAX(SUMPRODUCT('6 Mic'!E5:E14,'6 Mic'!$G5:$G14)*4/(SUM('6 Mic'!$G5:$G14) - SUMIF('6 Mic'!E5:E14,"X",'6 Mic'!$G5:$G14)),MAX('6 Mic'!AC5:AC14)),MIN('6 Mic'!AG5:AG14))))</f>
        <v/>
      </c>
      <c r="G159" s="139" t="str">
        <f>IF(NOT('6 Mic'!F4 = ""),'6 Mic'!F4,IF(COUNTIF('6 Mic'!F5:F14,"&gt;=0")=0,"", MIN(MAX(SUMPRODUCT('6 Mic'!F5:F14,'6 Mic'!$G5:$G14)*4/(SUM('6 Mic'!$G5:$G14) - SUMIF('6 Mic'!F5:F14,"X",'6 Mic'!$G5:$G14)),MAX('6 Mic'!AD5:AD14)),MIN('6 Mic'!AH5:AH14))))</f>
        <v/>
      </c>
      <c r="H159" s="447">
        <f>IF(AND(OR(D159="X",D159=""),OR(E159="X",E159=""),OR(F159="X",F159=""),OR(G159="X",G159="")),1,ROUND(MIN(IF(OR(D159="",D159="X"),4,D159),IF(OR(E159="",E159="X"),4,E159),IF(OR(F159="",F159="X"),4,F159),IF(OR(G159="",G159="X"),4,G159)),0))</f>
        <v>1</v>
      </c>
      <c r="I159" s="16" t="str">
        <f>IF(OR(Projets!C28 = 1, Projets!D28 = 1), IF(IndG = 3, Projets!I28,IF(AND(IndG = 4,NOT(Projets!F28= ""), Projets!F28&lt;dateanal ),Projets!I28, "")),"")</f>
        <v/>
      </c>
      <c r="J159" s="448">
        <f>IF(IF(IndG&gt;=3,MAX(H159,I159),H159)&lt;1,1,IF(IndG&gt;=3,MAX(H159,I159),H159))</f>
        <v>1</v>
      </c>
      <c r="L159" s="1163">
        <v>10</v>
      </c>
    </row>
    <row r="160" spans="1:13" s="34" customFormat="1" ht="12" customHeight="1" x14ac:dyDescent="0.25">
      <c r="A160" s="270"/>
      <c r="B160" s="47" t="s">
        <v>645</v>
      </c>
      <c r="C160" s="49" t="s">
        <v>385</v>
      </c>
      <c r="D160" s="139">
        <f>IF(NOT('6 Mic'!C15 = ""),'6 Mic'!C15,IF(COUNTIF('6 Mic'!C16:C22,"&gt;=0")=0,"", MIN(MAX(SUMPRODUCT('6 Mic'!C16:C22,'6 Mic'!$G16:$G22)*4/(SUM('6 Mic'!$G16:$G22) - SUMIF('6 Mic'!C16:C22,"X",'6 Mic'!$G16:$G22)),MAX('6 Mic'!AA16:AA22)),MIN('6 Mic'!AE16:AE22))))</f>
        <v>0</v>
      </c>
      <c r="E160" s="139" t="str">
        <f>IF(NOT('6 Mic'!D15 = ""),'6 Mic'!D15,IF(COUNTIF('6 Mic'!D16:D22,"&gt;=0")=0,"", MIN(MAX(SUMPRODUCT('6 Mic'!D16:D22,'6 Mic'!$G16:$G22)*4/(SUM('6 Mic'!$G16:$G22) - SUMIF('6 Mic'!D16:D22,"X",'6 Mic'!$G16:$G22)),MAX('6 Mic'!AB16:AB22)),MIN('6 Mic'!AF16:AF22))))</f>
        <v/>
      </c>
      <c r="F160" s="139" t="str">
        <f>IF(NOT('6 Mic'!E15 = ""),'6 Mic'!E15,IF(COUNTIF('6 Mic'!E16:E22,"&gt;=0")=0,"", MIN(MAX(SUMPRODUCT('6 Mic'!E16:E22,'6 Mic'!$G16:$G22)*4/(SUM('6 Mic'!$G16:$G22) - SUMIF('6 Mic'!E16:E22,"X",'6 Mic'!$G16:$G22)),MAX('6 Mic'!AC16:AC22)),MIN('6 Mic'!AG16:AG22))))</f>
        <v/>
      </c>
      <c r="G160" s="139" t="str">
        <f>IF(NOT('6 Mic'!F15 = ""),'6 Mic'!F15,IF(COUNTIF('6 Mic'!F16:F22,"&gt;=0")=0,"", MIN(MAX(SUMPRODUCT('6 Mic'!F16:F22,'6 Mic'!$G16:$G22)*4/(SUM('6 Mic'!$G16:$G22) - SUMIF('6 Mic'!F16:F22,"X",'6 Mic'!$G16:$G22)),MAX('6 Mic'!AD16:AD22)),MIN('6 Mic'!AH16:AH22))))</f>
        <v/>
      </c>
      <c r="H160" s="447">
        <f>IF(AND(OR(D160="X",D160=""),OR(E160="X",E160=""),OR(F160="X",F160=""),OR(G160="X",G160="")),1,ROUND(MIN(IF(OR(D160="",D160="X"),4,D160),IF(OR(E160="",E160="X"),4,E160),IF(OR(F160="",F160="X"),4,F160),IF(OR(G160="",G160="X"),4,G160)),0))</f>
        <v>0</v>
      </c>
      <c r="I160" s="16" t="str">
        <f>IF(OR(Projets!C63 = 1, Projets!D63 = 1), IF(IndG = 3, Projets!O63,IF(AND(IndG = 4,NOT(Projets!F63= ""), Projets!F63&lt;dateanal ),Projets!O63, "")),"")</f>
        <v/>
      </c>
      <c r="J160" s="448">
        <f>IF(IF(IndG&gt;=3,MAX(H160,I160),H160)&lt;1,1,IF(IndG&gt;=3,MAX(H160,I160),H160))</f>
        <v>1</v>
      </c>
      <c r="L160" s="1163">
        <v>7</v>
      </c>
    </row>
    <row r="161" spans="1:21" s="34" customFormat="1" ht="12" customHeight="1" x14ac:dyDescent="0.25">
      <c r="A161" s="270"/>
      <c r="B161" s="47" t="s">
        <v>4601</v>
      </c>
      <c r="C161" s="49" t="s">
        <v>4602</v>
      </c>
      <c r="D161" s="139" t="str">
        <f>IF(NOT('6 Mic'!C23 = ""),'6 Mic'!C23,IF(COUNTIF('6 Mic'!C24:C28,"&gt;=0")=0,"", MIN(MAX(SUMPRODUCT('6 Mic'!C24:C28,'6 Mic'!$G24:$G28)*4/(SUM('6 Mic'!$G24:$G28) - SUMIF('6 Mic'!C24:C28,"X",'6 Mic'!$G24:$G28)),MAX('6 Mic'!AA24:AA28)),MIN('6 Mic'!AE24:AE28))))</f>
        <v/>
      </c>
      <c r="E161" s="139" t="str">
        <f>IF(NOT('6 Mic'!D23 = ""),'6 Mic'!D23,IF(COUNTIF('6 Mic'!D24:D28,"&gt;=0")=0,"", MIN(MAX(SUMPRODUCT('6 Mic'!D24:D28,'6 Mic'!$G24:$G28)*4/(SUM('6 Mic'!$G24:$G28) - SUMIF('6 Mic'!D24:D28,"X",'6 Mic'!$G24:$G28)),MAX('6 Mic'!AB24:AB28)),MIN('6 Mic'!AF24:AF28))))</f>
        <v/>
      </c>
      <c r="F161" s="139" t="str">
        <f>IF(NOT('6 Mic'!E23 = ""),'6 Mic'!E23,IF(COUNTIF('6 Mic'!E24:E28,"&gt;=0")=0,"", MIN(MAX(SUMPRODUCT('6 Mic'!E24:E28,'6 Mic'!$G24:$G28)*4/(SUM('6 Mic'!$G24:$G28) - SUMIF('6 Mic'!E24:E28,"X",'6 Mic'!$G24:$G28)),MAX('6 Mic'!AC24:AC28)),MIN('6 Mic'!AG24:AG28))))</f>
        <v/>
      </c>
      <c r="G161" s="139" t="str">
        <f>IF(NOT('6 Mic'!F23 = ""),'6 Mic'!F23,IF(COUNTIF('6 Mic'!F24:F28,"&gt;=0")=0,"", MIN(MAX(SUMPRODUCT('6 Mic'!F24:F28,'6 Mic'!$G24:$G28)*4/(SUM('6 Mic'!$G24:$G28) - SUMIF('6 Mic'!F24:F28,"X",'6 Mic'!$G24:$G28)),MAX('6 Mic'!AD24:AD28)),MIN('6 Mic'!AH24:AH28))))</f>
        <v/>
      </c>
      <c r="H161" s="447">
        <f>IF(AND(OR(D161="X",D161=""),OR(E161="X",E161=""),OR(F161="X",F161=""),OR(G161="X",G161="")),1,ROUND(MIN(IF(OR(D161="",D161="X"),4,D161),IF(OR(E161="",E161="X"),4,E161),IF(OR(F161="",F161="X"),4,F161),IF(OR(G161="",G161="X"),4,G161)),0))</f>
        <v>1</v>
      </c>
      <c r="I161" s="16" t="str">
        <f>IF(OR(Projets!C46 = 1, Projets!D46 = 1), IF(IndG = 3, Projets!I46,IF(AND(IndG = 4,NOT(Projets!F46= ""), Projets!F46&lt;dateanal ),Projets!I46, "")),"")</f>
        <v/>
      </c>
      <c r="J161" s="448">
        <f>IF(IF(IndG&gt;=3,MAX(H161,I161),H161)&lt;1,1,IF(IndG&gt;=3,MAX(H161,I161),H161))</f>
        <v>1</v>
      </c>
      <c r="L161" s="1163">
        <v>5</v>
      </c>
    </row>
    <row r="162" spans="1:21" s="34" customFormat="1" ht="11.25" customHeight="1" x14ac:dyDescent="0.25">
      <c r="A162" s="37"/>
      <c r="B162" s="246" t="s">
        <v>794</v>
      </c>
      <c r="C162" s="294"/>
      <c r="D162" s="139"/>
      <c r="E162" s="139"/>
      <c r="F162" s="139"/>
      <c r="G162" s="139"/>
      <c r="H162" s="447"/>
      <c r="I162" s="16"/>
      <c r="J162" s="448"/>
      <c r="L162" s="1162"/>
    </row>
    <row r="163" spans="1:21" s="34" customFormat="1" ht="24" customHeight="1" x14ac:dyDescent="0.25">
      <c r="A163" s="37"/>
      <c r="B163" s="47" t="s">
        <v>646</v>
      </c>
      <c r="C163" s="49" t="s">
        <v>104</v>
      </c>
      <c r="D163" s="139">
        <f>IF(NOT('6 Mic'!C30 = ""),'6 Mic'!C30,IF(COUNTIF('6 Mic'!C31:C38,"&gt;=0")=0,"", MIN(MAX(SUMPRODUCT('6 Mic'!C31:C38,'6 Mic'!$G31:$G38)*4/(SUM('6 Mic'!$G31:$G38) - SUMIF('6 Mic'!C31:C38,"X",'6 Mic'!$G31:$G38)),MAX('6 Mic'!AA31:AA38)),MIN('6 Mic'!AE31:AE38))))</f>
        <v>0</v>
      </c>
      <c r="E163" s="456" t="str">
        <f>IF(NOT('6 Mic'!D30 = ""),'6 Mic'!D30,IF(COUNTIF('6 Mic'!D31:D38,"&gt;=0")=0,"", MIN(MAX(SUMPRODUCT('6 Mic'!D31:D38,'6 Mic'!$G31:$G38)*4/(SUM('6 Mic'!$G31:$G38) - SUMIF('6 Mic'!D31:D38,"X",'6 Mic'!$G31:$G38)),MAX('6 Mic'!AB31:AB38)),MIN('6 Mic'!AF31:AF38))))</f>
        <v/>
      </c>
      <c r="F163" s="456" t="str">
        <f>IF(NOT('6 Mic'!E30 = ""),'6 Mic'!E30,IF(COUNTIF('6 Mic'!E31:E38,"&gt;=0")=0,"", MIN(MAX(SUMPRODUCT('6 Mic'!E31:E38,'6 Mic'!$G31:$G38)*4/(SUM('6 Mic'!$G31:$G38) - SUMIF('6 Mic'!E31:E38,"X",'6 Mic'!$G31:$G38)),MAX('6 Mic'!AC31:AC38)),MIN('6 Mic'!AG31:AG38))))</f>
        <v/>
      </c>
      <c r="G163" s="456" t="str">
        <f>IF(NOT('6 Mic'!F30 = ""),'6 Mic'!F30,IF(COUNTIF('6 Mic'!F31:F38,"&gt;=0")=0,"", MIN(MAX(SUMPRODUCT('6 Mic'!F31:F38,'6 Mic'!$G31:$G38)*4/(SUM('6 Mic'!$G31:$G38) - SUMIF('6 Mic'!F31:F38,"X",'6 Mic'!$G31:$G38)),MAX('6 Mic'!AD31:AD38)),MIN('6 Mic'!AH31:AH38))))</f>
        <v/>
      </c>
      <c r="H163" s="447">
        <f t="shared" ref="H163:H168" si="14">IF(AND(OR(D163="X",D163=""),OR(E163="X",E163=""),OR(F163="X",F163=""),OR(G163="X",G163="")),1,ROUND(MIN(IF(OR(D163="",D163="X"),4,D163),IF(OR(E163="",E163="X"),4,E163),IF(OR(F163="",F163="X"),4,F163),IF(OR(G163="",G163="X"),4,G163)),0))</f>
        <v>0</v>
      </c>
      <c r="I163" s="16" t="str">
        <f>IF(OR(Projets!C43 = 1, Projets!D43 = 1), IF(IndG = 3, Projets!I43,IF(AND(IndG = 4,NOT(Projets!F43= ""), Projets!F43&lt;dateanal ),Projets!I43, "")),"")</f>
        <v/>
      </c>
      <c r="J163" s="448">
        <f t="shared" ref="J163:J168" si="15">IF(IF(IndG&gt;=3,MAX(H163,I163),H163)&lt;1,1,IF(IndG&gt;=3,MAX(H163,I163),H163))</f>
        <v>1</v>
      </c>
      <c r="L163" s="1163">
        <v>8</v>
      </c>
    </row>
    <row r="164" spans="1:21" s="34" customFormat="1" ht="24" customHeight="1" x14ac:dyDescent="0.25">
      <c r="A164" s="37"/>
      <c r="B164" s="47" t="s">
        <v>647</v>
      </c>
      <c r="C164" s="49" t="s">
        <v>384</v>
      </c>
      <c r="D164" s="139" t="str">
        <f>IF(NOT('6 Mic'!C39 = ""),'6 Mic'!C39,IF(COUNTIF('6 Mic'!C40:C47,"&gt;=0")=0,"", MIN(MAX(SUMPRODUCT('6 Mic'!C40:C47,'6 Mic'!$G40:$G47)*4/(SUM('6 Mic'!$G40:$G47) - SUMIF('6 Mic'!C40:C47,"X",'6 Mic'!$G40:$G47)),MAX('6 Mic'!AA40:AA47)),MIN('6 Mic'!AE40:AE47))))</f>
        <v/>
      </c>
      <c r="E164" s="456" t="str">
        <f>IF(NOT('6 Mic'!D39 = ""),'6 Mic'!D39,IF(COUNTIF('6 Mic'!D40:D47,"&gt;=0")=0,"", MIN(MAX(SUMPRODUCT('6 Mic'!D40:D47,'6 Mic'!$G40:$G47)*4/(SUM('6 Mic'!$G40:$G47) - SUMIF('6 Mic'!D40:D47,"X",'6 Mic'!$G40:$G47)),MAX('6 Mic'!AB40:AB47)),MIN('6 Mic'!AF40:AF47))))</f>
        <v/>
      </c>
      <c r="F164" s="456" t="str">
        <f>IF(NOT('6 Mic'!E39 = ""),'6 Mic'!E39,IF(COUNTIF('6 Mic'!E40:E47,"&gt;=0")=0,"", MIN(MAX(SUMPRODUCT('6 Mic'!E40:E47,'6 Mic'!$G40:$G47)*4/(SUM('6 Mic'!$G40:$G47) - SUMIF('6 Mic'!E40:E47,"X",'6 Mic'!$G40:$G47)),MAX('6 Mic'!AC40:AC47)),MIN('6 Mic'!AG40:AG47))))</f>
        <v/>
      </c>
      <c r="G164" s="456" t="str">
        <f>IF(NOT('6 Mic'!F39 = ""),'6 Mic'!F39,IF(COUNTIF('6 Mic'!F40:F47,"&gt;=0")=0,"", MIN(MAX(SUMPRODUCT('6 Mic'!F40:F47,'6 Mic'!$G40:$G47)*4/(SUM('6 Mic'!$G40:$G47) - SUMIF('6 Mic'!F40:F47,"X",'6 Mic'!$G40:$G47)),MAX('6 Mic'!AD40:AD47)),MIN('6 Mic'!AH40:AH47))))</f>
        <v/>
      </c>
      <c r="H164" s="447">
        <f t="shared" si="14"/>
        <v>1</v>
      </c>
      <c r="I164" s="16" t="str">
        <f>IF(OR(Projets!C52 = 1, Projets!D52 = 1), IF(IndG = 3, Projets!I52,IF(AND(IndG = 4,NOT(Projets!F52= ""), Projets!F52&lt;dateanal ),Projets!I52, "")),"")</f>
        <v/>
      </c>
      <c r="J164" s="448">
        <f t="shared" si="15"/>
        <v>1</v>
      </c>
      <c r="L164" s="1163">
        <v>8</v>
      </c>
    </row>
    <row r="165" spans="1:21" s="34" customFormat="1" ht="12.75" customHeight="1" x14ac:dyDescent="0.25">
      <c r="A165" s="37"/>
      <c r="B165" s="47" t="s">
        <v>648</v>
      </c>
      <c r="C165" s="219" t="s">
        <v>28</v>
      </c>
      <c r="D165" s="139">
        <f>IF(NOT('6 Mic'!C48 = ""),'6 Mic'!C48,IF(COUNTIF('6 Mic'!C49:C57,"&gt;=0")=0,"", MIN(MAX(SUMPRODUCT('6 Mic'!C49:C57,'6 Mic'!$G49:$G57)*4/(SUM('6 Mic'!$G49:$G57) - SUMIF('6 Mic'!C49:C57,"X",'6 Mic'!$G49:$G57)),MAX('6 Mic'!AA49:AA57)),MIN('6 Mic'!AE49:AE57))))</f>
        <v>0</v>
      </c>
      <c r="E165" s="456" t="str">
        <f>IF(NOT('6 Mic'!D48 = ""),'6 Mic'!D48,IF(COUNTIF('6 Mic'!D49:D57,"&gt;=0")=0,"", MIN(MAX(SUMPRODUCT('6 Mic'!D49:D57,'6 Mic'!$G49:$G57)*4/(SUM('6 Mic'!$G49:$G57) - SUMIF('6 Mic'!D49:D57,"X",'6 Mic'!$G49:$G57)),MAX('6 Mic'!AB49:AB57)),MIN('6 Mic'!AF49:AF57))))</f>
        <v/>
      </c>
      <c r="F165" s="456" t="str">
        <f>IF(NOT('6 Mic'!E48 = ""),'6 Mic'!E48,IF(COUNTIF('6 Mic'!E49:E57,"&gt;=0")=0,"", MIN(MAX(SUMPRODUCT('6 Mic'!E49:E57,'6 Mic'!$G49:$G57)*4/(SUM('6 Mic'!$G49:$G57) - SUMIF('6 Mic'!E49:E57,"X",'6 Mic'!$G49:$G57)),MAX('6 Mic'!AC49:AC57)),MIN('6 Mic'!AG49:AG57))))</f>
        <v/>
      </c>
      <c r="G165" s="456" t="str">
        <f>IF(NOT('6 Mic'!F48 = ""),'6 Mic'!F48,IF(COUNTIF('6 Mic'!F49:F57,"&gt;=0")=0,"", MIN(MAX(SUMPRODUCT('6 Mic'!F49:F57,'6 Mic'!$G49:$G57)*4/(SUM('6 Mic'!$G49:$G57) - SUMIF('6 Mic'!F49:F57,"X",'6 Mic'!$G49:$G57)),MAX('6 Mic'!AD49:AD57)),MIN('6 Mic'!AH49:AH57))))</f>
        <v/>
      </c>
      <c r="H165" s="447">
        <f t="shared" si="14"/>
        <v>0</v>
      </c>
      <c r="I165" s="16" t="str">
        <f>IF(OR(Projets!C46 = 1, Projets!D46 = 1), IF(IndG = 3, Projets!L46,IF(AND(IndG = 4,NOT(Projets!F46= ""), Projets!F46&lt;dateanal ),Projets!L46, "")),"")</f>
        <v/>
      </c>
      <c r="J165" s="448">
        <f t="shared" si="15"/>
        <v>1</v>
      </c>
      <c r="L165" s="1163">
        <v>9</v>
      </c>
      <c r="U165" s="34">
        <f>IF(INDEX(Tab_actions,96,1)=1,INDEX(Tab_actions,96,6),0)</f>
        <v>0</v>
      </c>
    </row>
    <row r="166" spans="1:21" s="34" customFormat="1" ht="12.75" customHeight="1" x14ac:dyDescent="0.25">
      <c r="A166" s="37"/>
      <c r="B166" s="47" t="s">
        <v>649</v>
      </c>
      <c r="C166" s="36" t="s">
        <v>169</v>
      </c>
      <c r="D166" s="139" t="str">
        <f>IF(NOT('6 Mic'!C58 = ""),'6 Mic'!C58,IF(COUNTIF('6 Mic'!C59:C63,"&gt;=0")=0,"", MIN(MAX(SUMPRODUCT('6 Mic'!C59:C63,'6 Mic'!$G59:$G63)*4/(SUM('6 Mic'!$G59:$G63) - SUMIF('6 Mic'!C59:C63,"X",'6 Mic'!$G59:$G63)),MAX('6 Mic'!AA59:AA63)),MIN('6 Mic'!AE59:AE63))))</f>
        <v/>
      </c>
      <c r="E166" s="452" t="str">
        <f>IF(NOT('6 Mic'!D58 = ""),'6 Mic'!D58,IF(COUNTIF('6 Mic'!D59:D63,"&gt;=0")=0,"", MIN(MAX(SUMPRODUCT('6 Mic'!D59:D63,'6 Mic'!$G59:$G63)*4/(SUM('6 Mic'!$G59:$G63) - SUMIF('6 Mic'!D59:D63,"X",'6 Mic'!$G59:$G63)),MAX('6 Mic'!AB59:AB63)),MIN('6 Mic'!AF59:AF63))))</f>
        <v/>
      </c>
      <c r="F166" s="452" t="str">
        <f>IF(NOT('6 Mic'!E58 = ""),'6 Mic'!E58,IF(COUNTIF('6 Mic'!E59:E63,"&gt;=0")=0,"", MIN(MAX(SUMPRODUCT('6 Mic'!E59:E63,'6 Mic'!$G59:$G63)*4/(SUM('6 Mic'!$G59:$G63) - SUMIF('6 Mic'!E59:E63,"X",'6 Mic'!$G59:$G63)),MAX('6 Mic'!AC59:AC63)),MIN('6 Mic'!AG59:AG63))))</f>
        <v/>
      </c>
      <c r="G166" s="452" t="str">
        <f>IF(NOT('6 Mic'!F58 = ""),'6 Mic'!F58,IF(COUNTIF('6 Mic'!F59:F63,"&gt;=0")=0,"", MIN(MAX(SUMPRODUCT('6 Mic'!F59:F63,'6 Mic'!$G59:$G63)*4/(SUM('6 Mic'!$G59:$G63) - SUMIF('6 Mic'!F59:F63,"X",'6 Mic'!$G59:$G63)),MAX('6 Mic'!AD59:AD63)),MIN('6 Mic'!AH59:AH63))))</f>
        <v/>
      </c>
      <c r="H166" s="447">
        <f t="shared" si="14"/>
        <v>1</v>
      </c>
      <c r="I166" s="16" t="str">
        <f>IF(OR(Projets!C8 = 1, Projets!D8 = 1), IF(IndG = 3, Projets!L8,IF(AND(IndG = 4,NOT(Projets!F8= ""), Projets!F8&lt;dateanal ),Projets!L8, "")),"")</f>
        <v/>
      </c>
      <c r="J166" s="448">
        <f t="shared" si="15"/>
        <v>1</v>
      </c>
      <c r="L166" s="1163">
        <v>5</v>
      </c>
      <c r="U166" s="34">
        <f>IF(INDEX(Tab_actions,96,1)=1,INDEX(Tab_actions,96,6),0)</f>
        <v>0</v>
      </c>
    </row>
    <row r="167" spans="1:21" s="34" customFormat="1" ht="12.75" customHeight="1" x14ac:dyDescent="0.25">
      <c r="A167" s="37"/>
      <c r="B167" s="47" t="s">
        <v>795</v>
      </c>
      <c r="C167" s="217" t="s">
        <v>283</v>
      </c>
      <c r="D167" s="139" t="str">
        <f>IF(NOT('6 Mic'!C64 = ""),'6 Mic'!C64,IF(COUNTIF('6 Mic'!C65:C70,"&gt;=0")=0,"", MIN(MAX(SUMPRODUCT('6 Mic'!C65:C70,'6 Mic'!$G65:$G70)*4/(SUM('6 Mic'!$G65:$G70) - SUMIF('6 Mic'!C65:C70,"X",'6 Mic'!$G65:$G70)),MAX('6 Mic'!AA65:AA70)),MIN('6 Mic'!AE65:AE70))))</f>
        <v/>
      </c>
      <c r="E167" s="140" t="str">
        <f>IF(NOT('6 Mic'!D64 = ""),'6 Mic'!D64,IF(COUNTIF('6 Mic'!D65:D70,"&gt;=0")=0,"", MIN(MAX(SUMPRODUCT('6 Mic'!D65:D70,'6 Mic'!$G65:$G70)*4/(SUM('6 Mic'!$G65:$G70) - SUMIF('6 Mic'!D65:D70,"X",'6 Mic'!$G65:$G70)),MAX('6 Mic'!AB65:AB70)),MIN('6 Mic'!AF65:AF70))))</f>
        <v/>
      </c>
      <c r="F167" s="140" t="str">
        <f>IF(NOT('6 Mic'!E64 = ""),'6 Mic'!E64,IF(COUNTIF('6 Mic'!E65:E70,"&gt;=0")=0,"", MIN(MAX(SUMPRODUCT('6 Mic'!E65:E70,'6 Mic'!$G65:$G70)*4/(SUM('6 Mic'!$G65:$G70) - SUMIF('6 Mic'!E65:E70,"X",'6 Mic'!$G65:$G70)),MAX('6 Mic'!AC65:AC70)),MIN('6 Mic'!AG65:AG70))))</f>
        <v/>
      </c>
      <c r="G167" s="140" t="str">
        <f>IF(NOT('6 Mic'!F64 = ""),'6 Mic'!F64,IF(COUNTIF('6 Mic'!F65:F70,"&gt;=0")=0,"", MIN(MAX(SUMPRODUCT('6 Mic'!F65:F70,'6 Mic'!$G65:$G70)*4/(SUM('6 Mic'!$G65:$G70) - SUMIF('6 Mic'!F65:F70,"X",'6 Mic'!$G65:$G70)),MAX('6 Mic'!AD65:AD70)),MIN('6 Mic'!AH65:AH70))))</f>
        <v/>
      </c>
      <c r="H167" s="447">
        <f t="shared" si="14"/>
        <v>1</v>
      </c>
      <c r="I167" s="16" t="str">
        <f>IF(OR(Projets!C64 = 1, Projets!D64 = 1), IF(IndG = 3, Projets!I64,IF(AND(IndG = 4,NOT(Projets!F64= ""), Projets!F64&lt;dateanal ),Projets!I64, "")),"")</f>
        <v/>
      </c>
      <c r="J167" s="448">
        <f t="shared" si="15"/>
        <v>1</v>
      </c>
      <c r="L167" s="1163">
        <v>6</v>
      </c>
    </row>
    <row r="168" spans="1:21" s="34" customFormat="1" ht="12.75" customHeight="1" x14ac:dyDescent="0.25">
      <c r="A168" s="37"/>
      <c r="B168" s="47" t="s">
        <v>2152</v>
      </c>
      <c r="C168" s="128" t="s">
        <v>2153</v>
      </c>
      <c r="D168" s="139" t="str">
        <f>IF(NOT('6 Mic'!C71 = ""),'6 Mic'!C71,IF(COUNTIF('6 Mic'!C72:C76,"&gt;=0")=0,"", MIN(MAX(SUMPRODUCT('6 Mic'!C72:C76,'6 Mic'!$G72:$G76)*4/(SUM('6 Mic'!$G72:$G76) - SUMIF('6 Mic'!C72:C76,"X",'6 Mic'!$G72:$G76)),MAX('6 Mic'!AA72:AA76)),MIN('6 Mic'!AE72:AE76))))</f>
        <v/>
      </c>
      <c r="E168" s="452" t="str">
        <f>IF(NOT('6 Mic'!D71 = ""),'6 Mic'!D71,IF(COUNTIF('6 Mic'!D72:D76,"&gt;=0")=0,"", MIN(MAX(SUMPRODUCT('6 Mic'!D72:D76,'6 Mic'!$G72:$G76)*4/(SUM('6 Mic'!$G72:$G76) - SUMIF('6 Mic'!D72:D76,"X",'6 Mic'!$G72:$G76)),MAX('6 Mic'!AB72:AB76)),MIN('6 Mic'!AF72:AF76))))</f>
        <v/>
      </c>
      <c r="F168" s="452" t="str">
        <f>IF(NOT('6 Mic'!E71 = ""),'6 Mic'!E71,IF(COUNTIF('6 Mic'!E72:E76,"&gt;=0")=0,"", MIN(MAX(SUMPRODUCT('6 Mic'!E72:E76,'6 Mic'!$G72:$G76)*4/(SUM('6 Mic'!$G72:$G76) - SUMIF('6 Mic'!E72:E76,"X",'6 Mic'!$G72:$G76)),MAX('6 Mic'!AC72:AC76)),MIN('6 Mic'!AG72:AG76))))</f>
        <v/>
      </c>
      <c r="G168" s="452" t="str">
        <f>IF(NOT('6 Mic'!F71 = ""),'6 Mic'!F71,IF(COUNTIF('6 Mic'!F72:F76,"&gt;=0")=0,"", MIN(MAX(SUMPRODUCT('6 Mic'!F72:F76,'6 Mic'!$G72:$G76)*4/(SUM('6 Mic'!$G72:$G76) - SUMIF('6 Mic'!F72:F76,"X",'6 Mic'!$G72:$G76)),MAX('6 Mic'!AD72:AD76)),MIN('6 Mic'!AH72:AH76))))</f>
        <v/>
      </c>
      <c r="H168" s="447">
        <f t="shared" si="14"/>
        <v>1</v>
      </c>
      <c r="I168" s="16" t="str">
        <f>IF(OR(Projets!C8 = 1, Projets!D8 = 1), IF(IndG = 3, Projets!O8,IF(AND(IndG = 4,NOT(Projets!F8= ""), Projets!F8&lt;dateanal ),Projets!O8, "")),"")</f>
        <v/>
      </c>
      <c r="J168" s="448">
        <f t="shared" si="15"/>
        <v>1</v>
      </c>
      <c r="L168" s="1163">
        <v>5</v>
      </c>
      <c r="U168" s="34">
        <f>IF(INDEX(Tab_actions,96,1)=1,INDEX(Tab_actions,96,6),0)</f>
        <v>0</v>
      </c>
    </row>
    <row r="169" spans="1:21" s="34" customFormat="1" ht="12.75" customHeight="1" x14ac:dyDescent="0.25">
      <c r="A169" s="37"/>
      <c r="B169" s="47" t="s">
        <v>4461</v>
      </c>
      <c r="C169" s="128" t="s">
        <v>4507</v>
      </c>
      <c r="D169" s="139" t="str">
        <f>IF(NOT('6 Mic'!C77 = ""),'6 Mic'!C77,IF(COUNTIF('6 Mic'!C78:C88,"&gt;=0")=0,"", MIN(MAX(SUMPRODUCT('6 Mic'!C78:C88,'6 Mic'!$G78:$G88)*4/(SUM('6 Mic'!$G78:$G88) - SUMIF('6 Mic'!C78:C88,"X",'6 Mic'!$G78:$G88)),MAX('6 Mic'!AA78:AA88)),MIN('6 Mic'!AE78:AE88))))</f>
        <v/>
      </c>
      <c r="E169" s="452" t="str">
        <f>IF(NOT('6 Mic'!D77 = ""),'6 Mic'!D77,IF(COUNTIF('6 Mic'!D78:D88,"&gt;=0")=0,"", MIN(MAX(SUMPRODUCT('6 Mic'!D78:D88,'6 Mic'!$G78:$G88)*4/(SUM('6 Mic'!$G78:$G88) - SUMIF('6 Mic'!D78:D88,"X",'6 Mic'!$G78:$G88)),MAX('6 Mic'!AB78:AB88)),MIN('6 Mic'!AF78:AF88))))</f>
        <v/>
      </c>
      <c r="F169" s="452" t="str">
        <f>IF(NOT('6 Mic'!E77 = ""),'6 Mic'!E77,IF(COUNTIF('6 Mic'!E78:E88,"&gt;=0")=0,"", MIN(MAX(SUMPRODUCT('6 Mic'!E78:E88,'6 Mic'!$G78:$G88)*4/(SUM('6 Mic'!$G78:$G88) - SUMIF('6 Mic'!E78:E88,"X",'6 Mic'!$G78:$G88)),MAX('6 Mic'!AC78:AC88)),MIN('6 Mic'!AG78:AG88))))</f>
        <v/>
      </c>
      <c r="G169" s="452" t="str">
        <f>IF(NOT('6 Mic'!F77 = ""),'6 Mic'!F77,IF(COUNTIF('6 Mic'!F78:F88,"&gt;=0")=0,"", MIN(MAX(SUMPRODUCT('6 Mic'!F78:F88,'6 Mic'!$G78:$G88)*4/(SUM('6 Mic'!$G78:$G88) - SUMIF('6 Mic'!F78:F88,"X",'6 Mic'!$G78:$G88)),MAX('6 Mic'!AD78:AD88)),MIN('6 Mic'!AH78:AH88))))</f>
        <v/>
      </c>
      <c r="H169" s="447">
        <f>IF(AND(OR(D169="X",D169=""),OR(E169="X",E169=""),OR(F169="X",F169=""),OR(G169="X",G169="")),1,ROUND(MIN(IF(OR(D169="",D169="X"),4,D169),IF(OR(E169="",E169="X"),4,E169),IF(OR(F169="",F169="X"),4,F169),IF(OR(G169="",G169="X"),4,G169)),0))</f>
        <v>1</v>
      </c>
      <c r="I169" s="16" t="str">
        <f>IF(OR(Projets!C8 = 1, Projets!D8 = 1), IF(IndG = 3, Projets!R8,IF(AND(IndG = 4,NOT(Projets!F8= ""), Projets!F8&lt;dateanal ),Projets!R8, "")),"")</f>
        <v/>
      </c>
      <c r="J169" s="448">
        <f>IF(IF(IndG&gt;=3,MAX(H169,I169),H169)&lt;1,1,IF(IndG&gt;=3,MAX(H169,I169),H169))</f>
        <v>1</v>
      </c>
      <c r="L169" s="1163">
        <v>11</v>
      </c>
    </row>
    <row r="170" spans="1:21" s="34" customFormat="1" ht="11.25" customHeight="1" x14ac:dyDescent="0.25">
      <c r="A170" s="37"/>
      <c r="B170" s="246" t="s">
        <v>2180</v>
      </c>
      <c r="C170" s="220"/>
      <c r="D170" s="139"/>
      <c r="E170" s="139"/>
      <c r="F170" s="139"/>
      <c r="G170" s="139"/>
      <c r="H170" s="447"/>
      <c r="I170" s="16"/>
      <c r="J170" s="448"/>
      <c r="L170" s="1162"/>
    </row>
    <row r="171" spans="1:21" s="34" customFormat="1" ht="12" customHeight="1" x14ac:dyDescent="0.25">
      <c r="A171" s="270"/>
      <c r="B171" s="47" t="s">
        <v>2156</v>
      </c>
      <c r="C171" s="128" t="s">
        <v>2157</v>
      </c>
      <c r="D171" s="139" t="str">
        <f>IF(NOT('6 Mic'!C90 = ""),'6 Mic'!C90,IF(COUNTIF('6 Mic'!C91:C96,"&gt;=0")=0,"", MIN(MAX(SUMPRODUCT('6 Mic'!C91:C96,'6 Mic'!$G91:$G96)*4/(SUM('6 Mic'!$G91:$G96) - SUMIF('6 Mic'!C91:C96,"X",'6 Mic'!$G91:$G96)),MAX('6 Mic'!AA91:AA96)),MIN('6 Mic'!AE91:AE96))))</f>
        <v/>
      </c>
      <c r="E171" s="139" t="str">
        <f>IF(NOT('6 Mic'!D90 = ""),'6 Mic'!D90,IF(COUNTIF('6 Mic'!D91:D96,"&gt;=0")=0,"", MIN(MAX(SUMPRODUCT('6 Mic'!D91:D96,'6 Mic'!$G91:$G96)*4/(SUM('6 Mic'!$G91:$G96) - SUMIF('6 Mic'!D91:D96,"X",'6 Mic'!$G91:$G96)),MAX('6 Mic'!AB91:AB96)),MIN('6 Mic'!AF91:AF96))))</f>
        <v/>
      </c>
      <c r="F171" s="139" t="str">
        <f>IF(NOT('6 Mic'!E90 = ""),'6 Mic'!E90,IF(COUNTIF('6 Mic'!E91:E96,"&gt;=0")=0,"", MIN(MAX(SUMPRODUCT('6 Mic'!E91:E96,'6 Mic'!$G91:$G96)*4/(SUM('6 Mic'!$G91:$G96) - SUMIF('6 Mic'!E91:E96,"X",'6 Mic'!$G91:$G96)),MAX('6 Mic'!AC91:AC96)),MIN('6 Mic'!AG91:AG96))))</f>
        <v/>
      </c>
      <c r="G171" s="139" t="str">
        <f>IF(NOT('6 Mic'!F90 = ""),'6 Mic'!F90,IF(COUNTIF('6 Mic'!F91:F96,"&gt;=0")=0,"", MIN(MAX(SUMPRODUCT('6 Mic'!F91:F96,'6 Mic'!$G91:$G96)*4/(SUM('6 Mic'!$G91:$G96) - SUMIF('6 Mic'!F91:F96,"X",'6 Mic'!$G91:$G96)),MAX('6 Mic'!AD91:AD96)),MIN('6 Mic'!AH91:AH96))))</f>
        <v/>
      </c>
      <c r="H171" s="447">
        <f>IF(AND(OR(D171="X",D171=""),OR(E171="X",E171=""),OR(F171="X",F171=""),OR(G171="X",G171="")),1,ROUND(MIN(IF(OR(D171="",D171="X"),4,D171),IF(OR(E171="",E171="X"),4,E171),IF(OR(F171="",F171="X"),4,F171),IF(OR(G171="",G171="X"),4,G171)),0))</f>
        <v>1</v>
      </c>
      <c r="I171" s="16"/>
      <c r="J171" s="448">
        <f>IF(IF(IndG&gt;=3,MAX(H171,I171),H171)&lt;1,1,IF(IndG&gt;=3,MAX(H171,I171),H171))</f>
        <v>1</v>
      </c>
      <c r="L171" s="1163">
        <v>6</v>
      </c>
    </row>
    <row r="172" spans="1:21" s="34" customFormat="1" ht="12" customHeight="1" x14ac:dyDescent="0.25">
      <c r="A172" s="270"/>
      <c r="B172" s="47" t="s">
        <v>2165</v>
      </c>
      <c r="C172" s="128" t="s">
        <v>2166</v>
      </c>
      <c r="D172" s="139" t="str">
        <f>IF(NOT('6 Mic'!C97 = ""),'6 Mic'!C97,IF(COUNTIF('6 Mic'!C98:C102,"&gt;=0")=0,"", MIN(MAX(SUMPRODUCT('6 Mic'!C98:C102,'6 Mic'!$G98:$G102)*4/(SUM('6 Mic'!$G98:$G102) - SUMIF('6 Mic'!C98:C102,"X",'6 Mic'!$G98:$G102)),MAX('6 Mic'!AA98:AA102)),MIN('6 Mic'!AE98:AE102))))</f>
        <v/>
      </c>
      <c r="E172" s="139" t="str">
        <f>IF(NOT('6 Mic'!D97 = ""),'6 Mic'!D97,IF(COUNTIF('6 Mic'!D98:D102,"&gt;=0")=0,"", MIN(MAX(SUMPRODUCT('6 Mic'!D98:D102,'6 Mic'!$G98:$G102)*4/(SUM('6 Mic'!$G98:$G102) - SUMIF('6 Mic'!D98:D102,"X",'6 Mic'!$G98:$G102)),MAX('6 Mic'!AB98:AB102)),MIN('6 Mic'!AF98:AF102))))</f>
        <v/>
      </c>
      <c r="F172" s="139" t="str">
        <f>IF(NOT('6 Mic'!E97 = ""),'6 Mic'!E97,IF(COUNTIF('6 Mic'!E98:E102,"&gt;=0")=0,"", MIN(MAX(SUMPRODUCT('6 Mic'!E98:E102,'6 Mic'!$G98:$G102)*4/(SUM('6 Mic'!$G98:$G102) - SUMIF('6 Mic'!E98:E102,"X",'6 Mic'!$G98:$G102)),MAX('6 Mic'!AC98:AC102)),MIN('6 Mic'!AG98:AG102))))</f>
        <v/>
      </c>
      <c r="G172" s="139" t="str">
        <f>IF(NOT('6 Mic'!F97 = ""),'6 Mic'!F97,IF(COUNTIF('6 Mic'!F98:F102,"&gt;=0")=0,"", MIN(MAX(SUMPRODUCT('6 Mic'!F98:F102,'6 Mic'!$G98:$G102)*4/(SUM('6 Mic'!$G98:$G102) - SUMIF('6 Mic'!F98:F102,"X",'6 Mic'!$G98:$G102)),MAX('6 Mic'!AD98:AD102)),MIN('6 Mic'!AH98:AH102))))</f>
        <v/>
      </c>
      <c r="H172" s="447">
        <f>IF(AND(OR(D172="X",D172=""),OR(E172="X",E172=""),OR(F172="X",F172=""),OR(G172="X",G172="")),1,ROUND(MIN(IF(OR(D172="",D172="X"),4,D172),IF(OR(E172="",E172="X"),4,E172),IF(OR(F172="",F172="X"),4,F172),IF(OR(G172="",G172="X"),4,G172)),0))</f>
        <v>1</v>
      </c>
      <c r="I172" s="16" t="str">
        <f>IF(OR(Projets!C29 = 1, Projets!D29 = 1), IF(IndG = 3, Projets!I29,IF(AND(IndG = 4,NOT(Projets!F29= ""), Projets!F29&lt;dateanal ),Projets!I29, "")),"")</f>
        <v/>
      </c>
      <c r="J172" s="448">
        <f>IF(IF(IndG&gt;=3,MAX(H172,I172),H172)&lt;1,1,IF(IndG&gt;=3,MAX(H172,I172),H172))</f>
        <v>1</v>
      </c>
      <c r="L172" s="1163">
        <v>5</v>
      </c>
    </row>
    <row r="173" spans="1:21" ht="16.5" customHeight="1" x14ac:dyDescent="0.25">
      <c r="A173" s="269" t="s">
        <v>1518</v>
      </c>
      <c r="B173" s="1058" t="s">
        <v>1519</v>
      </c>
      <c r="C173" s="1059"/>
      <c r="D173" s="1060" t="s">
        <v>229</v>
      </c>
      <c r="E173" s="1060" t="s">
        <v>230</v>
      </c>
      <c r="F173" s="1060" t="s">
        <v>265</v>
      </c>
      <c r="G173" s="1060" t="s">
        <v>266</v>
      </c>
      <c r="H173" s="420"/>
      <c r="I173" s="16"/>
      <c r="J173" s="420"/>
      <c r="L173" s="1163"/>
      <c r="M173" s="34"/>
    </row>
    <row r="174" spans="1:21" ht="12.75" customHeight="1" x14ac:dyDescent="0.25">
      <c r="B174" s="142" t="s">
        <v>290</v>
      </c>
      <c r="C174" s="39"/>
      <c r="H174" s="447"/>
      <c r="I174" s="16"/>
      <c r="L174" s="1162"/>
      <c r="M174" s="34"/>
    </row>
    <row r="175" spans="1:21" ht="12" customHeight="1" x14ac:dyDescent="0.25">
      <c r="B175" s="296" t="s">
        <v>772</v>
      </c>
      <c r="C175" s="45" t="s">
        <v>773</v>
      </c>
      <c r="D175" s="137" t="str">
        <f>IF(NOT('7 Dev'!C4 = ""),'7 Dev'!C4,IF(COUNTIF('7 Dev'!C5:C13,"&gt;=0")=0,"", MIN(MAX(SUMPRODUCT('7 Dev'!C5:C13,'7 Dev'!$G5:$G13)*4/(SUM('7 Dev'!$G5:$G13) - SUMIF('7 Dev'!C5:C13,"X",'7 Dev'!$G5:$G13)),MAX('7 Dev'!AA5:AA13)),MIN('7 Dev'!AE5:AE13))))</f>
        <v/>
      </c>
      <c r="E175" s="137" t="str">
        <f>IF(NOT('7 Dev'!D4 = ""),'7 Dev'!D4,IF(COUNTIF('7 Dev'!D5:D13,"&gt;=0")=0,"", MIN(MAX(SUMPRODUCT('7 Dev'!D5:D13,'7 Dev'!$G5:$G13)*4/(SUM('7 Dev'!$G5:$G13) - SUMIF('7 Dev'!D5:D13,"X",'7 Dev'!$G5:$G13)),MAX('7 Dev'!AB5:AB13)),MIN('7 Dev'!AF5:AF13))))</f>
        <v/>
      </c>
      <c r="F175" s="137" t="str">
        <f>IF(NOT('7 Dev'!E4 = ""),'7 Dev'!E4,IF(COUNTIF('7 Dev'!E5:E13,"&gt;=0")=0,"", MIN(MAX(SUMPRODUCT('7 Dev'!E5:E13,'7 Dev'!$G5:$G13)*4/(SUM('7 Dev'!$G5:$G13) - SUMIF('7 Dev'!E5:E13,"X",'7 Dev'!$G5:$G13)),MAX('7 Dev'!AC5:AC13)),MIN('7 Dev'!AG5:AG13))))</f>
        <v/>
      </c>
      <c r="G175" s="137" t="str">
        <f>IF(NOT('7 Dev'!F4 = ""),'7 Dev'!F4,IF(COUNTIF('7 Dev'!F5:F13,"&gt;=0")=0,"", MIN(MAX(SUMPRODUCT('7 Dev'!F5:F13,'7 Dev'!$G5:$G13)*4/(SUM('7 Dev'!$G5:$G13) - SUMIF('7 Dev'!F5:F13,"X",'7 Dev'!$G5:$G13)),MAX('7 Dev'!AD5:AD13)),MIN('7 Dev'!AH5:AH13))))</f>
        <v/>
      </c>
      <c r="H175" s="447">
        <f>IF(AND(OR(D175="X",D175=""),OR(E175="X",E175=""),OR(F175="X",F175=""),OR(G175="X",G175="")),1,ROUND(MIN(IF(OR(D175="",D175="X"),4,D175),IF(OR(E175="",E175="X"),4,E175),IF(OR(F175="",F175="X"),4,F175),IF(OR(G175="",G175="X"),4,G175)),0))</f>
        <v>1</v>
      </c>
      <c r="I175" s="16"/>
      <c r="J175" s="419">
        <f>IF(IF(IndG&gt;=3,MAX(H175,I175),H175)&lt;1,1,IF(IndG&gt;=3,MAX(H175,I175),H175))</f>
        <v>1</v>
      </c>
      <c r="L175" s="1163">
        <v>9</v>
      </c>
      <c r="M175" s="34"/>
    </row>
    <row r="176" spans="1:21" ht="12" customHeight="1" x14ac:dyDescent="0.25">
      <c r="B176" s="296" t="s">
        <v>774</v>
      </c>
      <c r="C176" s="45" t="s">
        <v>775</v>
      </c>
      <c r="D176" s="137" t="str">
        <f>IF(NOT('7 Dev'!C14 = ""),'7 Dev'!C14,IF(COUNTIF('7 Dev'!C15:C16,"&gt;=0")=0,"", MIN(MAX(SUMPRODUCT('7 Dev'!C15:C16,'7 Dev'!$G15:$G16)*4/(SUM('7 Dev'!$G15:$G16) - SUMIF('7 Dev'!C15:C16,"X",'7 Dev'!$G15:$G16)),MAX('7 Dev'!AA15:AA16)),MIN('7 Dev'!AE15:AE16))))</f>
        <v/>
      </c>
      <c r="E176" s="137" t="str">
        <f>IF(NOT('7 Dev'!D14 = ""),'7 Dev'!D14,IF(COUNTIF('7 Dev'!D15:D16,"&gt;=0")=0,"", MIN(MAX(SUMPRODUCT('7 Dev'!D15:D16,'7 Dev'!$G15:$G16)*4/(SUM('7 Dev'!$G15:$G16) - SUMIF('7 Dev'!D15:D16,"X",'7 Dev'!$G15:$G16)),MAX('7 Dev'!AB15:AB16)),MIN('7 Dev'!AF15:AF16))))</f>
        <v/>
      </c>
      <c r="F176" s="137" t="str">
        <f>IF(NOT('7 Dev'!E14 = ""),'7 Dev'!E14,IF(COUNTIF('7 Dev'!E15:E16,"&gt;=0")=0,"", MIN(MAX(SUMPRODUCT('7 Dev'!E15:E16,'7 Dev'!$G15:$G16)*4/(SUM('7 Dev'!$G15:$G16) - SUMIF('7 Dev'!E15:E16,"X",'7 Dev'!$G15:$G16)),MAX('7 Dev'!AC15:AC16)),MIN('7 Dev'!AG15:AG16))))</f>
        <v/>
      </c>
      <c r="G176" s="137" t="str">
        <f>IF(NOT('7 Dev'!F14 = ""),'7 Dev'!F14,IF(COUNTIF('7 Dev'!F15:F16,"&gt;=0")=0,"", MIN(MAX(SUMPRODUCT('7 Dev'!F15:F16,'7 Dev'!$G15:$G16)*4/(SUM('7 Dev'!$G15:$G16) - SUMIF('7 Dev'!F15:F16,"X",'7 Dev'!$G15:$G16)),MAX('7 Dev'!AD15:AD16)),MIN('7 Dev'!AH15:AH16))))</f>
        <v/>
      </c>
      <c r="H176" s="447">
        <f>IF(AND(OR(D176="X",D176=""),OR(E176="X",E176=""),OR(F176="X",F176=""),OR(G176="X",G176="")),1,ROUND(MIN(IF(OR(D176="",D176="X"),4,D176),IF(OR(E176="",E176="X"),4,E176),IF(OR(F176="",F176="X"),4,F176),IF(OR(G176="",G176="X"),4,G176)),0))</f>
        <v>1</v>
      </c>
      <c r="I176" s="16"/>
      <c r="J176" s="419">
        <f>IF(IF(IndG&gt;=3,MAX(H176,I176),H176)&lt;1,1,IF(IndG&gt;=3,MAX(H176,I176),H176))</f>
        <v>1</v>
      </c>
      <c r="L176" s="1163">
        <v>2</v>
      </c>
      <c r="M176" s="34"/>
    </row>
    <row r="177" spans="1:29" ht="12" customHeight="1" x14ac:dyDescent="0.25">
      <c r="B177" s="296" t="s">
        <v>776</v>
      </c>
      <c r="C177" s="45" t="s">
        <v>777</v>
      </c>
      <c r="D177" s="137" t="str">
        <f>IF(NOT('7 Dev'!C17 = ""),'7 Dev'!C17,IF(COUNTIF('7 Dev'!C18:C19,"&gt;=0")=0,"", MIN(MAX(SUMPRODUCT('7 Dev'!C18:C19,'7 Dev'!$G18:$G19)*4/(SUM('7 Dev'!$G18:$G19) - SUMIF('7 Dev'!C18:C19,"X",'7 Dev'!$G18:$G19)),MAX('7 Dev'!AA18:AA19)),MIN('7 Dev'!AE18:AE19))))</f>
        <v/>
      </c>
      <c r="E177" s="137" t="str">
        <f>IF(NOT('7 Dev'!D17 = ""),'7 Dev'!D17,IF(COUNTIF('7 Dev'!D18:D19,"&gt;=0")=0,"", MIN(MAX(SUMPRODUCT('7 Dev'!D18:D19,'7 Dev'!$G18:$G19)*4/(SUM('7 Dev'!$G18:$G19) - SUMIF('7 Dev'!D18:D19,"X",'7 Dev'!$G18:$G19)),MAX('7 Dev'!AB18:AB19)),MIN('7 Dev'!AF18:AF19))))</f>
        <v/>
      </c>
      <c r="F177" s="137" t="str">
        <f>IF(NOT('7 Dev'!E17 = ""),'7 Dev'!E17,IF(COUNTIF('7 Dev'!E18:E19,"&gt;=0")=0,"", MIN(MAX(SUMPRODUCT('7 Dev'!E18:E19,'7 Dev'!$G18:$G19)*4/(SUM('7 Dev'!$G18:$G19) - SUMIF('7 Dev'!E18:E19,"X",'7 Dev'!$G18:$G19)),MAX('7 Dev'!AC18:AC19)),MIN('7 Dev'!AG18:AG19))))</f>
        <v/>
      </c>
      <c r="G177" s="137" t="str">
        <f>IF(NOT('7 Dev'!F17 = ""),'7 Dev'!F17,IF(COUNTIF('7 Dev'!F18:F19,"&gt;=0")=0,"", MIN(MAX(SUMPRODUCT('7 Dev'!F18:F19,'7 Dev'!$G18:$G19)*4/(SUM('7 Dev'!$G18:$G19) - SUMIF('7 Dev'!F18:F19,"X",'7 Dev'!$G18:$G19)),MAX('7 Dev'!AD18:AD19)),MIN('7 Dev'!AH18:AH19))))</f>
        <v/>
      </c>
      <c r="H177" s="447">
        <f>IF(AND(OR(D177="X",D177=""),OR(E177="X",E177=""),OR(F177="X",F177=""),OR(G177="X",G177="")),1,ROUND(MIN(IF(OR(D177="",D177="X"),4,D177),IF(OR(E177="",E177="X"),4,E177),IF(OR(F177="",F177="X"),4,F177),IF(OR(G177="",G177="X"),4,G177)),0))</f>
        <v>1</v>
      </c>
      <c r="I177" s="16"/>
      <c r="J177" s="419">
        <f>IF(IF(IndG&gt;=3,MAX(H177,I177),H177)&lt;1,1,IF(IndG&gt;=3,MAX(H177,I177),H177))</f>
        <v>1</v>
      </c>
      <c r="L177" s="1163">
        <v>2</v>
      </c>
      <c r="M177" s="34"/>
    </row>
    <row r="178" spans="1:29" ht="12" customHeight="1" x14ac:dyDescent="0.25">
      <c r="B178" s="142" t="s">
        <v>369</v>
      </c>
      <c r="C178" s="39"/>
      <c r="H178" s="447"/>
      <c r="I178" s="16"/>
      <c r="L178" s="1162"/>
      <c r="M178" s="34"/>
    </row>
    <row r="179" spans="1:29" ht="12" customHeight="1" x14ac:dyDescent="0.25">
      <c r="B179" s="1064" t="s">
        <v>778</v>
      </c>
      <c r="C179" s="45" t="s">
        <v>779</v>
      </c>
      <c r="D179" s="137" t="str">
        <f>IF(NOT('7 Dev'!C21 = ""),'7 Dev'!C21,IF(COUNTIF('7 Dev'!C22:C24,"&gt;=0")=0,"", MIN(MAX(SUMPRODUCT('7 Dev'!C22:C24,'7 Dev'!$G22:$G24)*4/(SUM('7 Dev'!$G22:$G24) - SUMIF('7 Dev'!C22:C24,"X",'7 Dev'!$G22:$G24)),MAX('7 Dev'!AA22:AA24)),MIN('7 Dev'!AE22:AE24))))</f>
        <v/>
      </c>
      <c r="E179" s="137" t="str">
        <f>IF(NOT('7 Dev'!D21 = ""),'7 Dev'!D21,IF(COUNTIF('7 Dev'!D22:D24,"&gt;=0")=0,"", MIN(MAX(SUMPRODUCT('7 Dev'!D22:D24,'7 Dev'!$G22:$G24)*4/(SUM('7 Dev'!$G22:$G24) - SUMIF('7 Dev'!D22:D24,"X",'7 Dev'!$G22:$G24)),MAX('7 Dev'!AB22:AB24)),MIN('7 Dev'!AF22:AF24))))</f>
        <v/>
      </c>
      <c r="F179" s="137" t="str">
        <f>IF(NOT('7 Dev'!E21 = ""),'7 Dev'!E21,IF(COUNTIF('7 Dev'!E22:E24,"&gt;=0")=0,"", MIN(MAX(SUMPRODUCT('7 Dev'!E22:E24,'7 Dev'!$G22:$G24)*4/(SUM('7 Dev'!$G22:$G24) - SUMIF('7 Dev'!E22:E24,"X",'7 Dev'!$G22:$G24)),MAX('7 Dev'!AC22:AC24)),MIN('7 Dev'!AG22:AG24))))</f>
        <v/>
      </c>
      <c r="G179" s="137" t="str">
        <f>IF(NOT('7 Dev'!F21 = ""),'7 Dev'!F21,IF(COUNTIF('7 Dev'!F22:F24,"&gt;=0")=0,"", MIN(MAX(SUMPRODUCT('7 Dev'!F22:F24,'7 Dev'!$G22:$G24)*4/(SUM('7 Dev'!$G22:$G24) - SUMIF('7 Dev'!F22:F24,"X",'7 Dev'!$G22:$G24)),MAX('7 Dev'!AD22:AD24)),MIN('7 Dev'!AH22:AH24))))</f>
        <v/>
      </c>
      <c r="H179" s="447">
        <f t="shared" ref="H179:H188" si="16">IF(AND(OR(D179="X",D179=""),OR(E179="X",E179=""),OR(F179="X",F179=""),OR(G179="X",G179="")),1,ROUND(MIN(IF(OR(D179="",D179="X"),4,D179),IF(OR(E179="",E179="X"),4,E179),IF(OR(F179="",F179="X"),4,F179),IF(OR(G179="",G179="X"),4,G179)),0))</f>
        <v>1</v>
      </c>
      <c r="I179" s="16"/>
      <c r="J179" s="419">
        <f t="shared" ref="J179:J188" si="17">IF(IF(IndG&gt;=3,MAX(H179,I179),H179)&lt;1,1,IF(IndG&gt;=3,MAX(H179,I179),H179))</f>
        <v>1</v>
      </c>
      <c r="L179" s="1163">
        <v>3</v>
      </c>
      <c r="M179" s="34"/>
    </row>
    <row r="180" spans="1:29" s="229" customFormat="1" ht="12" customHeight="1" x14ac:dyDescent="0.25">
      <c r="A180" s="295"/>
      <c r="B180" s="1064" t="s">
        <v>780</v>
      </c>
      <c r="C180" s="45" t="s">
        <v>4611</v>
      </c>
      <c r="D180" s="137" t="str">
        <f>IF(NOT('7 Dev'!C25 = ""),'7 Dev'!C25,IF(COUNTIF('7 Dev'!C26:C34,"&gt;=0")=0,"", MIN(MAX(SUMPRODUCT('7 Dev'!C26:C34,'7 Dev'!$G26:$G34)*4/(SUM('7 Dev'!$G26:$G34) - SUMIF('7 Dev'!C26:C34,"X",'7 Dev'!$G26:$G34)),MAX('7 Dev'!AA26:AA34)),MIN('7 Dev'!AE26:AE34))))</f>
        <v/>
      </c>
      <c r="E180" s="137" t="str">
        <f>IF(NOT('7 Dev'!D25 = ""),'7 Dev'!D25,IF(COUNTIF('7 Dev'!D26:D34,"&gt;=0")=0,"", MIN(MAX(SUMPRODUCT('7 Dev'!D26:D34,'7 Dev'!$G26:$G34)*4/(SUM('7 Dev'!$G26:$G34) - SUMIF('7 Dev'!D26:D34,"X",'7 Dev'!$G26:$G34)),MAX('7 Dev'!AB26:AB34)),MIN('7 Dev'!AF26:AF34))))</f>
        <v/>
      </c>
      <c r="F180" s="137" t="str">
        <f>IF(NOT('7 Dev'!E25 = ""),'7 Dev'!E25,IF(COUNTIF('7 Dev'!E26:E34,"&gt;=0")=0,"", MIN(MAX(SUMPRODUCT('7 Dev'!E26:E34,'7 Dev'!$G26:$G34)*4/(SUM('7 Dev'!$G26:$G34) - SUMIF('7 Dev'!E26:E34,"X",'7 Dev'!$G26:$G34)),MAX('7 Dev'!AC26:AC34)),MIN('7 Dev'!AG26:AG34))))</f>
        <v/>
      </c>
      <c r="G180" s="137" t="str">
        <f>IF(NOT('7 Dev'!F25 = ""),'7 Dev'!F25,IF(COUNTIF('7 Dev'!F26:F34,"&gt;=0")=0,"", MIN(MAX(SUMPRODUCT('7 Dev'!F26:F34,'7 Dev'!$G26:$G34)*4/(SUM('7 Dev'!$G26:$G34) - SUMIF('7 Dev'!F26:F34,"X",'7 Dev'!$G26:$G34)),MAX('7 Dev'!AD26:AD34)),MIN('7 Dev'!AH26:AH34))))</f>
        <v/>
      </c>
      <c r="H180" s="447">
        <f t="shared" si="16"/>
        <v>1</v>
      </c>
      <c r="I180" s="16" t="str">
        <f>IF(OR(Projets!C33 = 1, Projets!D33 = 1), IF(IndG = 3, Projets!O33,IF(AND(IndG = 4,NOT(Projets!F33= ""), Projets!F33&lt;dateanal ),Projets!O33, "")),"")</f>
        <v/>
      </c>
      <c r="J180" s="419">
        <f t="shared" si="17"/>
        <v>1</v>
      </c>
      <c r="K180" s="50"/>
      <c r="L180" s="1163">
        <v>9</v>
      </c>
      <c r="M180" s="34"/>
      <c r="N180" s="50"/>
      <c r="O180" s="50"/>
      <c r="P180" s="50"/>
      <c r="Q180" s="50"/>
      <c r="R180" s="50"/>
      <c r="S180" s="50"/>
      <c r="T180" s="50"/>
      <c r="U180" s="50"/>
      <c r="V180" s="50"/>
      <c r="W180" s="50"/>
      <c r="X180" s="50"/>
      <c r="Y180" s="50"/>
      <c r="Z180" s="50"/>
      <c r="AA180" s="50"/>
      <c r="AB180" s="50"/>
      <c r="AC180" s="50"/>
    </row>
    <row r="181" spans="1:29" s="229" customFormat="1" ht="12" customHeight="1" x14ac:dyDescent="0.25">
      <c r="A181" s="295"/>
      <c r="B181" s="1064" t="s">
        <v>782</v>
      </c>
      <c r="C181" s="45" t="s">
        <v>784</v>
      </c>
      <c r="D181" s="137" t="str">
        <f>IF(NOT('7 Dev'!C35 = ""),'7 Dev'!C35,IF(COUNTIF('7 Dev'!C36:C40,"&gt;=0")=0,"", MIN(MAX(SUMPRODUCT('7 Dev'!C36:C40,'7 Dev'!$G36:$G40)*4/(SUM('7 Dev'!$G36:$G40) - SUMIF('7 Dev'!C36:C40,"X",'7 Dev'!$G36:$G40)),MAX('7 Dev'!AA36:AA40)),MIN('7 Dev'!AE36:AE40))))</f>
        <v/>
      </c>
      <c r="E181" s="137" t="str">
        <f>IF(NOT('7 Dev'!D35 = ""),'7 Dev'!D35,IF(COUNTIF('7 Dev'!D36:D40,"&gt;=0")=0,"", MIN(MAX(SUMPRODUCT('7 Dev'!D36:D40,'7 Dev'!$G36:$G40)*4/(SUM('7 Dev'!$G36:$G40) - SUMIF('7 Dev'!D36:D40,"X",'7 Dev'!$G36:$G40)),MAX('7 Dev'!AB36:AB40)),MIN('7 Dev'!AF36:AF40))))</f>
        <v/>
      </c>
      <c r="F181" s="137" t="str">
        <f>IF(NOT('7 Dev'!E35 = ""),'7 Dev'!E35,IF(COUNTIF('7 Dev'!E36:E40,"&gt;=0")=0,"", MIN(MAX(SUMPRODUCT('7 Dev'!E36:E40,'7 Dev'!$G36:$G40)*4/(SUM('7 Dev'!$G36:$G40) - SUMIF('7 Dev'!E36:E40,"X",'7 Dev'!$G36:$G40)),MAX('7 Dev'!AC36:AC40)),MIN('7 Dev'!AG36:AG40))))</f>
        <v/>
      </c>
      <c r="G181" s="137" t="str">
        <f>IF(NOT('7 Dev'!F35 = ""),'7 Dev'!F35,IF(COUNTIF('7 Dev'!F36:F40,"&gt;=0")=0,"", MIN(MAX(SUMPRODUCT('7 Dev'!F36:F40,'7 Dev'!$G36:$G40)*4/(SUM('7 Dev'!$G36:$G40) - SUMIF('7 Dev'!F36:F40,"X",'7 Dev'!$G36:$G40)),MAX('7 Dev'!AD36:AD40)),MIN('7 Dev'!AH36:AH40))))</f>
        <v/>
      </c>
      <c r="H181" s="447">
        <f t="shared" si="16"/>
        <v>1</v>
      </c>
      <c r="I181" s="16"/>
      <c r="J181" s="419">
        <f t="shared" si="17"/>
        <v>1</v>
      </c>
      <c r="K181" s="50"/>
      <c r="L181" s="1163">
        <v>5</v>
      </c>
      <c r="M181" s="34"/>
      <c r="N181" s="50"/>
      <c r="O181" s="50"/>
      <c r="P181" s="50"/>
      <c r="Q181" s="50"/>
      <c r="R181" s="50"/>
      <c r="S181" s="50"/>
      <c r="T181" s="50"/>
      <c r="U181" s="50"/>
      <c r="V181" s="50"/>
      <c r="W181" s="50"/>
      <c r="X181" s="50"/>
      <c r="Y181" s="50"/>
      <c r="Z181" s="50"/>
      <c r="AA181" s="50"/>
      <c r="AB181" s="50"/>
      <c r="AC181" s="50"/>
    </row>
    <row r="182" spans="1:29" s="229" customFormat="1" ht="12" customHeight="1" x14ac:dyDescent="0.25">
      <c r="A182" s="295"/>
      <c r="B182" s="1064" t="s">
        <v>783</v>
      </c>
      <c r="C182" s="40" t="s">
        <v>787</v>
      </c>
      <c r="D182" s="137" t="str">
        <f>IF(NOT('7 Dev'!C41 = ""),'7 Dev'!C41,IF(COUNTIF('7 Dev'!C42:C44,"&gt;=0")=0,"", MIN(MAX(SUMPRODUCT('7 Dev'!C42:C44,'7 Dev'!$G42:$G44)*4/(SUM('7 Dev'!$G42:$G44) - SUMIF('7 Dev'!C42:C44,"X",'7 Dev'!$G42:$G44)),MAX('7 Dev'!AA42:AA44)),MIN('7 Dev'!AE42:AE44))))</f>
        <v/>
      </c>
      <c r="E182" s="137" t="str">
        <f>IF(NOT('7 Dev'!D41 = ""),'7 Dev'!D41,IF(COUNTIF('7 Dev'!D42:D44,"&gt;=0")=0,"", MIN(MAX(SUMPRODUCT('7 Dev'!D42:D44,'7 Dev'!$G42:$G44)*4/(SUM('7 Dev'!$G42:$G44) - SUMIF('7 Dev'!D42:D44,"X",'7 Dev'!$G42:$G44)),MAX('7 Dev'!AB42:AB44)),MIN('7 Dev'!AF42:AF44))))</f>
        <v/>
      </c>
      <c r="F182" s="137" t="str">
        <f>IF(NOT('7 Dev'!E41 = ""),'7 Dev'!E41,IF(COUNTIF('7 Dev'!E42:E44,"&gt;=0")=0,"", MIN(MAX(SUMPRODUCT('7 Dev'!E42:E44,'7 Dev'!$G42:$G44)*4/(SUM('7 Dev'!$G42:$G44) - SUMIF('7 Dev'!E42:E44,"X",'7 Dev'!$G42:$G44)),MAX('7 Dev'!AC42:AC44)),MIN('7 Dev'!AG42:AG44))))</f>
        <v/>
      </c>
      <c r="G182" s="137" t="str">
        <f>IF(NOT('7 Dev'!F41 = ""),'7 Dev'!F41,IF(COUNTIF('7 Dev'!F42:F44,"&gt;=0")=0,"", MIN(MAX(SUMPRODUCT('7 Dev'!F42:F44,'7 Dev'!$G42:$G44)*4/(SUM('7 Dev'!$G42:$G44) - SUMIF('7 Dev'!F42:F44,"X",'7 Dev'!$G42:$G44)),MAX('7 Dev'!AD42:AD44)),MIN('7 Dev'!AH42:AH44))))</f>
        <v/>
      </c>
      <c r="H182" s="447">
        <f t="shared" si="16"/>
        <v>1</v>
      </c>
      <c r="I182" s="16"/>
      <c r="J182" s="419">
        <f t="shared" si="17"/>
        <v>1</v>
      </c>
      <c r="K182" s="50"/>
      <c r="L182" s="1163">
        <v>3</v>
      </c>
      <c r="M182" s="34"/>
      <c r="N182" s="50"/>
      <c r="O182" s="50"/>
      <c r="P182" s="50"/>
      <c r="Q182" s="50"/>
      <c r="R182" s="50"/>
      <c r="S182" s="50"/>
      <c r="T182" s="50"/>
      <c r="U182" s="50"/>
      <c r="V182" s="50"/>
      <c r="W182" s="50"/>
      <c r="X182" s="50"/>
      <c r="Y182" s="50"/>
      <c r="Z182" s="50"/>
      <c r="AA182" s="50"/>
      <c r="AB182" s="50"/>
      <c r="AC182" s="50"/>
    </row>
    <row r="183" spans="1:29" s="229" customFormat="1" ht="12" customHeight="1" x14ac:dyDescent="0.25">
      <c r="A183" s="295"/>
      <c r="B183" s="1064" t="s">
        <v>785</v>
      </c>
      <c r="C183" s="40" t="s">
        <v>789</v>
      </c>
      <c r="D183" s="139" t="str">
        <f>IF(NOT('7 Dev'!C45 = ""),'7 Dev'!C45,IF(COUNTIF('7 Dev'!C46:C48,"&gt;=0")=0,"", MIN(MAX(SUMPRODUCT('7 Dev'!C46:C48,'7 Dev'!$G46:$G48)*4/(SUM('7 Dev'!$G46:$G48) - SUMIF('7 Dev'!C46:C48,"X",'7 Dev'!$G46:$G48)),MAX('7 Dev'!AA46:AA48)),MIN('7 Dev'!AE46:AE48))))</f>
        <v/>
      </c>
      <c r="E183" s="139" t="str">
        <f>IF(NOT('7 Dev'!D45 = ""),'7 Dev'!D45,IF(COUNTIF('7 Dev'!D46:D48,"&gt;=0")=0,"", MIN(MAX(SUMPRODUCT('7 Dev'!D46:D48,'7 Dev'!$G46:$G48)*4/(SUM('7 Dev'!$G46:$G48) - SUMIF('7 Dev'!D46:D48,"X",'7 Dev'!$G46:$G48)),MAX('7 Dev'!AB46:AB48)),MIN('7 Dev'!AF46:AF48))))</f>
        <v/>
      </c>
      <c r="F183" s="139" t="str">
        <f>IF(NOT('7 Dev'!E45 = ""),'7 Dev'!E45,IF(COUNTIF('7 Dev'!E46:E48,"&gt;=0")=0,"", MIN(MAX(SUMPRODUCT('7 Dev'!E46:E48,'7 Dev'!$G46:$G48)*4/(SUM('7 Dev'!$G46:$G48) - SUMIF('7 Dev'!E46:E48,"X",'7 Dev'!$G46:$G48)),MAX('7 Dev'!AC46:AC48)),MIN('7 Dev'!AG46:AG48))))</f>
        <v/>
      </c>
      <c r="G183" s="139" t="str">
        <f>IF(NOT('7 Dev'!F45 = ""),'7 Dev'!F45,IF(COUNTIF('7 Dev'!F46:F48,"&gt;=0")=0,"", MIN(MAX(SUMPRODUCT('7 Dev'!F46:F48,'7 Dev'!$G46:$G48)*4/(SUM('7 Dev'!$G46:$G48) - SUMIF('7 Dev'!F46:F48,"X",'7 Dev'!$G46:$G48)),MAX('7 Dev'!AD46:AD48)),MIN('7 Dev'!AH46:AH48))))</f>
        <v/>
      </c>
      <c r="H183" s="447">
        <f t="shared" si="16"/>
        <v>1</v>
      </c>
      <c r="I183" s="16"/>
      <c r="J183" s="419">
        <f t="shared" si="17"/>
        <v>1</v>
      </c>
      <c r="K183" s="50"/>
      <c r="L183" s="1163">
        <v>3</v>
      </c>
      <c r="M183" s="34"/>
      <c r="N183" s="50"/>
      <c r="O183" s="50"/>
      <c r="P183" s="50"/>
      <c r="Q183" s="50"/>
      <c r="R183" s="50"/>
      <c r="S183" s="50"/>
      <c r="T183" s="50"/>
      <c r="U183" s="50"/>
      <c r="V183" s="50"/>
      <c r="W183" s="50"/>
      <c r="X183" s="50"/>
      <c r="Y183" s="50"/>
      <c r="Z183" s="50"/>
      <c r="AA183" s="50"/>
      <c r="AB183" s="50"/>
      <c r="AC183" s="50"/>
    </row>
    <row r="184" spans="1:29" s="229" customFormat="1" ht="12" customHeight="1" x14ac:dyDescent="0.25">
      <c r="A184" s="295"/>
      <c r="B184" s="1064" t="s">
        <v>786</v>
      </c>
      <c r="C184" s="40" t="s">
        <v>1883</v>
      </c>
      <c r="D184" s="139" t="str">
        <f>IF(NOT('7 Dev'!C49 = ""),'7 Dev'!C49,IF(COUNTIF('7 Dev'!C50:C53,"&gt;=0")=0,"", MIN(MAX(SUMPRODUCT('7 Dev'!C50:C53,'7 Dev'!$G50:$G53)*4/(SUM('7 Dev'!$G50:$G53) - SUMIF('7 Dev'!C50:C53,"X",'7 Dev'!$G50:$G53)),MAX('7 Dev'!AA50:AA53)),MIN('7 Dev'!AE50:AE53))))</f>
        <v/>
      </c>
      <c r="E184" s="139" t="str">
        <f>IF(NOT('7 Dev'!D49 = ""),'7 Dev'!D49,IF(COUNTIF('7 Dev'!D50:D53,"&gt;=0")=0,"", MIN(MAX(SUMPRODUCT('7 Dev'!D50:D53,'7 Dev'!$G50:$G53)*4/(SUM('7 Dev'!$G50:$G53) - SUMIF('7 Dev'!D50:D53,"X",'7 Dev'!$G50:$G53)),MAX('7 Dev'!AB50:AB53)),MIN('7 Dev'!AF50:AF53))))</f>
        <v/>
      </c>
      <c r="F184" s="139" t="str">
        <f>IF(NOT('7 Dev'!E49 = ""),'7 Dev'!E49,IF(COUNTIF('7 Dev'!E50:E53,"&gt;=0")=0,"", MIN(MAX(SUMPRODUCT('7 Dev'!E50:E53,'7 Dev'!$G50:$G53)*4/(SUM('7 Dev'!$G50:$G53) - SUMIF('7 Dev'!E50:E53,"X",'7 Dev'!$G50:$G53)),MAX('7 Dev'!AC50:AC53)),MIN('7 Dev'!AG50:AG53))))</f>
        <v/>
      </c>
      <c r="G184" s="139" t="str">
        <f>IF(NOT('7 Dev'!F49 = ""),'7 Dev'!F49,IF(COUNTIF('7 Dev'!F50:F53,"&gt;=0")=0,"", MIN(MAX(SUMPRODUCT('7 Dev'!F50:F53,'7 Dev'!$G50:$G53)*4/(SUM('7 Dev'!$G50:$G53) - SUMIF('7 Dev'!F50:F53,"X",'7 Dev'!$G50:$G53)),MAX('7 Dev'!AD50:AD53)),MIN('7 Dev'!AH50:AH53))))</f>
        <v/>
      </c>
      <c r="H184" s="447">
        <f t="shared" si="16"/>
        <v>1</v>
      </c>
      <c r="I184" s="16"/>
      <c r="J184" s="419">
        <f t="shared" si="17"/>
        <v>1</v>
      </c>
      <c r="K184" s="50"/>
      <c r="L184" s="1163">
        <v>4</v>
      </c>
      <c r="M184" s="34"/>
      <c r="N184" s="50"/>
      <c r="O184" s="50"/>
      <c r="P184" s="50"/>
      <c r="Q184" s="50"/>
      <c r="R184" s="50"/>
      <c r="S184" s="50"/>
      <c r="T184" s="50"/>
      <c r="U184" s="50"/>
      <c r="V184" s="50"/>
      <c r="W184" s="50"/>
      <c r="X184" s="50"/>
      <c r="Y184" s="50"/>
      <c r="Z184" s="50"/>
      <c r="AA184" s="50"/>
      <c r="AB184" s="50"/>
      <c r="AC184" s="50"/>
    </row>
    <row r="185" spans="1:29" s="229" customFormat="1" ht="12" customHeight="1" x14ac:dyDescent="0.25">
      <c r="A185" s="295"/>
      <c r="B185" s="1064" t="s">
        <v>788</v>
      </c>
      <c r="C185" s="40" t="s">
        <v>792</v>
      </c>
      <c r="D185" s="139" t="str">
        <f>IF(NOT('7 Dev'!C54 = ""),'7 Dev'!C54,IF(COUNTIF('7 Dev'!C55:C57,"&gt;=0")=0,"", MIN(MAX(SUMPRODUCT('7 Dev'!C55:C57,'7 Dev'!$G55:$G57)*4/(SUM('7 Dev'!$G55:$G57) - SUMIF('7 Dev'!C55:C57,"X",'7 Dev'!$G55:$G57)),MAX('7 Dev'!AA55:AA57)),MIN('7 Dev'!AE55:AE57))))</f>
        <v/>
      </c>
      <c r="E185" s="139" t="str">
        <f>IF(NOT('7 Dev'!D54 = ""),'7 Dev'!D54,IF(COUNTIF('7 Dev'!D55:D57,"&gt;=0")=0,"", MIN(MAX(SUMPRODUCT('7 Dev'!D55:D57,'7 Dev'!$G55:$G57)*4/(SUM('7 Dev'!$G55:$G57) - SUMIF('7 Dev'!D55:D57,"X",'7 Dev'!$G55:$G57)),MAX('7 Dev'!AB55:AB57)),MIN('7 Dev'!AF55:AF57))))</f>
        <v/>
      </c>
      <c r="F185" s="139" t="str">
        <f>IF(NOT('7 Dev'!E54 = ""),'7 Dev'!E54,IF(COUNTIF('7 Dev'!E55:E57,"&gt;=0")=0,"", MIN(MAX(SUMPRODUCT('7 Dev'!E55:E57,'7 Dev'!$G55:$G57)*4/(SUM('7 Dev'!$G55:$G57) - SUMIF('7 Dev'!E55:E57,"X",'7 Dev'!$G55:$G57)),MAX('7 Dev'!AC55:AC57)),MIN('7 Dev'!AG55:AG57))))</f>
        <v/>
      </c>
      <c r="G185" s="139" t="str">
        <f>IF(NOT('7 Dev'!F54 = ""),'7 Dev'!F54,IF(COUNTIF('7 Dev'!F55:F57,"&gt;=0")=0,"", MIN(MAX(SUMPRODUCT('7 Dev'!F55:F57,'7 Dev'!$G55:$G57)*4/(SUM('7 Dev'!$G55:$G57) - SUMIF('7 Dev'!F55:F57,"X",'7 Dev'!$G55:$G57)),MAX('7 Dev'!AD55:AD57)),MIN('7 Dev'!AH55:AH57))))</f>
        <v/>
      </c>
      <c r="H185" s="447">
        <f t="shared" si="16"/>
        <v>1</v>
      </c>
      <c r="I185" s="16"/>
      <c r="J185" s="419">
        <f t="shared" si="17"/>
        <v>1</v>
      </c>
      <c r="K185" s="50"/>
      <c r="L185" s="1163">
        <v>3</v>
      </c>
      <c r="M185" s="34"/>
      <c r="N185" s="50"/>
      <c r="O185" s="50"/>
      <c r="P185" s="50"/>
      <c r="Q185" s="50"/>
      <c r="R185" s="50"/>
      <c r="S185" s="50"/>
      <c r="T185" s="50"/>
      <c r="U185" s="50"/>
      <c r="V185" s="50"/>
      <c r="W185" s="50"/>
      <c r="X185" s="50"/>
      <c r="Y185" s="50"/>
      <c r="Z185" s="50"/>
      <c r="AA185" s="50"/>
      <c r="AB185" s="50"/>
      <c r="AC185" s="50"/>
    </row>
    <row r="186" spans="1:29" s="229" customFormat="1" ht="12" customHeight="1" x14ac:dyDescent="0.25">
      <c r="A186" s="295"/>
      <c r="B186" s="1064" t="s">
        <v>790</v>
      </c>
      <c r="C186" s="45" t="s">
        <v>370</v>
      </c>
      <c r="D186" s="139" t="str">
        <f>IF(NOT('7 Dev'!C58 = ""),'7 Dev'!C58,IF(COUNTIF('7 Dev'!C59:C67,"&gt;=0")=0,"", MIN(MAX(SUMPRODUCT('7 Dev'!C59:C67,'7 Dev'!$G59:$G67)*4/(SUM('7 Dev'!$G59:$G67) - SUMIF('7 Dev'!C59:C67,"X",'7 Dev'!$G59:$G67)),MAX('7 Dev'!AA59:AA67)),MIN('7 Dev'!AE59:AE67))))</f>
        <v/>
      </c>
      <c r="E186" s="139" t="str">
        <f>IF(NOT('7 Dev'!D58 = ""),'7 Dev'!D58,IF(COUNTIF('7 Dev'!D59:D67,"&gt;=0")=0,"", MIN(MAX(SUMPRODUCT('7 Dev'!D59:D67,'7 Dev'!$G59:$G67)*4/(SUM('7 Dev'!$G59:$G67) - SUMIF('7 Dev'!D59:D67,"X",'7 Dev'!$G59:$G67)),MAX('7 Dev'!AB59:AB67)),MIN('7 Dev'!AF59:AF67))))</f>
        <v/>
      </c>
      <c r="F186" s="139" t="str">
        <f>IF(NOT('7 Dev'!E58 = ""),'7 Dev'!E58,IF(COUNTIF('7 Dev'!E59:E67,"&gt;=0")=0,"", MIN(MAX(SUMPRODUCT('7 Dev'!E59:E67,'7 Dev'!$G59:$G67)*4/(SUM('7 Dev'!$G59:$G67) - SUMIF('7 Dev'!E59:E67,"X",'7 Dev'!$G59:$G67)),MAX('7 Dev'!AC59:AC67)),MIN('7 Dev'!AG59:AG67))))</f>
        <v/>
      </c>
      <c r="G186" s="139" t="str">
        <f>IF(NOT('7 Dev'!F58 = ""),'7 Dev'!F58,IF(COUNTIF('7 Dev'!F59:F67,"&gt;=0")=0,"", MIN(MAX(SUMPRODUCT('7 Dev'!F59:F67,'7 Dev'!$G59:$G67)*4/(SUM('7 Dev'!$G59:$G67) - SUMIF('7 Dev'!F59:F67,"X",'7 Dev'!$G59:$G67)),MAX('7 Dev'!AD59:AD67)),MIN('7 Dev'!AH59:AH67))))</f>
        <v/>
      </c>
      <c r="H186" s="447">
        <f t="shared" si="16"/>
        <v>1</v>
      </c>
      <c r="I186" s="16" t="str">
        <f>IF(OR(Projets!C34 = 1, Projets!D34 = 1), IF(IndG = 3, Projets!I34,IF(AND(IndG = 4,NOT(Projets!F34= ""), Projets!F34&lt;dateanal ),Projets!I34, "")),"")</f>
        <v/>
      </c>
      <c r="J186" s="419">
        <f t="shared" si="17"/>
        <v>1</v>
      </c>
      <c r="K186" s="50"/>
      <c r="L186" s="1163">
        <v>9</v>
      </c>
      <c r="M186" s="34"/>
      <c r="N186" s="50"/>
      <c r="O186" s="50"/>
      <c r="P186" s="50"/>
      <c r="Q186" s="50"/>
      <c r="R186" s="50"/>
      <c r="S186" s="50"/>
      <c r="T186" s="50"/>
      <c r="U186" s="50"/>
      <c r="V186" s="50"/>
      <c r="W186" s="50"/>
      <c r="X186" s="50"/>
      <c r="Y186" s="50"/>
      <c r="Z186" s="50"/>
      <c r="AA186" s="50"/>
      <c r="AB186" s="50"/>
      <c r="AC186" s="50"/>
    </row>
    <row r="187" spans="1:29" s="229" customFormat="1" ht="12" customHeight="1" x14ac:dyDescent="0.25">
      <c r="A187" s="295"/>
      <c r="B187" s="1064" t="s">
        <v>791</v>
      </c>
      <c r="C187" s="40" t="s">
        <v>6807</v>
      </c>
      <c r="D187" s="139" t="str">
        <f>IF(NOT('7 Dev'!C68 = ""),'7 Dev'!C68,IF(COUNTIF('7 Dev'!C69:C73,"&gt;=0")=0,"", MIN(MAX(SUMPRODUCT('7 Dev'!C69:C73,'7 Dev'!$G69:$G73)*4/(SUM('7 Dev'!$G69:$G73) - SUMIF('7 Dev'!C69:C73,"X",'7 Dev'!$G69:$G73)),MAX('7 Dev'!AA69:AA73)),MIN('7 Dev'!AE69:AE73))))</f>
        <v/>
      </c>
      <c r="E187" s="139" t="str">
        <f>IF(NOT('7 Dev'!D68 = ""),'7 Dev'!D68,IF(COUNTIF('7 Dev'!D69:D73,"&gt;=0")=0,"", MIN(MAX(SUMPRODUCT('7 Dev'!D69:D73,'7 Dev'!$G69:$G73)*4/(SUM('7 Dev'!$G69:$G73) - SUMIF('7 Dev'!D69:D73,"X",'7 Dev'!$G69:$G73)),MAX('7 Dev'!AB69:AB73)),MIN('7 Dev'!AF69:AF73))))</f>
        <v/>
      </c>
      <c r="F187" s="139" t="str">
        <f>IF(NOT('7 Dev'!E68 = ""),'7 Dev'!E68,IF(COUNTIF('7 Dev'!E69:E73,"&gt;=0")=0,"", MIN(MAX(SUMPRODUCT('7 Dev'!E69:E73,'7 Dev'!$G69:$G73)*4/(SUM('7 Dev'!$G69:$G73) - SUMIF('7 Dev'!E69:E73,"X",'7 Dev'!$G69:$G73)),MAX('7 Dev'!AC69:AC73)),MIN('7 Dev'!AG69:AG73))))</f>
        <v/>
      </c>
      <c r="G187" s="139" t="str">
        <f>IF(NOT('7 Dev'!F68 = ""),'7 Dev'!F68,IF(COUNTIF('7 Dev'!F69:F73,"&gt;=0")=0,"", MIN(MAX(SUMPRODUCT('7 Dev'!F69:F73,'7 Dev'!$G69:$G73)*4/(SUM('7 Dev'!$G69:$G73) - SUMIF('7 Dev'!F69:F73,"X",'7 Dev'!$G69:$G73)),MAX('7 Dev'!AD69:AD73)),MIN('7 Dev'!AH69:AH73))))</f>
        <v/>
      </c>
      <c r="H187" s="447">
        <f t="shared" si="16"/>
        <v>1</v>
      </c>
      <c r="I187" s="16" t="str">
        <f>IF(OR(Projets!C39 = 1, Projets!D39 = 1), IF(IndG = 3, Projets!L39,IF(AND(IndG = 4,NOT(Projets!F39= ""), Projets!F39&lt;dateanal ),Projets!L39, "")),"")</f>
        <v/>
      </c>
      <c r="J187" s="419">
        <f t="shared" si="17"/>
        <v>1</v>
      </c>
      <c r="K187" s="50"/>
      <c r="L187" s="1163">
        <v>5</v>
      </c>
      <c r="M187" s="34"/>
      <c r="N187" s="50"/>
      <c r="O187" s="50"/>
      <c r="P187" s="50"/>
      <c r="Q187" s="50"/>
      <c r="R187" s="50"/>
      <c r="S187" s="50"/>
      <c r="T187" s="50"/>
      <c r="U187" s="50"/>
      <c r="V187" s="50"/>
      <c r="W187" s="50"/>
      <c r="X187" s="50"/>
      <c r="Y187" s="50"/>
      <c r="Z187" s="50"/>
      <c r="AA187" s="50"/>
      <c r="AB187" s="50"/>
      <c r="AC187" s="50"/>
    </row>
    <row r="188" spans="1:29" s="229" customFormat="1" ht="12" customHeight="1" x14ac:dyDescent="0.25">
      <c r="A188" s="295"/>
      <c r="B188" s="1064" t="s">
        <v>6736</v>
      </c>
      <c r="C188" s="40" t="s">
        <v>6737</v>
      </c>
      <c r="D188" s="139" t="str">
        <f>IF(NOT('7 Dev'!C74 = ""),'7 Dev'!C74,IF(COUNTIF('7 Dev'!C75:C80,"&gt;=0")=0,"", MIN(MAX(SUMPRODUCT('7 Dev'!C75:C80,'7 Dev'!$G75:$G80)*4/(SUM('7 Dev'!$G75:$G80) - SUMIF('7 Dev'!C75:C80,"X",'7 Dev'!$G75:$G80)),MAX('7 Dev'!AA75:AA80)),MIN('7 Dev'!AE75:AE80))))</f>
        <v/>
      </c>
      <c r="E188" s="139" t="str">
        <f>IF(NOT('7 Dev'!D74 = ""),'7 Dev'!D74,IF(COUNTIF('7 Dev'!D75:D80,"&gt;=0")=0,"", MIN(MAX(SUMPRODUCT('7 Dev'!D75:D80,'7 Dev'!$G75:$G80)*4/(SUM('7 Dev'!$G75:$G80) - SUMIF('7 Dev'!D75:D80,"X",'7 Dev'!$G75:$G80)),MAX('7 Dev'!AB75:AB80)),MIN('7 Dev'!AF75:AF80))))</f>
        <v/>
      </c>
      <c r="F188" s="139" t="str">
        <f>IF(NOT('7 Dev'!E74 = ""),'7 Dev'!E74,IF(COUNTIF('7 Dev'!E75:E80,"&gt;=0")=0,"", MIN(MAX(SUMPRODUCT('7 Dev'!E75:E80,'7 Dev'!$G75:$G80)*4/(SUM('7 Dev'!$G75:$G80) - SUMIF('7 Dev'!E75:E80,"X",'7 Dev'!$G75:$G80)),MAX('7 Dev'!AC75:AC80)),MIN('7 Dev'!AG75:AG80))))</f>
        <v/>
      </c>
      <c r="G188" s="139" t="str">
        <f>IF(NOT('7 Dev'!F74 = ""),'7 Dev'!F74,IF(COUNTIF('7 Dev'!F75:F80,"&gt;=0")=0,"", MIN(MAX(SUMPRODUCT('7 Dev'!F75:F80,'7 Dev'!$G75:$G80)*4/(SUM('7 Dev'!$G75:$G80) - SUMIF('7 Dev'!F75:F80,"X",'7 Dev'!$G75:$G80)),MAX('7 Dev'!AD75:AD80)),MIN('7 Dev'!AH75:AH80))))</f>
        <v/>
      </c>
      <c r="H188" s="447">
        <f t="shared" si="16"/>
        <v>1</v>
      </c>
      <c r="I188" s="16" t="str">
        <f>IF(OR(Projets!C69 = 1, Projets!D69 = 1), IF(IndG = 3, Projets!I69,IF(AND(IndG = 4,NOT(Projets!F69= ""), Projets!F69&lt;dateanal ),Projets!I69, "")),"")</f>
        <v/>
      </c>
      <c r="J188" s="419">
        <f t="shared" si="17"/>
        <v>1</v>
      </c>
      <c r="K188" s="50"/>
      <c r="L188" s="1163">
        <v>6</v>
      </c>
      <c r="M188" s="34"/>
      <c r="N188" s="50"/>
      <c r="O188" s="50"/>
      <c r="P188" s="50"/>
      <c r="Q188" s="50"/>
      <c r="R188" s="50"/>
      <c r="S188" s="50"/>
      <c r="T188" s="50"/>
      <c r="U188" s="50"/>
      <c r="V188" s="50"/>
      <c r="W188" s="50"/>
      <c r="X188" s="50"/>
      <c r="Y188" s="50"/>
      <c r="Z188" s="50"/>
      <c r="AA188" s="50"/>
      <c r="AB188" s="50"/>
      <c r="AC188" s="50"/>
    </row>
    <row r="189" spans="1:29" s="229" customFormat="1" ht="16.5" customHeight="1" x14ac:dyDescent="0.25">
      <c r="A189" s="269" t="s">
        <v>1520</v>
      </c>
      <c r="B189" s="1061" t="s">
        <v>6243</v>
      </c>
      <c r="C189" s="1062"/>
      <c r="D189" s="1063" t="s">
        <v>229</v>
      </c>
      <c r="E189" s="1063" t="s">
        <v>230</v>
      </c>
      <c r="F189" s="1063" t="s">
        <v>265</v>
      </c>
      <c r="G189" s="1063" t="s">
        <v>266</v>
      </c>
      <c r="H189" s="420"/>
      <c r="I189" s="16"/>
      <c r="J189" s="420"/>
      <c r="K189" s="50"/>
      <c r="L189" s="1163"/>
      <c r="M189" s="34"/>
      <c r="N189" s="50"/>
      <c r="O189" s="50"/>
      <c r="P189" s="50"/>
      <c r="Q189" s="50"/>
      <c r="R189" s="50"/>
      <c r="S189" s="50"/>
      <c r="T189" s="50"/>
      <c r="U189" s="50"/>
      <c r="V189" s="50"/>
      <c r="W189" s="50"/>
      <c r="X189" s="50"/>
      <c r="Y189" s="50"/>
      <c r="Z189" s="50"/>
      <c r="AA189" s="50"/>
      <c r="AB189" s="50"/>
      <c r="AC189" s="50"/>
    </row>
    <row r="190" spans="1:29" s="229" customFormat="1" ht="12.75" customHeight="1" x14ac:dyDescent="0.25">
      <c r="A190" s="295"/>
      <c r="B190" s="218" t="s">
        <v>796</v>
      </c>
      <c r="C190" s="34"/>
      <c r="D190" s="139"/>
      <c r="E190" s="139"/>
      <c r="F190" s="139"/>
      <c r="G190" s="139"/>
      <c r="H190" s="447"/>
      <c r="I190" s="16"/>
      <c r="J190" s="448"/>
      <c r="K190" s="50"/>
      <c r="L190" s="1162"/>
      <c r="M190" s="34"/>
      <c r="N190" s="50"/>
      <c r="O190" s="50"/>
      <c r="P190" s="50"/>
      <c r="Q190" s="50"/>
      <c r="R190" s="50"/>
      <c r="S190" s="50"/>
      <c r="T190" s="50"/>
      <c r="U190" s="50"/>
      <c r="V190" s="50"/>
      <c r="W190" s="50"/>
      <c r="X190" s="50"/>
      <c r="Y190" s="50"/>
      <c r="Z190" s="50"/>
      <c r="AA190" s="50"/>
      <c r="AB190" s="50"/>
      <c r="AC190" s="50"/>
    </row>
    <row r="191" spans="1:29" s="229" customFormat="1" ht="12.75" customHeight="1" x14ac:dyDescent="0.25">
      <c r="A191" s="295"/>
      <c r="B191" s="297" t="s">
        <v>797</v>
      </c>
      <c r="C191" s="219" t="s">
        <v>4539</v>
      </c>
      <c r="D191" s="139">
        <f>IF(NOT('8 Cex'!C4 = ""),'8 Cex'!C4,IF(COUNTIF('8 Cex'!C5:C19,"&gt;=0")=0,"", MIN(MAX(SUMPRODUCT('8 Cex'!C5:C19,'8 Cex'!$G5:$G19)*4/(SUM('8 Cex'!$G5:$G19) - SUMIF('8 Cex'!C5:C19,"X",'8 Cex'!$G5:$G19)),MAX('8 Cex'!AA5:AA19)),MIN('8 Cex'!AE5:AE19))))</f>
        <v>0</v>
      </c>
      <c r="E191" s="139" t="str">
        <f>IF(NOT('8 Cex'!D4 = ""),'8 Cex'!D4,IF(COUNTIF('8 Cex'!D5:D19,"&gt;=0")=0,"", MIN(MAX(SUMPRODUCT('8 Cex'!D5:D19,'8 Cex'!$G5:$G19)*4/(SUM('8 Cex'!$G5:$G19) - SUMIF('8 Cex'!D5:D19,"X",'8 Cex'!$G5:$G19)),MAX('8 Cex'!AB5:AB19)),MIN('8 Cex'!AF5:AF19))))</f>
        <v/>
      </c>
      <c r="F191" s="139" t="str">
        <f>IF(NOT('8 Cex'!E4 = ""),'8 Cex'!E4,IF(COUNTIF('8 Cex'!E5:E19,"&gt;=0")=0,"", MIN(MAX(SUMPRODUCT('8 Cex'!E5:E19,'8 Cex'!$G5:$G19)*4/(SUM('8 Cex'!$G5:$G19) - SUMIF('8 Cex'!E5:E19,"X",'8 Cex'!$G5:$G19)),MAX('8 Cex'!AC5:AC19)),MIN('8 Cex'!AG5:AG19))))</f>
        <v/>
      </c>
      <c r="G191" s="139" t="str">
        <f>IF(NOT('8 Cex'!F4 = ""),'8 Cex'!F4,IF(COUNTIF('8 Cex'!F5:F19,"&gt;=0")=0,"", MIN(MAX(SUMPRODUCT('8 Cex'!F5:F19,'8 Cex'!$G5:$G19)*4/(SUM('8 Cex'!$G5:$G19) - SUMIF('8 Cex'!F5:F19,"X",'8 Cex'!$G5:$G19)),MAX('8 Cex'!AD5:AD19)),MIN('8 Cex'!AH5:AH19))))</f>
        <v/>
      </c>
      <c r="H191" s="447">
        <f>IF(AND(OR(D191="X",D191=""),OR(E191="X",E191=""),OR(F191="X",F191=""),OR(G191="X",G191="")),1,ROUND(MIN(IF(OR(D191="",D191="X"),4,D191),IF(OR(E191="",E191="X"),4,E191),IF(OR(F191="",F191="X"),4,F191),IF(OR(G191="",G191="X"),4,G191)),0))</f>
        <v>0</v>
      </c>
      <c r="I191" s="16" t="str">
        <f>IF(OR(Projets!C71 = 1, Projets!D71 = 1), IF(IndG = 3, Projets!I71,IF(AND(IndG = 4,NOT(Projets!F71= ""), Projets!F71&lt;dateanal ),Projets!I71, "")),"")</f>
        <v/>
      </c>
      <c r="J191" s="448">
        <f>IF(IF(IndG&gt;=3,MAX(H191,I191),H191)&lt;1,1,IF(IndG&gt;=3,MAX(H191,I191),H191))</f>
        <v>1</v>
      </c>
      <c r="K191" s="50"/>
      <c r="L191" s="1163">
        <v>15</v>
      </c>
      <c r="M191" s="34"/>
      <c r="N191" s="50"/>
      <c r="O191" s="50"/>
      <c r="P191" s="50"/>
      <c r="Q191" s="50"/>
      <c r="R191" s="50"/>
      <c r="S191" s="50"/>
      <c r="T191" s="50"/>
      <c r="U191" s="50"/>
      <c r="V191" s="50"/>
      <c r="W191" s="50"/>
      <c r="X191" s="50"/>
      <c r="Y191" s="50"/>
      <c r="Z191" s="50"/>
      <c r="AA191" s="50"/>
      <c r="AB191" s="50"/>
      <c r="AC191" s="50"/>
    </row>
    <row r="192" spans="1:29" s="229" customFormat="1" ht="12.75" customHeight="1" x14ac:dyDescent="0.25">
      <c r="A192" s="295"/>
      <c r="B192" s="297" t="s">
        <v>799</v>
      </c>
      <c r="C192" s="219" t="s">
        <v>4572</v>
      </c>
      <c r="D192" s="139" t="str">
        <f>IF(NOT('8 Cex'!C20 = ""),'8 Cex'!C20,IF(COUNTIF('8 Cex'!C21:C24,"&gt;=0")=0,"", MIN(MAX(SUMPRODUCT('8 Cex'!C21:C24,'8 Cex'!$G21:$G24)*4/(SUM('8 Cex'!$G21:$G24) - SUMIF('8 Cex'!C21:C24,"X",'8 Cex'!$G21:$G24)),MAX('8 Cex'!AA21:AA24)),MIN('8 Cex'!AE21:AE24))))</f>
        <v/>
      </c>
      <c r="E192" s="139" t="str">
        <f>IF(NOT('8 Cex'!D20 = ""),'8 Cex'!D20,IF(COUNTIF('8 Cex'!D21:D24,"&gt;=0")=0,"", MIN(MAX(SUMPRODUCT('8 Cex'!D21:D24,'8 Cex'!$G21:$G24)*4/(SUM('8 Cex'!$G21:$G24) - SUMIF('8 Cex'!D21:D24,"X",'8 Cex'!$G21:$G24)),MAX('8 Cex'!AB21:AB24)),MIN('8 Cex'!AF21:AF24))))</f>
        <v/>
      </c>
      <c r="F192" s="139" t="str">
        <f>IF(NOT('8 Cex'!E20 = ""),'8 Cex'!E20,IF(COUNTIF('8 Cex'!E21:E24,"&gt;=0")=0,"", MIN(MAX(SUMPRODUCT('8 Cex'!E21:E24,'8 Cex'!$G21:$G24)*4/(SUM('8 Cex'!$G21:$G24) - SUMIF('8 Cex'!E21:E24,"X",'8 Cex'!$G21:$G24)),MAX('8 Cex'!AC21:AC24)),MIN('8 Cex'!AG21:AG24))))</f>
        <v/>
      </c>
      <c r="G192" s="139" t="str">
        <f>IF(NOT('8 Cex'!F20 = ""),'8 Cex'!F20,IF(COUNTIF('8 Cex'!F21:F24,"&gt;=0")=0,"", MIN(MAX(SUMPRODUCT('8 Cex'!F21:F24,'8 Cex'!$G21:$G24)*4/(SUM('8 Cex'!$G21:$G24) - SUMIF('8 Cex'!F21:F24,"X",'8 Cex'!$G21:$G24)),MAX('8 Cex'!AD21:AD24)),MIN('8 Cex'!AH21:AH24))))</f>
        <v/>
      </c>
      <c r="H192" s="447">
        <f>IF(AND(OR(D192="X",D192=""),OR(E192="X",E192=""),OR(F192="X",F192=""),OR(G192="X",G192="")),1,ROUND(MIN(IF(OR(D192="",D192="X"),4,D192),IF(OR(E192="",E192="X"),4,E192),IF(OR(F192="",F192="X"),4,F192),IF(OR(G192="",G192="X"),4,G192)),0))</f>
        <v>1</v>
      </c>
      <c r="I192" s="16" t="str">
        <f>IF(OR(Projets!C71 = 1, Projets!D71 = 1), IF(IndG = 3, Projets!L71,IF(AND(IndG = 4,NOT(Projets!F71= ""), Projets!F71&lt;dateanal ),Projets!L71, "")),"")</f>
        <v/>
      </c>
      <c r="J192" s="448">
        <f>IF(IF(IndG&gt;=3,MAX(H192,I192),H192)&lt;1,1,IF(IndG&gt;=3,MAX(H192,I192),H192))</f>
        <v>1</v>
      </c>
      <c r="K192" s="50"/>
      <c r="L192" s="1163">
        <v>4</v>
      </c>
      <c r="M192" s="34"/>
      <c r="N192" s="50"/>
      <c r="O192" s="50"/>
      <c r="P192" s="50"/>
      <c r="Q192" s="50"/>
      <c r="R192" s="50"/>
      <c r="S192" s="50"/>
      <c r="T192" s="50"/>
      <c r="U192" s="50"/>
      <c r="V192" s="50"/>
      <c r="W192" s="50"/>
      <c r="X192" s="50"/>
      <c r="Y192" s="50"/>
      <c r="Z192" s="50"/>
      <c r="AA192" s="50"/>
      <c r="AB192" s="50"/>
      <c r="AC192" s="50"/>
    </row>
    <row r="193" spans="1:29" s="229" customFormat="1" ht="12.75" customHeight="1" x14ac:dyDescent="0.25">
      <c r="A193" s="295"/>
      <c r="B193" s="297" t="s">
        <v>800</v>
      </c>
      <c r="C193" s="219" t="s">
        <v>4552</v>
      </c>
      <c r="D193" s="139" t="str">
        <f>IF(NOT('8 Cex'!C25 = ""),'8 Cex'!C25,IF(COUNTIF('8 Cex'!C26:C29,"&gt;=0")=0,"", MIN(MAX(SUMPRODUCT('8 Cex'!C26:C29,'8 Cex'!$G26:$G29)*4/(SUM('8 Cex'!$G26:$G29) - SUMIF('8 Cex'!C26:C29,"X",'8 Cex'!$G26:$G29)),MAX('8 Cex'!AA26:AA29)),MIN('8 Cex'!AE26:AE29))))</f>
        <v/>
      </c>
      <c r="E193" s="139" t="str">
        <f>IF(NOT('8 Cex'!D25 = ""),'8 Cex'!D25,IF(COUNTIF('8 Cex'!D26:D29,"&gt;=0")=0,"", MIN(MAX(SUMPRODUCT('8 Cex'!D26:D29,'8 Cex'!$G26:$G29)*4/(SUM('8 Cex'!$G26:$G29) - SUMIF('8 Cex'!D26:D29,"X",'8 Cex'!$G26:$G29)),MAX('8 Cex'!AB26:AB29)),MIN('8 Cex'!AF26:AF29))))</f>
        <v/>
      </c>
      <c r="F193" s="139" t="str">
        <f>IF(NOT('8 Cex'!E25 = ""),'8 Cex'!E25,IF(COUNTIF('8 Cex'!E26:E29,"&gt;=0")=0,"", MIN(MAX(SUMPRODUCT('8 Cex'!E26:E29,'8 Cex'!$G26:$G29)*4/(SUM('8 Cex'!$G26:$G29) - SUMIF('8 Cex'!E26:E29,"X",'8 Cex'!$G26:$G29)),MAX('8 Cex'!AC26:AC29)),MIN('8 Cex'!AG26:AG29))))</f>
        <v/>
      </c>
      <c r="G193" s="139" t="str">
        <f>IF(NOT('8 Cex'!F25 = ""),'8 Cex'!F25,IF(COUNTIF('8 Cex'!F26:F29,"&gt;=0")=0,"", MIN(MAX(SUMPRODUCT('8 Cex'!F26:F29,'8 Cex'!$G26:$G29)*4/(SUM('8 Cex'!$G26:$G29) - SUMIF('8 Cex'!F26:F29,"X",'8 Cex'!$G26:$G29)),MAX('8 Cex'!AD26:AD29)),MIN('8 Cex'!AH26:AH29))))</f>
        <v/>
      </c>
      <c r="H193" s="447">
        <f>IF(AND(OR(D193="X",D193=""),OR(E193="X",E193=""),OR(F193="X",F193=""),OR(G193="X",G193="")),1,ROUND(MIN(IF(OR(D193="",D193="X"),4,D193),IF(OR(E193="",E193="X"),4,E193),IF(OR(F193="",F193="X"),4,F193),IF(OR(G193="",G193="X"),4,G193)),0))</f>
        <v>1</v>
      </c>
      <c r="I193" s="16" t="str">
        <f>IF(OR(Projets!C71 = 1, Projets!D71 = 1), IF(IndG = 3, Projets!O71,IF(AND(IndG = 4,NOT(Projets!F71= ""), Projets!F71&lt;dateanal ),Projets!O71, "")),"")</f>
        <v/>
      </c>
      <c r="J193" s="448">
        <f>IF(IF(IndG&gt;=3,MAX(H193,I193),H193)&lt;1,1,IF(IndG&gt;=3,MAX(H193,I193),H193))</f>
        <v>1</v>
      </c>
      <c r="K193" s="50"/>
      <c r="L193" s="1163">
        <v>4</v>
      </c>
      <c r="M193" s="34"/>
      <c r="N193" s="50"/>
      <c r="O193" s="50"/>
      <c r="P193" s="50"/>
      <c r="Q193" s="50"/>
      <c r="R193" s="50"/>
      <c r="S193" s="50"/>
      <c r="T193" s="50"/>
      <c r="U193" s="50"/>
      <c r="V193" s="50"/>
      <c r="W193" s="50"/>
      <c r="X193" s="50"/>
      <c r="Y193" s="50"/>
      <c r="Z193" s="50"/>
      <c r="AA193" s="50"/>
      <c r="AB193" s="50"/>
      <c r="AC193" s="50"/>
    </row>
    <row r="194" spans="1:29" s="229" customFormat="1" ht="12.75" customHeight="1" x14ac:dyDescent="0.25">
      <c r="A194" s="295"/>
      <c r="B194" s="218" t="s">
        <v>4576</v>
      </c>
      <c r="C194" s="34"/>
      <c r="D194" s="139"/>
      <c r="E194" s="139"/>
      <c r="F194" s="139"/>
      <c r="G194" s="139"/>
      <c r="H194" s="447"/>
      <c r="I194" s="16"/>
      <c r="J194" s="448"/>
      <c r="K194" s="50"/>
      <c r="L194" s="1162"/>
      <c r="M194" s="34"/>
      <c r="N194" s="50"/>
      <c r="O194" s="50"/>
      <c r="P194" s="50"/>
      <c r="Q194" s="50"/>
      <c r="R194" s="50"/>
      <c r="S194" s="50"/>
      <c r="T194" s="50"/>
      <c r="U194" s="50"/>
      <c r="V194" s="50"/>
      <c r="W194" s="50"/>
      <c r="X194" s="50"/>
      <c r="Y194" s="50"/>
      <c r="Z194" s="50"/>
      <c r="AA194" s="50"/>
      <c r="AB194" s="50"/>
      <c r="AC194" s="50"/>
    </row>
    <row r="195" spans="1:29" s="229" customFormat="1" ht="12.75" customHeight="1" x14ac:dyDescent="0.25">
      <c r="A195" s="295"/>
      <c r="B195" s="298" t="s">
        <v>807</v>
      </c>
      <c r="C195" s="219" t="s">
        <v>4566</v>
      </c>
      <c r="D195" s="139" t="str">
        <f>IF(NOT('8 Cex'!C31 = ""),'8 Cex'!C31,IF(COUNTIF('8 Cex'!C32:C41,"&gt;=0")=0,"", MIN(MAX(SUMPRODUCT('8 Cex'!C32:C41,'8 Cex'!$G32:$G41)*4/(SUM('8 Cex'!$G32:$G41) - SUMIF('8 Cex'!C32:C41,"X",'8 Cex'!$G32:$G41)),MAX('8 Cex'!AA32:AA41)),MIN('8 Cex'!AE32:AE41))))</f>
        <v/>
      </c>
      <c r="E195" s="139" t="str">
        <f>IF(NOT('8 Cex'!D31 = ""),'8 Cex'!D31,IF(COUNTIF('8 Cex'!D32:D41,"&gt;=0")=0,"", MIN(MAX(SUMPRODUCT('8 Cex'!D32:D41,'8 Cex'!$G32:$G41)*4/(SUM('8 Cex'!$G32:$G41) - SUMIF('8 Cex'!D32:D41,"X",'8 Cex'!$G32:$G41)),MAX('8 Cex'!AB32:AB41)),MIN('8 Cex'!AF32:AF41))))</f>
        <v/>
      </c>
      <c r="F195" s="139" t="str">
        <f>IF(NOT('8 Cex'!E31 = ""),'8 Cex'!E31,IF(COUNTIF('8 Cex'!E32:E41,"&gt;=0")=0,"", MIN(MAX(SUMPRODUCT('8 Cex'!E32:E41,'8 Cex'!$G32:$G41)*4/(SUM('8 Cex'!$G32:$G41) - SUMIF('8 Cex'!E32:E41,"X",'8 Cex'!$G32:$G41)),MAX('8 Cex'!AC32:AC41)),MIN('8 Cex'!AG32:AG41))))</f>
        <v/>
      </c>
      <c r="G195" s="139" t="str">
        <f>IF(NOT('8 Cex'!F31 = ""),'8 Cex'!F31,IF(COUNTIF('8 Cex'!F32:F41,"&gt;=0")=0,"", MIN(MAX(SUMPRODUCT('8 Cex'!F32:F41,'8 Cex'!$G32:$G41)*4/(SUM('8 Cex'!$G32:$G41) - SUMIF('8 Cex'!F32:F41,"X",'8 Cex'!$G32:$G41)),MAX('8 Cex'!AD32:AD41)),MIN('8 Cex'!AH32:AH41))))</f>
        <v/>
      </c>
      <c r="H195" s="447">
        <f>IF(AND(OR(D195="X",D195=""),OR(E195="X",E195=""),OR(F195="X",F195=""),OR(G195="X",G195="")),1,ROUND(MIN(IF(OR(D195="",D195="X"),4,D195),IF(OR(E195="",E195="X"),4,E195),IF(OR(F195="",F195="X"),4,F195),IF(OR(G195="",G195="X"),4,G195)),0))</f>
        <v>1</v>
      </c>
      <c r="I195" s="16" t="str">
        <f>IF(OR(Projets!C72 = 1, Projets!D72 = 1), IF(IndG = 3, Projets!I72,IF(AND(IndG = 4,NOT(Projets!F72= ""), Projets!F72&lt;dateanal ),Projets!I72, "")),"")</f>
        <v/>
      </c>
      <c r="J195" s="448">
        <f>IF(IF(IndG&gt;=3,MAX(H195,I195),H195)&lt;1,1,IF(IndG&gt;=3,MAX(H195,I195),H195))</f>
        <v>1</v>
      </c>
      <c r="K195" s="50"/>
      <c r="L195" s="1163">
        <v>10</v>
      </c>
      <c r="M195" s="34"/>
      <c r="N195" s="50"/>
      <c r="O195" s="50"/>
      <c r="P195" s="50"/>
      <c r="Q195" s="50"/>
      <c r="R195" s="50"/>
      <c r="S195" s="50"/>
      <c r="T195" s="50"/>
      <c r="U195" s="50"/>
      <c r="V195" s="50"/>
      <c r="W195" s="50"/>
      <c r="X195" s="50"/>
      <c r="Y195" s="50"/>
      <c r="Z195" s="50"/>
      <c r="AA195" s="50"/>
      <c r="AB195" s="50"/>
      <c r="AC195" s="50"/>
    </row>
    <row r="196" spans="1:29" s="229" customFormat="1" ht="15" customHeight="1" x14ac:dyDescent="0.25">
      <c r="A196" s="295"/>
      <c r="B196" s="298" t="s">
        <v>808</v>
      </c>
      <c r="C196" s="219" t="s">
        <v>6781</v>
      </c>
      <c r="D196" s="139" t="str">
        <f>IF(NOT('8 Cex'!C42 = ""),'8 Cex'!C42,IF(COUNTIF('8 Cex'!C43:C46,"&gt;=0")=0,"", MIN(MAX(SUMPRODUCT('8 Cex'!C43:C46,'8 Cex'!$G43:$G46)*4/(SUM('8 Cex'!$G43:$G46) - SUMIF('8 Cex'!C43:C46,"X",'8 Cex'!$G43:$G46)),MAX('8 Cex'!AA43:AA46)),MIN('8 Cex'!AE43:AE46))))</f>
        <v/>
      </c>
      <c r="E196" s="139" t="str">
        <f>IF(NOT('8 Cex'!D42 = ""),'8 Cex'!D42,IF(COUNTIF('8 Cex'!D43:D46,"&gt;=0")=0,"", MIN(MAX(SUMPRODUCT('8 Cex'!D43:D46,'8 Cex'!$G43:$G46)*4/(SUM('8 Cex'!$G43:$G46) - SUMIF('8 Cex'!D43:D46,"X",'8 Cex'!$G43:$G46)),MAX('8 Cex'!AB43:AB46)),MIN('8 Cex'!AF43:AF46))))</f>
        <v/>
      </c>
      <c r="F196" s="139" t="str">
        <f>IF(NOT('8 Cex'!E42 = ""),'8 Cex'!E42,IF(COUNTIF('8 Cex'!E43:E46,"&gt;=0")=0,"", MIN(MAX(SUMPRODUCT('8 Cex'!E43:E46,'8 Cex'!$G43:$G46)*4/(SUM('8 Cex'!$G43:$G46) - SUMIF('8 Cex'!E43:E46,"X",'8 Cex'!$G43:$G46)),MAX('8 Cex'!AC43:AC46)),MIN('8 Cex'!AG43:AG46))))</f>
        <v/>
      </c>
      <c r="G196" s="139" t="str">
        <f>IF(NOT('8 Cex'!F42 = ""),'8 Cex'!F42,IF(COUNTIF('8 Cex'!F43:F46,"&gt;=0")=0,"", MIN(MAX(SUMPRODUCT('8 Cex'!F43:F46,'8 Cex'!$G43:$G46)*4/(SUM('8 Cex'!$G43:$G46) - SUMIF('8 Cex'!F43:F46,"X",'8 Cex'!$G43:$G46)),MAX('8 Cex'!AD43:AD46)),MIN('8 Cex'!AH43:AH46))))</f>
        <v/>
      </c>
      <c r="H196" s="447">
        <f>IF(AND(OR(D196="X",D196=""),OR(E196="X",E196=""),OR(F196="X",F196=""),OR(G196="X",G196="")),1,ROUND(MIN(IF(OR(D196="",D196="X"),4,D196),IF(OR(E196="",E196="X"),4,E196),IF(OR(F196="",F196="X"),4,F196),IF(OR(G196="",G196="X"),4,G196)),0))</f>
        <v>1</v>
      </c>
      <c r="I196" s="16" t="str">
        <f>IF(OR(Projets!C72 = 1, Projets!D72 = 1), IF(IndG = 3, Projets!L72,IF(AND(IndG = 4,NOT(Projets!F72= ""), Projets!F72&lt;dateanal ),Projets!L72, "")),"")</f>
        <v/>
      </c>
      <c r="J196" s="448">
        <f>IF(IF(IndG&gt;=3,MAX(H196,I196),H196)&lt;1,1,IF(IndG&gt;=3,MAX(H196,I196),H196))</f>
        <v>1</v>
      </c>
      <c r="K196" s="50"/>
      <c r="L196" s="1163">
        <v>4</v>
      </c>
      <c r="M196" s="34"/>
      <c r="N196" s="50"/>
      <c r="O196" s="50"/>
      <c r="P196" s="50"/>
      <c r="Q196" s="50"/>
      <c r="R196" s="50"/>
      <c r="S196" s="50"/>
      <c r="T196" s="50"/>
      <c r="U196" s="50"/>
      <c r="V196" s="50"/>
      <c r="W196" s="50"/>
      <c r="X196" s="50"/>
      <c r="Y196" s="50"/>
      <c r="Z196" s="50"/>
      <c r="AA196" s="50"/>
      <c r="AB196" s="50"/>
      <c r="AC196" s="50"/>
    </row>
    <row r="197" spans="1:29" s="229" customFormat="1" ht="11.25" customHeight="1" x14ac:dyDescent="0.25">
      <c r="A197" s="295"/>
      <c r="B197" s="298" t="s">
        <v>810</v>
      </c>
      <c r="C197" s="219" t="s">
        <v>4573</v>
      </c>
      <c r="D197" s="139" t="str">
        <f>IF(NOT('8 Cex'!C47 = ""),'8 Cex'!C47,IF(COUNTIF('8 Cex'!C48:C51,"&gt;=0")=0,"", MIN(MAX(SUMPRODUCT('8 Cex'!C48:C51,'8 Cex'!$G48:$G51)*4/(SUM('8 Cex'!$G48:$G51) - SUMIF('8 Cex'!C48:C51,"X",'8 Cex'!$G48:$G51)),MAX('8 Cex'!AA48:AA51)),MIN('8 Cex'!AE48:AE51))))</f>
        <v/>
      </c>
      <c r="E197" s="139" t="str">
        <f>IF(NOT('8 Cex'!D47 = ""),'8 Cex'!D47,IF(COUNTIF('8 Cex'!D48:D51,"&gt;=0")=0,"", MIN(MAX(SUMPRODUCT('8 Cex'!D48:D51,'8 Cex'!$G48:$G51)*4/(SUM('8 Cex'!$G48:$G51) - SUMIF('8 Cex'!D48:D51,"X",'8 Cex'!$G48:$G51)),MAX('8 Cex'!AB48:AB51)),MIN('8 Cex'!AF48:AF51))))</f>
        <v/>
      </c>
      <c r="F197" s="139" t="str">
        <f>IF(NOT('8 Cex'!E47 = ""),'8 Cex'!E47,IF(COUNTIF('8 Cex'!E48:E51,"&gt;=0")=0,"", MIN(MAX(SUMPRODUCT('8 Cex'!E48:E51,'8 Cex'!$G48:$G51)*4/(SUM('8 Cex'!$G48:$G51) - SUMIF('8 Cex'!E48:E51,"X",'8 Cex'!$G48:$G51)),MAX('8 Cex'!AC48:AC51)),MIN('8 Cex'!AG48:AG51))))</f>
        <v/>
      </c>
      <c r="G197" s="139" t="str">
        <f>IF(NOT('8 Cex'!F47 = ""),'8 Cex'!F47,IF(COUNTIF('8 Cex'!F48:F51,"&gt;=0")=0,"", MIN(MAX(SUMPRODUCT('8 Cex'!F48:F51,'8 Cex'!$G48:$G51)*4/(SUM('8 Cex'!$G48:$G51) - SUMIF('8 Cex'!F48:F51,"X",'8 Cex'!$G48:$G51)),MAX('8 Cex'!AD48:AD51)),MIN('8 Cex'!AH48:AH51))))</f>
        <v/>
      </c>
      <c r="H197" s="447">
        <f>IF(AND(OR(D197="X",D197=""),OR(E197="X",E197=""),OR(F197="X",F197=""),OR(G197="X",G197="")),1,ROUND(MIN(IF(OR(D197="",D197="X"),4,D197),IF(OR(E197="",E197="X"),4,E197),IF(OR(F197="",F197="X"),4,F197),IF(OR(G197="",G197="X"),4,G197)),0))</f>
        <v>1</v>
      </c>
      <c r="I197" s="16" t="str">
        <f>IF(OR(Projets!C72 = 1, Projets!D72 = 1), IF(IndG = 3, Projets!O72,IF(AND(IndG = 4,NOT(Projets!F72= ""), Projets!F72&lt;dateanal ),Projets!O72, "")),"")</f>
        <v/>
      </c>
      <c r="J197" s="448">
        <f>IF(IF(IndG&gt;=3,MAX(H197,I197),H197)&lt;1,1,IF(IndG&gt;=3,MAX(H197,I197),H197))</f>
        <v>1</v>
      </c>
      <c r="K197" s="50"/>
      <c r="L197" s="1163">
        <v>4</v>
      </c>
      <c r="M197" s="34"/>
      <c r="N197" s="50"/>
      <c r="O197" s="50"/>
      <c r="P197" s="50"/>
      <c r="Q197" s="50"/>
      <c r="R197" s="50"/>
      <c r="S197" s="50"/>
      <c r="T197" s="50"/>
      <c r="U197" s="50"/>
      <c r="V197" s="50"/>
      <c r="W197" s="50"/>
      <c r="X197" s="50"/>
      <c r="Y197" s="50"/>
      <c r="Z197" s="50"/>
      <c r="AA197" s="50"/>
      <c r="AB197" s="50"/>
      <c r="AC197" s="50"/>
    </row>
    <row r="198" spans="1:29" s="229" customFormat="1" ht="12.75" customHeight="1" x14ac:dyDescent="0.25">
      <c r="A198" s="295"/>
      <c r="B198" s="1279" t="s">
        <v>4577</v>
      </c>
      <c r="C198" s="1279"/>
      <c r="D198" s="139"/>
      <c r="E198" s="139"/>
      <c r="F198" s="139"/>
      <c r="G198" s="139"/>
      <c r="H198" s="447"/>
      <c r="I198" s="16"/>
      <c r="J198" s="448"/>
      <c r="K198" s="50"/>
      <c r="L198" s="1162"/>
      <c r="M198" s="34"/>
      <c r="N198" s="50"/>
      <c r="O198" s="50"/>
      <c r="P198" s="50"/>
      <c r="Q198" s="50"/>
      <c r="R198" s="50"/>
      <c r="S198" s="50"/>
      <c r="T198" s="50"/>
      <c r="U198" s="50"/>
      <c r="V198" s="50"/>
      <c r="W198" s="50"/>
      <c r="X198" s="50"/>
      <c r="Y198" s="50"/>
      <c r="Z198" s="50"/>
      <c r="AA198" s="50"/>
      <c r="AB198" s="50"/>
      <c r="AC198" s="50"/>
    </row>
    <row r="199" spans="1:29" s="229" customFormat="1" ht="12.75" customHeight="1" x14ac:dyDescent="0.25">
      <c r="A199" s="295"/>
      <c r="B199" s="297" t="s">
        <v>813</v>
      </c>
      <c r="C199" s="219" t="s">
        <v>83</v>
      </c>
      <c r="D199" s="139" t="str">
        <f>IF(NOT('8 Cex'!C53 = ""),'8 Cex'!C53,IF(COUNTIF('8 Cex'!C54:C57,"&gt;=0")=0,"", MIN(MAX(SUMPRODUCT('8 Cex'!C54:C57,'8 Cex'!$G54:$G57)*4/(SUM('8 Cex'!$G54:$G57) - SUMIF('8 Cex'!C54:C57,"X",'8 Cex'!$G54:$G57)),MAX('8 Cex'!AA54:AA57)),MIN('8 Cex'!AE54:AE57))))</f>
        <v/>
      </c>
      <c r="E199" s="139" t="str">
        <f>IF(NOT('8 Cex'!D53 = ""),'8 Cex'!D53,IF(COUNTIF('8 Cex'!D54:D57,"&gt;=0")=0,"", MIN(MAX(SUMPRODUCT('8 Cex'!D54:D57,'8 Cex'!$G54:$G57)*4/(SUM('8 Cex'!$G54:$G57) - SUMIF('8 Cex'!D54:D57,"X",'8 Cex'!$G54:$G57)),MAX('8 Cex'!AB54:AB57)),MIN('8 Cex'!AF54:AF57))))</f>
        <v/>
      </c>
      <c r="F199" s="139" t="str">
        <f>IF(NOT('8 Cex'!E53 = ""),'8 Cex'!E53,IF(COUNTIF('8 Cex'!E54:E57,"&gt;=0")=0,"", MIN(MAX(SUMPRODUCT('8 Cex'!E54:E57,'8 Cex'!$G54:$G57)*4/(SUM('8 Cex'!$G54:$G57) - SUMIF('8 Cex'!E54:E57,"X",'8 Cex'!$G54:$G57)),MAX('8 Cex'!AC54:AC57)),MIN('8 Cex'!AG54:AG57))))</f>
        <v/>
      </c>
      <c r="G199" s="139" t="str">
        <f>IF(NOT('8 Cex'!F53 = ""),'8 Cex'!F53,IF(COUNTIF('8 Cex'!F54:F57,"&gt;=0")=0,"", MIN(MAX(SUMPRODUCT('8 Cex'!F54:F57,'8 Cex'!$G54:$G57)*4/(SUM('8 Cex'!$G54:$G57) - SUMIF('8 Cex'!F54:F57,"X",'8 Cex'!$G54:$G57)),MAX('8 Cex'!AD54:AD57)),MIN('8 Cex'!AH54:AH57))))</f>
        <v/>
      </c>
      <c r="H199" s="447">
        <f>IF(AND(OR(D199="X",D199=""),OR(E199="X",E199=""),OR(F199="X",F199=""),OR(G199="X",G199="")),1,ROUND(MIN(IF(OR(D199="",D199="X"),4,D199),IF(OR(E199="",E199="X"),4,E199),IF(OR(F199="",F199="X"),4,F199),IF(OR(G199="",G199="X"),4,G199)),0))</f>
        <v>1</v>
      </c>
      <c r="I199" s="16"/>
      <c r="J199" s="448">
        <f>IF(IF(IndG&gt;=3,MAX(H199,I199),H199)&lt;1,1,IF(IndG&gt;=3,MAX(H199,I199),H199))</f>
        <v>1</v>
      </c>
      <c r="K199" s="50"/>
      <c r="L199" s="1163">
        <v>4</v>
      </c>
      <c r="M199" s="34"/>
      <c r="N199" s="50"/>
      <c r="O199" s="50"/>
      <c r="P199" s="50"/>
      <c r="Q199" s="50"/>
      <c r="R199" s="50"/>
      <c r="S199" s="50"/>
      <c r="T199" s="50"/>
      <c r="U199" s="50"/>
      <c r="V199" s="50"/>
      <c r="W199" s="50"/>
      <c r="X199" s="50"/>
      <c r="Y199" s="50"/>
      <c r="Z199" s="50"/>
      <c r="AA199" s="50"/>
      <c r="AB199" s="50"/>
      <c r="AC199" s="50"/>
    </row>
    <row r="200" spans="1:29" s="229" customFormat="1" ht="12.75" customHeight="1" x14ac:dyDescent="0.25">
      <c r="A200" s="295"/>
      <c r="B200" s="297" t="s">
        <v>815</v>
      </c>
      <c r="C200" s="219" t="s">
        <v>809</v>
      </c>
      <c r="D200" s="139" t="str">
        <f>IF(NOT('8 Cex'!C58 = ""),'8 Cex'!C58,IF(COUNTIF('8 Cex'!C59:C60,"&gt;=0")=0,"", MIN(MAX(SUMPRODUCT('8 Cex'!C59:C60,'8 Cex'!$G59:$G60)*4/(SUM('8 Cex'!$G59:$G60) - SUMIF('8 Cex'!C59:C60,"X",'8 Cex'!$G59:$G60)),MAX('8 Cex'!AA59:AA60)),MIN('8 Cex'!AE59:AE60))))</f>
        <v/>
      </c>
      <c r="E200" s="139" t="str">
        <f>IF(NOT('8 Cex'!D58 = ""),'8 Cex'!D58,IF(COUNTIF('8 Cex'!D59:D60,"&gt;=0")=0,"", MIN(MAX(SUMPRODUCT('8 Cex'!D59:D60,'8 Cex'!$G59:$G60)*4/(SUM('8 Cex'!$G59:$G60) - SUMIF('8 Cex'!D59:D60,"X",'8 Cex'!$G59:$G60)),MAX('8 Cex'!AB59:AB60)),MIN('8 Cex'!AF59:AF60))))</f>
        <v/>
      </c>
      <c r="F200" s="139" t="str">
        <f>IF(NOT('8 Cex'!E58 = ""),'8 Cex'!E58,IF(COUNTIF('8 Cex'!E59:E60,"&gt;=0")=0,"", MIN(MAX(SUMPRODUCT('8 Cex'!E59:E60,'8 Cex'!$G59:$G60)*4/(SUM('8 Cex'!$G59:$G60) - SUMIF('8 Cex'!E59:E60,"X",'8 Cex'!$G59:$G60)),MAX('8 Cex'!AC59:AC60)),MIN('8 Cex'!AG59:AG60))))</f>
        <v/>
      </c>
      <c r="G200" s="139" t="str">
        <f>IF(NOT('8 Cex'!F58 = ""),'8 Cex'!F58,IF(COUNTIF('8 Cex'!F59:F60,"&gt;=0")=0,"", MIN(MAX(SUMPRODUCT('8 Cex'!F59:F60,'8 Cex'!$G59:$G60)*4/(SUM('8 Cex'!$G59:$G60) - SUMIF('8 Cex'!F59:F60,"X",'8 Cex'!$G59:$G60)),MAX('8 Cex'!AD59:AD60)),MIN('8 Cex'!AH59:AH60))))</f>
        <v/>
      </c>
      <c r="H200" s="447">
        <f>IF(AND(OR(D200="X",D200=""),OR(E200="X",E200=""),OR(F200="X",F200=""),OR(G200="X",G200="")),1,ROUND(MIN(IF(OR(D200="",D200="X"),4,D200),IF(OR(E200="",E200="X"),4,E200),IF(OR(F200="",F200="X"),4,F200),IF(OR(G200="",G200="X"),4,G200)),0))</f>
        <v>1</v>
      </c>
      <c r="I200" s="16"/>
      <c r="J200" s="448">
        <f>IF(IF(IndG&gt;=3,MAX(H200,I200),H200)&lt;1,1,IF(IndG&gt;=3,MAX(H200,I200),H200))</f>
        <v>1</v>
      </c>
      <c r="K200" s="50"/>
      <c r="L200" s="1163">
        <v>2</v>
      </c>
      <c r="M200" s="34"/>
      <c r="N200" s="50"/>
      <c r="O200" s="50"/>
      <c r="P200" s="50"/>
      <c r="Q200" s="50"/>
      <c r="R200" s="50"/>
      <c r="S200" s="50"/>
      <c r="T200" s="50"/>
      <c r="U200" s="50"/>
      <c r="V200" s="50"/>
      <c r="W200" s="50"/>
      <c r="X200" s="50"/>
      <c r="Y200" s="50"/>
      <c r="Z200" s="50"/>
      <c r="AA200" s="50"/>
      <c r="AB200" s="50"/>
      <c r="AC200" s="50"/>
    </row>
    <row r="201" spans="1:29" s="229" customFormat="1" ht="12" customHeight="1" x14ac:dyDescent="0.25">
      <c r="A201" s="295"/>
      <c r="B201" s="42"/>
      <c r="C201" s="40"/>
      <c r="D201" s="459"/>
      <c r="E201" s="459"/>
      <c r="F201" s="459"/>
      <c r="G201" s="459"/>
      <c r="H201" s="450"/>
      <c r="I201" s="16"/>
      <c r="J201" s="450"/>
      <c r="K201" s="50"/>
      <c r="L201" s="1161"/>
      <c r="M201" s="50"/>
      <c r="N201" s="50"/>
      <c r="O201" s="50"/>
      <c r="P201" s="50"/>
      <c r="Q201" s="50"/>
      <c r="R201" s="50"/>
      <c r="S201" s="50"/>
      <c r="T201" s="50"/>
      <c r="U201" s="50"/>
    </row>
    <row r="202" spans="1:29" s="229" customFormat="1" ht="12" customHeight="1" x14ac:dyDescent="0.25">
      <c r="A202" s="295"/>
      <c r="B202" s="248"/>
      <c r="C202" s="249"/>
      <c r="D202" s="459"/>
      <c r="E202" s="459"/>
      <c r="F202" s="459"/>
      <c r="G202" s="459"/>
      <c r="I202" s="16"/>
      <c r="J202" s="450"/>
      <c r="K202" s="451"/>
      <c r="L202" s="1161">
        <f>SUM(L6:L200)</f>
        <v>1015</v>
      </c>
      <c r="M202" s="50"/>
      <c r="N202" s="50"/>
      <c r="O202" s="50"/>
      <c r="P202" s="50"/>
      <c r="Q202" s="50"/>
      <c r="R202" s="50"/>
      <c r="S202" s="50"/>
      <c r="T202" s="50"/>
      <c r="U202" s="50"/>
    </row>
    <row r="203" spans="1:29" s="229" customFormat="1" ht="12" customHeight="1" x14ac:dyDescent="0.25">
      <c r="A203" s="295"/>
      <c r="B203" s="248"/>
      <c r="C203" s="249"/>
      <c r="D203" s="459"/>
      <c r="E203" s="459"/>
      <c r="F203" s="459"/>
      <c r="G203" s="459"/>
      <c r="H203" s="450"/>
      <c r="I203" s="16"/>
      <c r="J203" s="450"/>
      <c r="K203" s="50"/>
      <c r="L203" s="1161"/>
      <c r="M203" s="50"/>
      <c r="N203" s="50"/>
      <c r="O203" s="50"/>
      <c r="P203" s="50"/>
      <c r="Q203" s="50"/>
      <c r="R203" s="50"/>
      <c r="S203" s="50"/>
      <c r="T203" s="50"/>
      <c r="U203" s="50"/>
    </row>
    <row r="204" spans="1:29" s="229" customFormat="1" ht="12" customHeight="1" x14ac:dyDescent="0.25">
      <c r="A204" s="295"/>
      <c r="B204" s="248"/>
      <c r="C204" s="249"/>
      <c r="D204" s="459"/>
      <c r="E204" s="459"/>
      <c r="F204" s="459"/>
      <c r="G204" s="459"/>
      <c r="H204" s="450"/>
      <c r="I204" s="16"/>
      <c r="J204" s="450"/>
      <c r="K204" s="50"/>
      <c r="L204" s="1161"/>
      <c r="M204" s="50"/>
      <c r="N204" s="50"/>
      <c r="O204" s="50"/>
      <c r="P204" s="50"/>
      <c r="Q204" s="50"/>
      <c r="R204" s="50"/>
      <c r="S204" s="50"/>
      <c r="T204" s="50"/>
      <c r="U204" s="50"/>
    </row>
    <row r="205" spans="1:29" s="229" customFormat="1" ht="12" customHeight="1" x14ac:dyDescent="0.25">
      <c r="A205" s="295"/>
      <c r="B205" s="248"/>
      <c r="C205" s="249"/>
      <c r="D205" s="459"/>
      <c r="E205" s="459"/>
      <c r="F205" s="459"/>
      <c r="G205" s="459"/>
      <c r="H205" s="450"/>
      <c r="I205" s="16"/>
      <c r="J205" s="450"/>
      <c r="K205" s="50"/>
      <c r="L205" s="1161"/>
      <c r="M205" s="50"/>
      <c r="N205" s="50"/>
      <c r="O205" s="50"/>
      <c r="P205" s="50"/>
      <c r="Q205" s="50"/>
      <c r="R205" s="50"/>
      <c r="S205" s="50"/>
      <c r="T205" s="50"/>
      <c r="U205" s="50"/>
    </row>
    <row r="206" spans="1:29" s="229" customFormat="1" ht="12" customHeight="1" x14ac:dyDescent="0.25">
      <c r="A206" s="295"/>
      <c r="B206" s="248"/>
      <c r="C206" s="249"/>
      <c r="D206" s="459"/>
      <c r="E206" s="459"/>
      <c r="F206" s="459"/>
      <c r="G206" s="459"/>
      <c r="H206" s="450"/>
      <c r="I206" s="16"/>
      <c r="J206" s="450"/>
      <c r="K206" s="50"/>
      <c r="L206" s="1161"/>
      <c r="M206" s="50"/>
      <c r="N206" s="50"/>
      <c r="O206" s="50"/>
      <c r="P206" s="50"/>
      <c r="Q206" s="50"/>
      <c r="R206" s="50"/>
      <c r="S206" s="50"/>
      <c r="T206" s="50"/>
      <c r="U206" s="50"/>
    </row>
    <row r="207" spans="1:29" s="228" customFormat="1" ht="12" customHeight="1" x14ac:dyDescent="0.25">
      <c r="A207" s="295"/>
      <c r="B207" s="248"/>
      <c r="C207" s="249"/>
      <c r="D207" s="459"/>
      <c r="E207" s="459"/>
      <c r="F207" s="459"/>
      <c r="G207" s="459"/>
      <c r="H207" s="450"/>
      <c r="I207" s="16"/>
      <c r="J207" s="450"/>
      <c r="K207" s="50"/>
      <c r="L207" s="1161"/>
      <c r="M207" s="50"/>
      <c r="N207" s="50"/>
      <c r="O207" s="50"/>
      <c r="P207" s="50"/>
      <c r="Q207" s="50"/>
      <c r="R207" s="50"/>
      <c r="S207" s="50"/>
      <c r="T207" s="50"/>
      <c r="U207" s="50"/>
    </row>
    <row r="208" spans="1:29" s="228" customFormat="1" ht="12" customHeight="1" x14ac:dyDescent="0.25">
      <c r="A208" s="295"/>
      <c r="B208" s="248"/>
      <c r="C208" s="249"/>
      <c r="D208" s="459"/>
      <c r="E208" s="459"/>
      <c r="F208" s="459"/>
      <c r="G208" s="459"/>
      <c r="H208" s="450"/>
      <c r="I208" s="16"/>
      <c r="J208" s="450"/>
      <c r="K208" s="50"/>
      <c r="L208" s="1161"/>
      <c r="M208" s="50"/>
      <c r="N208" s="50"/>
      <c r="O208" s="50"/>
      <c r="P208" s="50"/>
      <c r="Q208" s="50"/>
      <c r="R208" s="50"/>
      <c r="S208" s="50"/>
      <c r="T208" s="50"/>
      <c r="U208" s="50"/>
    </row>
    <row r="209" spans="1:21" s="228" customFormat="1" ht="12" customHeight="1" x14ac:dyDescent="0.25">
      <c r="A209" s="295"/>
      <c r="B209" s="248"/>
      <c r="C209" s="249"/>
      <c r="D209" s="459"/>
      <c r="E209" s="459"/>
      <c r="F209" s="459"/>
      <c r="G209" s="459"/>
      <c r="H209" s="450"/>
      <c r="I209" s="16"/>
      <c r="J209" s="450"/>
      <c r="K209" s="50"/>
      <c r="L209" s="1161"/>
      <c r="M209" s="50"/>
      <c r="N209" s="50"/>
      <c r="O209" s="50"/>
      <c r="P209" s="50"/>
      <c r="Q209" s="50"/>
      <c r="R209" s="50"/>
      <c r="S209" s="50"/>
      <c r="T209" s="50"/>
      <c r="U209" s="50"/>
    </row>
    <row r="210" spans="1:21" s="228" customFormat="1" ht="12" customHeight="1" x14ac:dyDescent="0.25">
      <c r="A210" s="295"/>
      <c r="B210" s="248"/>
      <c r="C210" s="249"/>
      <c r="D210" s="459"/>
      <c r="E210" s="459"/>
      <c r="F210" s="459"/>
      <c r="G210" s="459"/>
      <c r="H210" s="450"/>
      <c r="I210" s="16"/>
      <c r="J210" s="450"/>
      <c r="K210" s="50"/>
      <c r="L210" s="1161"/>
      <c r="M210" s="50"/>
      <c r="N210" s="50"/>
      <c r="O210" s="50"/>
      <c r="P210" s="50"/>
      <c r="Q210" s="50"/>
      <c r="R210" s="50"/>
      <c r="S210" s="50"/>
      <c r="T210" s="50"/>
      <c r="U210" s="50"/>
    </row>
    <row r="211" spans="1:21" s="228" customFormat="1" ht="12" customHeight="1" x14ac:dyDescent="0.25">
      <c r="A211" s="295"/>
      <c r="B211" s="248"/>
      <c r="C211" s="249"/>
      <c r="D211" s="459"/>
      <c r="E211" s="459"/>
      <c r="F211" s="459"/>
      <c r="G211" s="459"/>
      <c r="H211" s="450"/>
      <c r="I211" s="16"/>
      <c r="J211" s="450"/>
      <c r="K211" s="50"/>
      <c r="L211" s="1161"/>
      <c r="M211" s="50"/>
      <c r="N211" s="50"/>
      <c r="O211" s="50"/>
      <c r="P211" s="50"/>
      <c r="Q211" s="50"/>
      <c r="R211" s="50"/>
      <c r="S211" s="50"/>
      <c r="T211" s="50"/>
      <c r="U211" s="50"/>
    </row>
    <row r="212" spans="1:21" s="228" customFormat="1" ht="12" customHeight="1" x14ac:dyDescent="0.25">
      <c r="A212" s="295"/>
      <c r="B212" s="248"/>
      <c r="C212" s="249"/>
      <c r="D212" s="459"/>
      <c r="E212" s="459"/>
      <c r="F212" s="459"/>
      <c r="G212" s="459"/>
      <c r="H212" s="450"/>
      <c r="I212" s="187"/>
      <c r="J212" s="450"/>
      <c r="K212" s="50"/>
      <c r="L212" s="1161"/>
      <c r="M212" s="50"/>
      <c r="N212" s="50"/>
      <c r="O212" s="50"/>
      <c r="P212" s="50"/>
      <c r="Q212" s="50"/>
      <c r="R212" s="50"/>
      <c r="S212" s="50"/>
      <c r="T212" s="50"/>
      <c r="U212" s="50"/>
    </row>
    <row r="213" spans="1:21" s="228" customFormat="1" ht="12" customHeight="1" x14ac:dyDescent="0.25">
      <c r="A213" s="295"/>
      <c r="B213" s="248"/>
      <c r="C213" s="249"/>
      <c r="D213" s="459"/>
      <c r="E213" s="459"/>
      <c r="F213" s="459"/>
      <c r="G213" s="459"/>
      <c r="H213" s="450"/>
      <c r="I213" s="187"/>
      <c r="J213" s="450"/>
      <c r="K213" s="50"/>
      <c r="L213" s="1161"/>
      <c r="M213" s="50"/>
      <c r="N213" s="50"/>
      <c r="O213" s="50"/>
      <c r="P213" s="50"/>
      <c r="Q213" s="50"/>
      <c r="R213" s="50"/>
      <c r="S213" s="50"/>
      <c r="T213" s="50"/>
      <c r="U213" s="50"/>
    </row>
    <row r="214" spans="1:21" s="228" customFormat="1" ht="12" customHeight="1" x14ac:dyDescent="0.25">
      <c r="A214" s="295"/>
      <c r="B214" s="248"/>
      <c r="C214" s="249"/>
      <c r="D214" s="459"/>
      <c r="E214" s="459"/>
      <c r="F214" s="459"/>
      <c r="G214" s="459"/>
      <c r="H214" s="450"/>
      <c r="I214" s="187"/>
      <c r="J214" s="450"/>
      <c r="K214" s="50"/>
      <c r="L214" s="1161"/>
      <c r="M214" s="50"/>
      <c r="N214" s="50"/>
      <c r="O214" s="50"/>
      <c r="P214" s="50"/>
      <c r="Q214" s="50"/>
      <c r="R214" s="50"/>
      <c r="S214" s="50"/>
      <c r="T214" s="50"/>
      <c r="U214" s="50"/>
    </row>
    <row r="215" spans="1:21" s="228" customFormat="1" ht="12" customHeight="1" x14ac:dyDescent="0.25">
      <c r="A215" s="295"/>
      <c r="B215" s="248"/>
      <c r="C215" s="249"/>
      <c r="D215" s="459"/>
      <c r="E215" s="459"/>
      <c r="F215" s="459"/>
      <c r="G215" s="459"/>
      <c r="H215" s="450"/>
      <c r="I215" s="421"/>
      <c r="J215" s="450"/>
      <c r="K215" s="50"/>
      <c r="L215" s="1161"/>
      <c r="M215" s="50"/>
      <c r="N215" s="50"/>
      <c r="O215" s="50"/>
      <c r="P215" s="50"/>
      <c r="Q215" s="50"/>
      <c r="R215" s="50"/>
      <c r="S215" s="50"/>
      <c r="T215" s="50"/>
      <c r="U215" s="50"/>
    </row>
    <row r="216" spans="1:21" s="228" customFormat="1" ht="12" customHeight="1" x14ac:dyDescent="0.25">
      <c r="A216" s="295"/>
      <c r="B216" s="248"/>
      <c r="C216" s="249"/>
      <c r="D216" s="459"/>
      <c r="E216" s="459"/>
      <c r="F216" s="459"/>
      <c r="G216" s="459"/>
      <c r="H216" s="450"/>
      <c r="I216" s="421"/>
      <c r="J216" s="450"/>
      <c r="K216" s="50"/>
      <c r="L216" s="1161"/>
      <c r="M216" s="50"/>
      <c r="N216" s="50"/>
      <c r="O216" s="50"/>
      <c r="P216" s="50"/>
      <c r="Q216" s="50"/>
      <c r="R216" s="50"/>
      <c r="S216" s="50"/>
      <c r="T216" s="50"/>
      <c r="U216" s="50"/>
    </row>
    <row r="217" spans="1:21" s="228" customFormat="1" ht="12" customHeight="1" x14ac:dyDescent="0.25">
      <c r="A217" s="295"/>
      <c r="B217" s="248"/>
      <c r="C217" s="249"/>
      <c r="D217" s="459"/>
      <c r="E217" s="459"/>
      <c r="F217" s="459"/>
      <c r="G217" s="459"/>
      <c r="H217" s="450"/>
      <c r="I217" s="421"/>
      <c r="J217" s="450"/>
      <c r="K217" s="50"/>
      <c r="L217" s="1161"/>
      <c r="M217" s="50"/>
      <c r="N217" s="50"/>
      <c r="O217" s="50"/>
      <c r="P217" s="50"/>
      <c r="Q217" s="50"/>
      <c r="R217" s="50"/>
      <c r="S217" s="50"/>
      <c r="T217" s="50"/>
      <c r="U217" s="50"/>
    </row>
    <row r="218" spans="1:21" s="228" customFormat="1" ht="12" customHeight="1" x14ac:dyDescent="0.25">
      <c r="A218" s="295"/>
      <c r="B218" s="248"/>
      <c r="C218" s="249"/>
      <c r="D218" s="459"/>
      <c r="E218" s="459"/>
      <c r="F218" s="459"/>
      <c r="G218" s="459"/>
      <c r="H218" s="450"/>
      <c r="I218" s="421"/>
      <c r="J218" s="450"/>
      <c r="K218" s="50"/>
      <c r="L218" s="1161"/>
      <c r="M218" s="50"/>
      <c r="N218" s="50"/>
      <c r="O218" s="50"/>
      <c r="P218" s="50"/>
      <c r="Q218" s="50"/>
      <c r="R218" s="50"/>
      <c r="S218" s="50"/>
      <c r="T218" s="50"/>
      <c r="U218" s="50"/>
    </row>
    <row r="219" spans="1:21" s="228" customFormat="1" ht="12" customHeight="1" x14ac:dyDescent="0.25">
      <c r="A219" s="295"/>
      <c r="B219" s="248"/>
      <c r="C219" s="249"/>
      <c r="D219" s="459"/>
      <c r="E219" s="459"/>
      <c r="F219" s="459"/>
      <c r="G219" s="459"/>
      <c r="H219" s="450"/>
      <c r="I219" s="421"/>
      <c r="J219" s="450"/>
      <c r="K219" s="50"/>
      <c r="L219" s="1161"/>
      <c r="M219" s="50"/>
      <c r="N219" s="50"/>
      <c r="O219" s="50"/>
      <c r="P219" s="50"/>
      <c r="Q219" s="50"/>
      <c r="R219" s="50"/>
      <c r="S219" s="50"/>
      <c r="T219" s="50"/>
      <c r="U219" s="50"/>
    </row>
    <row r="220" spans="1:21" s="228" customFormat="1" ht="12" customHeight="1" x14ac:dyDescent="0.25">
      <c r="A220" s="295"/>
      <c r="B220" s="248"/>
      <c r="C220" s="249"/>
      <c r="D220" s="459"/>
      <c r="E220" s="459"/>
      <c r="F220" s="459"/>
      <c r="G220" s="459"/>
      <c r="H220" s="450"/>
      <c r="I220" s="421"/>
      <c r="J220" s="450"/>
      <c r="K220" s="50"/>
      <c r="L220" s="1161"/>
      <c r="M220" s="50"/>
      <c r="N220" s="50"/>
      <c r="O220" s="50"/>
      <c r="P220" s="50"/>
      <c r="Q220" s="50"/>
      <c r="R220" s="50"/>
      <c r="S220" s="50"/>
      <c r="T220" s="50"/>
      <c r="U220" s="50"/>
    </row>
    <row r="221" spans="1:21" s="228" customFormat="1" ht="12" customHeight="1" x14ac:dyDescent="0.25">
      <c r="A221" s="295"/>
      <c r="B221" s="248"/>
      <c r="C221" s="249"/>
      <c r="D221" s="459"/>
      <c r="E221" s="459"/>
      <c r="F221" s="459"/>
      <c r="G221" s="459"/>
      <c r="H221" s="450"/>
      <c r="I221" s="421"/>
      <c r="J221" s="450"/>
      <c r="K221" s="50"/>
      <c r="L221" s="1161"/>
      <c r="M221" s="50"/>
      <c r="N221" s="50"/>
      <c r="O221" s="50"/>
      <c r="P221" s="50"/>
      <c r="Q221" s="50"/>
      <c r="R221" s="50"/>
      <c r="S221" s="50"/>
      <c r="T221" s="50"/>
      <c r="U221" s="50"/>
    </row>
    <row r="222" spans="1:21" s="228" customFormat="1" ht="12" customHeight="1" x14ac:dyDescent="0.25">
      <c r="A222" s="295"/>
      <c r="B222" s="248"/>
      <c r="C222" s="249"/>
      <c r="D222" s="459"/>
      <c r="E222" s="459"/>
      <c r="F222" s="459"/>
      <c r="G222" s="459"/>
      <c r="H222" s="450"/>
      <c r="I222" s="421"/>
      <c r="J222" s="450"/>
      <c r="K222" s="50"/>
      <c r="L222" s="1161"/>
      <c r="M222" s="50"/>
      <c r="N222" s="50"/>
      <c r="O222" s="50"/>
      <c r="P222" s="50"/>
      <c r="Q222" s="50"/>
      <c r="R222" s="50"/>
      <c r="S222" s="50"/>
      <c r="T222" s="50"/>
      <c r="U222" s="50"/>
    </row>
    <row r="223" spans="1:21" s="228" customFormat="1" ht="12" customHeight="1" x14ac:dyDescent="0.25">
      <c r="A223" s="295"/>
      <c r="B223" s="248"/>
      <c r="C223" s="249"/>
      <c r="D223" s="459"/>
      <c r="E223" s="459"/>
      <c r="F223" s="459"/>
      <c r="G223" s="459"/>
      <c r="H223" s="450"/>
      <c r="I223" s="421"/>
      <c r="J223" s="450"/>
      <c r="K223" s="50"/>
      <c r="L223" s="1161"/>
      <c r="M223" s="50"/>
      <c r="N223" s="50"/>
      <c r="O223" s="50"/>
      <c r="P223" s="50"/>
      <c r="Q223" s="50"/>
      <c r="R223" s="50"/>
      <c r="S223" s="50"/>
      <c r="T223" s="50"/>
      <c r="U223" s="50"/>
    </row>
    <row r="224" spans="1:21" s="228" customFormat="1" ht="12" customHeight="1" x14ac:dyDescent="0.25">
      <c r="A224" s="295"/>
      <c r="B224" s="248"/>
      <c r="C224" s="249"/>
      <c r="D224" s="459"/>
      <c r="E224" s="459"/>
      <c r="F224" s="459"/>
      <c r="G224" s="459"/>
      <c r="H224" s="450"/>
      <c r="I224" s="421"/>
      <c r="J224" s="450"/>
      <c r="K224" s="50"/>
      <c r="L224" s="1161"/>
      <c r="M224" s="50"/>
      <c r="N224" s="50"/>
      <c r="O224" s="50"/>
      <c r="P224" s="50"/>
      <c r="Q224" s="50"/>
      <c r="R224" s="50"/>
      <c r="S224" s="50"/>
      <c r="T224" s="50"/>
      <c r="U224" s="50"/>
    </row>
    <row r="225" spans="1:21" s="228" customFormat="1" ht="12" customHeight="1" x14ac:dyDescent="0.25">
      <c r="A225" s="295"/>
      <c r="B225" s="248"/>
      <c r="C225" s="249"/>
      <c r="D225" s="459"/>
      <c r="E225" s="459"/>
      <c r="F225" s="459"/>
      <c r="G225" s="459"/>
      <c r="H225" s="450"/>
      <c r="I225" s="421"/>
      <c r="J225" s="450"/>
      <c r="K225" s="50"/>
      <c r="L225" s="1161"/>
      <c r="M225" s="50"/>
      <c r="N225" s="50"/>
      <c r="O225" s="50"/>
      <c r="P225" s="50"/>
      <c r="Q225" s="50"/>
      <c r="R225" s="50"/>
      <c r="S225" s="50"/>
      <c r="T225" s="50"/>
      <c r="U225" s="50"/>
    </row>
    <row r="226" spans="1:21" s="228" customFormat="1" ht="12" customHeight="1" x14ac:dyDescent="0.25">
      <c r="A226" s="295"/>
      <c r="B226" s="248"/>
      <c r="C226" s="249"/>
      <c r="D226" s="459"/>
      <c r="E226" s="459"/>
      <c r="F226" s="459"/>
      <c r="G226" s="459"/>
      <c r="H226" s="450"/>
      <c r="I226" s="421"/>
      <c r="J226" s="450"/>
      <c r="K226" s="50"/>
      <c r="L226" s="1161"/>
      <c r="M226" s="50"/>
      <c r="N226" s="50"/>
      <c r="O226" s="50"/>
      <c r="P226" s="50"/>
      <c r="Q226" s="50"/>
      <c r="R226" s="50"/>
      <c r="S226" s="50"/>
      <c r="T226" s="50"/>
      <c r="U226" s="50"/>
    </row>
    <row r="227" spans="1:21" ht="12" customHeight="1" x14ac:dyDescent="0.25">
      <c r="D227" s="459"/>
      <c r="E227" s="459"/>
      <c r="F227" s="459"/>
      <c r="G227" s="459"/>
      <c r="H227" s="450"/>
      <c r="I227" s="421"/>
      <c r="J227" s="450"/>
    </row>
    <row r="228" spans="1:21" ht="12" customHeight="1" x14ac:dyDescent="0.25">
      <c r="D228" s="459"/>
      <c r="E228" s="459"/>
      <c r="F228" s="459"/>
      <c r="G228" s="459"/>
      <c r="H228" s="450"/>
      <c r="I228" s="421"/>
      <c r="J228" s="450"/>
    </row>
    <row r="229" spans="1:21" ht="12" customHeight="1" x14ac:dyDescent="0.25">
      <c r="D229" s="459"/>
      <c r="E229" s="459"/>
      <c r="F229" s="459"/>
      <c r="G229" s="459"/>
      <c r="H229" s="450"/>
      <c r="I229" s="421"/>
      <c r="J229" s="450"/>
    </row>
    <row r="230" spans="1:21" ht="12" customHeight="1" x14ac:dyDescent="0.25">
      <c r="D230" s="459"/>
      <c r="E230" s="459"/>
      <c r="F230" s="459"/>
      <c r="G230" s="459"/>
      <c r="H230" s="450"/>
      <c r="I230" s="421"/>
      <c r="J230" s="450"/>
    </row>
    <row r="231" spans="1:21" ht="12" customHeight="1" x14ac:dyDescent="0.25">
      <c r="D231" s="459"/>
      <c r="E231" s="459"/>
      <c r="F231" s="459"/>
      <c r="G231" s="459"/>
      <c r="H231" s="450"/>
      <c r="I231" s="421"/>
      <c r="J231" s="450"/>
    </row>
    <row r="232" spans="1:21" ht="12" customHeight="1" x14ac:dyDescent="0.25">
      <c r="D232" s="459"/>
      <c r="E232" s="459"/>
      <c r="F232" s="459"/>
      <c r="G232" s="459"/>
      <c r="H232" s="450"/>
      <c r="I232" s="421"/>
      <c r="J232" s="450"/>
    </row>
    <row r="233" spans="1:21" ht="12" customHeight="1" x14ac:dyDescent="0.25">
      <c r="D233" s="459"/>
      <c r="E233" s="459"/>
      <c r="F233" s="459"/>
      <c r="G233" s="459"/>
      <c r="H233" s="450"/>
      <c r="I233" s="421"/>
      <c r="J233" s="450"/>
    </row>
    <row r="234" spans="1:21" ht="12" customHeight="1" x14ac:dyDescent="0.25">
      <c r="D234" s="459"/>
      <c r="E234" s="459"/>
      <c r="F234" s="459"/>
      <c r="G234" s="459"/>
      <c r="H234" s="450"/>
      <c r="I234" s="421"/>
      <c r="J234" s="450"/>
    </row>
    <row r="235" spans="1:21" ht="12" customHeight="1" x14ac:dyDescent="0.25">
      <c r="D235" s="459"/>
      <c r="E235" s="459"/>
      <c r="F235" s="459"/>
      <c r="G235" s="459"/>
      <c r="H235" s="450"/>
      <c r="I235" s="421"/>
      <c r="J235" s="450"/>
    </row>
    <row r="236" spans="1:21" ht="12" customHeight="1" x14ac:dyDescent="0.25">
      <c r="D236" s="459"/>
      <c r="E236" s="459"/>
      <c r="F236" s="459"/>
      <c r="G236" s="459"/>
      <c r="H236" s="450"/>
      <c r="I236" s="421"/>
      <c r="J236" s="450"/>
    </row>
    <row r="237" spans="1:21" ht="12" customHeight="1" x14ac:dyDescent="0.25">
      <c r="D237" s="459"/>
      <c r="E237" s="459"/>
      <c r="F237" s="459"/>
      <c r="G237" s="459"/>
      <c r="H237" s="450"/>
      <c r="I237" s="421"/>
      <c r="J237" s="450"/>
    </row>
    <row r="238" spans="1:21" ht="12" customHeight="1" x14ac:dyDescent="0.25">
      <c r="D238" s="459"/>
      <c r="E238" s="459"/>
      <c r="F238" s="459"/>
      <c r="G238" s="459"/>
      <c r="H238" s="450"/>
      <c r="I238" s="421"/>
      <c r="J238" s="450"/>
    </row>
    <row r="239" spans="1:21" ht="12" customHeight="1" x14ac:dyDescent="0.25">
      <c r="D239" s="459"/>
      <c r="E239" s="459"/>
      <c r="F239" s="459"/>
      <c r="G239" s="459"/>
      <c r="H239" s="450"/>
      <c r="I239" s="421"/>
      <c r="J239" s="450"/>
    </row>
    <row r="240" spans="1:21" ht="12" customHeight="1" x14ac:dyDescent="0.25">
      <c r="D240" s="459"/>
      <c r="E240" s="459"/>
      <c r="F240" s="459"/>
      <c r="G240" s="459"/>
      <c r="H240" s="450"/>
      <c r="I240" s="421"/>
      <c r="J240" s="450"/>
    </row>
    <row r="241" spans="4:10" ht="12" customHeight="1" x14ac:dyDescent="0.25">
      <c r="D241" s="459"/>
      <c r="E241" s="459"/>
      <c r="F241" s="459"/>
      <c r="G241" s="459"/>
      <c r="H241" s="450"/>
      <c r="I241" s="421"/>
      <c r="J241" s="450"/>
    </row>
    <row r="242" spans="4:10" ht="12" customHeight="1" x14ac:dyDescent="0.25">
      <c r="D242" s="459"/>
      <c r="E242" s="459"/>
      <c r="F242" s="459"/>
      <c r="G242" s="459"/>
      <c r="H242" s="450"/>
      <c r="I242" s="421"/>
      <c r="J242" s="450"/>
    </row>
    <row r="243" spans="4:10" ht="12" customHeight="1" x14ac:dyDescent="0.25">
      <c r="D243" s="459"/>
      <c r="E243" s="459"/>
      <c r="F243" s="459"/>
      <c r="G243" s="459"/>
      <c r="H243" s="450"/>
      <c r="I243" s="421"/>
      <c r="J243" s="450"/>
    </row>
    <row r="244" spans="4:10" ht="12" customHeight="1" x14ac:dyDescent="0.25">
      <c r="D244" s="459"/>
      <c r="E244" s="459"/>
      <c r="F244" s="459"/>
      <c r="G244" s="459"/>
      <c r="H244" s="450"/>
      <c r="I244" s="421"/>
      <c r="J244" s="450"/>
    </row>
    <row r="245" spans="4:10" ht="12" customHeight="1" x14ac:dyDescent="0.25">
      <c r="D245" s="459"/>
      <c r="E245" s="459"/>
      <c r="F245" s="459"/>
      <c r="G245" s="459"/>
      <c r="H245" s="450"/>
      <c r="I245" s="421"/>
      <c r="J245" s="450"/>
    </row>
    <row r="246" spans="4:10" ht="12" customHeight="1" x14ac:dyDescent="0.25">
      <c r="D246" s="459"/>
      <c r="E246" s="459"/>
      <c r="F246" s="459"/>
      <c r="G246" s="459"/>
      <c r="H246" s="450"/>
      <c r="I246" s="421"/>
      <c r="J246" s="450"/>
    </row>
    <row r="247" spans="4:10" ht="12" customHeight="1" x14ac:dyDescent="0.25">
      <c r="D247" s="459"/>
      <c r="E247" s="459"/>
      <c r="F247" s="459"/>
      <c r="G247" s="459"/>
      <c r="H247" s="450"/>
      <c r="I247" s="421"/>
      <c r="J247" s="450"/>
    </row>
    <row r="248" spans="4:10" ht="12" customHeight="1" x14ac:dyDescent="0.25">
      <c r="D248" s="459"/>
      <c r="E248" s="459"/>
      <c r="F248" s="459"/>
      <c r="G248" s="459"/>
      <c r="H248" s="450"/>
      <c r="I248" s="421"/>
      <c r="J248" s="450"/>
    </row>
    <row r="249" spans="4:10" ht="12" customHeight="1" x14ac:dyDescent="0.25">
      <c r="D249" s="459"/>
      <c r="E249" s="459"/>
      <c r="F249" s="459"/>
      <c r="G249" s="459"/>
      <c r="H249" s="450"/>
      <c r="I249" s="421"/>
      <c r="J249" s="450"/>
    </row>
    <row r="250" spans="4:10" ht="12" customHeight="1" x14ac:dyDescent="0.25">
      <c r="D250" s="459"/>
      <c r="E250" s="459"/>
      <c r="F250" s="459"/>
      <c r="G250" s="459"/>
      <c r="H250" s="450"/>
      <c r="I250" s="421"/>
      <c r="J250" s="450"/>
    </row>
    <row r="251" spans="4:10" ht="12" customHeight="1" x14ac:dyDescent="0.25">
      <c r="D251" s="459"/>
      <c r="E251" s="459"/>
      <c r="F251" s="459"/>
      <c r="G251" s="459"/>
      <c r="H251" s="450"/>
      <c r="I251" s="421"/>
      <c r="J251" s="450"/>
    </row>
    <row r="252" spans="4:10" ht="12" customHeight="1" x14ac:dyDescent="0.25">
      <c r="D252" s="459"/>
      <c r="E252" s="459"/>
      <c r="F252" s="459"/>
      <c r="G252" s="459"/>
      <c r="H252" s="450"/>
      <c r="I252" s="421"/>
      <c r="J252" s="450"/>
    </row>
    <row r="253" spans="4:10" ht="12" customHeight="1" x14ac:dyDescent="0.25">
      <c r="D253" s="459"/>
      <c r="E253" s="459"/>
      <c r="F253" s="459"/>
      <c r="G253" s="459"/>
      <c r="H253" s="450"/>
      <c r="I253" s="421"/>
      <c r="J253" s="450"/>
    </row>
    <row r="254" spans="4:10" ht="12" customHeight="1" x14ac:dyDescent="0.25">
      <c r="D254" s="459"/>
      <c r="E254" s="459"/>
      <c r="F254" s="459"/>
      <c r="G254" s="459"/>
      <c r="H254" s="450"/>
      <c r="I254" s="421"/>
      <c r="J254" s="450"/>
    </row>
    <row r="255" spans="4:10" ht="12" customHeight="1" x14ac:dyDescent="0.25">
      <c r="D255" s="459"/>
      <c r="E255" s="459"/>
      <c r="F255" s="459"/>
      <c r="G255" s="459"/>
      <c r="H255" s="450"/>
      <c r="I255" s="421"/>
      <c r="J255" s="450"/>
    </row>
    <row r="256" spans="4:10" ht="12" customHeight="1" x14ac:dyDescent="0.25">
      <c r="D256" s="459"/>
      <c r="E256" s="459"/>
      <c r="F256" s="459"/>
      <c r="G256" s="459"/>
      <c r="H256" s="450"/>
      <c r="I256" s="421"/>
      <c r="J256" s="450"/>
    </row>
    <row r="257" spans="4:10" ht="12" customHeight="1" x14ac:dyDescent="0.25">
      <c r="D257" s="459"/>
      <c r="E257" s="459"/>
      <c r="F257" s="459"/>
      <c r="G257" s="459"/>
      <c r="H257" s="450"/>
      <c r="I257" s="421"/>
      <c r="J257" s="450"/>
    </row>
    <row r="258" spans="4:10" ht="12" customHeight="1" x14ac:dyDescent="0.25">
      <c r="D258" s="459"/>
      <c r="E258" s="459"/>
      <c r="F258" s="459"/>
      <c r="G258" s="459"/>
      <c r="H258" s="450"/>
      <c r="I258" s="421"/>
      <c r="J258" s="450"/>
    </row>
    <row r="259" spans="4:10" ht="12" customHeight="1" x14ac:dyDescent="0.25">
      <c r="D259" s="459"/>
      <c r="E259" s="459"/>
      <c r="F259" s="459"/>
      <c r="G259" s="459"/>
      <c r="H259" s="450"/>
      <c r="I259" s="421"/>
      <c r="J259" s="450"/>
    </row>
    <row r="260" spans="4:10" ht="12" customHeight="1" x14ac:dyDescent="0.25">
      <c r="D260" s="459"/>
      <c r="E260" s="459"/>
      <c r="F260" s="459"/>
      <c r="G260" s="459"/>
      <c r="H260" s="450"/>
      <c r="I260" s="421"/>
      <c r="J260" s="450"/>
    </row>
    <row r="261" spans="4:10" ht="12" customHeight="1" x14ac:dyDescent="0.25">
      <c r="D261" s="459"/>
      <c r="E261" s="459"/>
      <c r="F261" s="459"/>
      <c r="G261" s="459"/>
      <c r="H261" s="450"/>
      <c r="I261" s="421"/>
      <c r="J261" s="450"/>
    </row>
    <row r="262" spans="4:10" ht="12" customHeight="1" x14ac:dyDescent="0.25">
      <c r="D262" s="459"/>
      <c r="E262" s="459"/>
      <c r="F262" s="459"/>
      <c r="G262" s="459"/>
      <c r="H262" s="450"/>
      <c r="I262" s="421"/>
      <c r="J262" s="450"/>
    </row>
    <row r="263" spans="4:10" ht="12" customHeight="1" x14ac:dyDescent="0.25">
      <c r="D263" s="459"/>
      <c r="E263" s="459"/>
      <c r="F263" s="459"/>
      <c r="G263" s="459"/>
      <c r="H263" s="450"/>
      <c r="I263" s="421"/>
      <c r="J263" s="450"/>
    </row>
    <row r="264" spans="4:10" ht="12" customHeight="1" x14ac:dyDescent="0.25">
      <c r="D264" s="459"/>
      <c r="E264" s="459"/>
      <c r="F264" s="459"/>
      <c r="G264" s="459"/>
      <c r="H264" s="450"/>
      <c r="I264" s="421"/>
      <c r="J264" s="450"/>
    </row>
    <row r="265" spans="4:10" ht="12" customHeight="1" x14ac:dyDescent="0.25">
      <c r="D265" s="459"/>
      <c r="E265" s="459"/>
      <c r="F265" s="459"/>
      <c r="G265" s="459"/>
      <c r="H265" s="450"/>
      <c r="I265" s="421"/>
      <c r="J265" s="450"/>
    </row>
    <row r="266" spans="4:10" ht="12" customHeight="1" x14ac:dyDescent="0.25">
      <c r="D266" s="459"/>
      <c r="E266" s="459"/>
      <c r="F266" s="459"/>
      <c r="G266" s="459"/>
      <c r="H266" s="450"/>
      <c r="I266" s="421"/>
      <c r="J266" s="450"/>
    </row>
    <row r="267" spans="4:10" ht="12" customHeight="1" x14ac:dyDescent="0.25">
      <c r="D267" s="459"/>
      <c r="E267" s="459"/>
      <c r="F267" s="459"/>
      <c r="G267" s="459"/>
      <c r="H267" s="450"/>
      <c r="I267" s="421"/>
      <c r="J267" s="450"/>
    </row>
    <row r="268" spans="4:10" ht="12" customHeight="1" x14ac:dyDescent="0.25">
      <c r="D268" s="459"/>
      <c r="E268" s="459"/>
      <c r="F268" s="459"/>
      <c r="G268" s="459"/>
      <c r="H268" s="450"/>
      <c r="I268" s="421"/>
      <c r="J268" s="450"/>
    </row>
    <row r="269" spans="4:10" ht="12" customHeight="1" x14ac:dyDescent="0.25">
      <c r="D269" s="459"/>
      <c r="E269" s="459"/>
      <c r="F269" s="459"/>
      <c r="G269" s="459"/>
      <c r="H269" s="450"/>
      <c r="I269" s="421"/>
      <c r="J269" s="450"/>
    </row>
    <row r="270" spans="4:10" ht="12" customHeight="1" x14ac:dyDescent="0.25">
      <c r="D270" s="459"/>
      <c r="E270" s="459"/>
      <c r="F270" s="459"/>
      <c r="G270" s="459"/>
      <c r="H270" s="450"/>
      <c r="I270" s="421"/>
      <c r="J270" s="450"/>
    </row>
    <row r="271" spans="4:10" ht="12" customHeight="1" x14ac:dyDescent="0.25">
      <c r="D271" s="459"/>
      <c r="E271" s="459"/>
      <c r="F271" s="459"/>
      <c r="G271" s="459"/>
      <c r="H271" s="450"/>
      <c r="I271" s="421"/>
      <c r="J271" s="450"/>
    </row>
    <row r="272" spans="4:10" ht="12" customHeight="1" x14ac:dyDescent="0.25">
      <c r="D272" s="459"/>
      <c r="E272" s="459"/>
      <c r="F272" s="459"/>
      <c r="G272" s="459"/>
      <c r="H272" s="450"/>
      <c r="I272" s="421"/>
      <c r="J272" s="450"/>
    </row>
    <row r="273" spans="4:10" ht="12" customHeight="1" x14ac:dyDescent="0.25">
      <c r="D273" s="459"/>
      <c r="E273" s="459"/>
      <c r="F273" s="459"/>
      <c r="G273" s="459"/>
      <c r="H273" s="450"/>
      <c r="I273" s="421"/>
      <c r="J273" s="450"/>
    </row>
    <row r="274" spans="4:10" ht="12" customHeight="1" x14ac:dyDescent="0.25">
      <c r="D274" s="459"/>
      <c r="E274" s="459"/>
      <c r="F274" s="459"/>
      <c r="G274" s="459"/>
      <c r="H274" s="450"/>
      <c r="I274" s="421"/>
      <c r="J274" s="450"/>
    </row>
    <row r="275" spans="4:10" ht="12" customHeight="1" x14ac:dyDescent="0.25">
      <c r="D275" s="459"/>
      <c r="E275" s="459"/>
      <c r="F275" s="459"/>
      <c r="G275" s="459"/>
      <c r="H275" s="450"/>
      <c r="I275" s="421"/>
      <c r="J275" s="450"/>
    </row>
    <row r="276" spans="4:10" ht="12" customHeight="1" x14ac:dyDescent="0.25">
      <c r="D276" s="459"/>
      <c r="E276" s="459"/>
      <c r="F276" s="459"/>
      <c r="G276" s="459"/>
      <c r="H276" s="450"/>
      <c r="I276" s="421"/>
      <c r="J276" s="450"/>
    </row>
    <row r="277" spans="4:10" ht="12" customHeight="1" x14ac:dyDescent="0.25">
      <c r="D277" s="459"/>
      <c r="E277" s="459"/>
      <c r="F277" s="459"/>
      <c r="G277" s="459"/>
      <c r="H277" s="450"/>
      <c r="I277" s="421"/>
      <c r="J277" s="450"/>
    </row>
    <row r="278" spans="4:10" ht="12" customHeight="1" x14ac:dyDescent="0.25">
      <c r="D278" s="459"/>
      <c r="E278" s="459"/>
      <c r="F278" s="459"/>
      <c r="G278" s="459"/>
      <c r="H278" s="450"/>
      <c r="I278" s="421"/>
      <c r="J278" s="450"/>
    </row>
    <row r="279" spans="4:10" ht="12" customHeight="1" x14ac:dyDescent="0.25">
      <c r="D279" s="459"/>
      <c r="E279" s="459"/>
      <c r="F279" s="459"/>
      <c r="G279" s="459"/>
      <c r="H279" s="450"/>
      <c r="I279" s="421"/>
      <c r="J279" s="450"/>
    </row>
    <row r="280" spans="4:10" ht="12" customHeight="1" x14ac:dyDescent="0.25">
      <c r="D280" s="459"/>
      <c r="E280" s="459"/>
      <c r="F280" s="459"/>
      <c r="G280" s="459"/>
      <c r="H280" s="450"/>
      <c r="I280" s="421"/>
      <c r="J280" s="450"/>
    </row>
    <row r="281" spans="4:10" ht="12" customHeight="1" x14ac:dyDescent="0.25">
      <c r="D281" s="459"/>
      <c r="E281" s="459"/>
      <c r="F281" s="459"/>
      <c r="G281" s="459"/>
      <c r="H281" s="450"/>
      <c r="I281" s="421"/>
      <c r="J281" s="450"/>
    </row>
    <row r="282" spans="4:10" ht="12" customHeight="1" x14ac:dyDescent="0.25">
      <c r="D282" s="459"/>
      <c r="E282" s="459"/>
      <c r="F282" s="459"/>
      <c r="G282" s="459"/>
      <c r="H282" s="450"/>
      <c r="I282" s="421"/>
      <c r="J282" s="450"/>
    </row>
    <row r="283" spans="4:10" ht="12" customHeight="1" x14ac:dyDescent="0.25">
      <c r="D283" s="459"/>
      <c r="E283" s="459"/>
      <c r="F283" s="459"/>
      <c r="G283" s="459"/>
      <c r="H283" s="450"/>
      <c r="I283" s="421"/>
      <c r="J283" s="450"/>
    </row>
    <row r="284" spans="4:10" ht="12" customHeight="1" x14ac:dyDescent="0.25">
      <c r="D284" s="459"/>
      <c r="E284" s="459"/>
      <c r="F284" s="459"/>
      <c r="G284" s="459"/>
      <c r="H284" s="450"/>
      <c r="I284" s="421"/>
      <c r="J284" s="450"/>
    </row>
    <row r="285" spans="4:10" ht="12" customHeight="1" x14ac:dyDescent="0.25">
      <c r="D285" s="459"/>
      <c r="E285" s="459"/>
      <c r="F285" s="459"/>
      <c r="G285" s="459"/>
      <c r="H285" s="450"/>
      <c r="I285" s="421"/>
      <c r="J285" s="450"/>
    </row>
    <row r="286" spans="4:10" ht="12" customHeight="1" x14ac:dyDescent="0.25">
      <c r="D286" s="459"/>
      <c r="E286" s="459"/>
      <c r="F286" s="459"/>
      <c r="G286" s="459"/>
      <c r="H286" s="450"/>
      <c r="I286" s="421"/>
      <c r="J286" s="450"/>
    </row>
    <row r="287" spans="4:10" ht="12" customHeight="1" x14ac:dyDescent="0.25">
      <c r="D287" s="459"/>
      <c r="E287" s="459"/>
      <c r="F287" s="459"/>
      <c r="G287" s="459"/>
      <c r="H287" s="450"/>
      <c r="I287" s="421"/>
      <c r="J287" s="450"/>
    </row>
    <row r="288" spans="4:10" ht="12" customHeight="1" x14ac:dyDescent="0.25">
      <c r="D288" s="459"/>
      <c r="E288" s="459"/>
      <c r="F288" s="459"/>
      <c r="G288" s="459"/>
      <c r="H288" s="450"/>
      <c r="I288" s="421"/>
      <c r="J288" s="450"/>
    </row>
    <row r="289" spans="4:10" ht="12" customHeight="1" x14ac:dyDescent="0.25">
      <c r="D289" s="459"/>
      <c r="E289" s="459"/>
      <c r="F289" s="459"/>
      <c r="G289" s="459"/>
      <c r="H289" s="450"/>
      <c r="I289" s="421"/>
      <c r="J289" s="450"/>
    </row>
    <row r="290" spans="4:10" ht="12" customHeight="1" x14ac:dyDescent="0.25">
      <c r="D290" s="459"/>
      <c r="E290" s="459"/>
      <c r="F290" s="459"/>
      <c r="G290" s="459"/>
      <c r="H290" s="450"/>
      <c r="I290" s="421"/>
      <c r="J290" s="450"/>
    </row>
    <row r="291" spans="4:10" ht="12" customHeight="1" x14ac:dyDescent="0.25">
      <c r="D291" s="459"/>
      <c r="E291" s="459"/>
      <c r="F291" s="459"/>
      <c r="G291" s="459"/>
      <c r="H291" s="450"/>
      <c r="I291" s="421"/>
      <c r="J291" s="450"/>
    </row>
    <row r="292" spans="4:10" ht="12" customHeight="1" x14ac:dyDescent="0.25">
      <c r="D292" s="459"/>
      <c r="E292" s="459"/>
      <c r="F292" s="459"/>
      <c r="G292" s="459"/>
      <c r="H292" s="450"/>
      <c r="I292" s="421"/>
      <c r="J292" s="450"/>
    </row>
    <row r="293" spans="4:10" ht="12" customHeight="1" x14ac:dyDescent="0.25">
      <c r="D293" s="459"/>
      <c r="E293" s="459"/>
      <c r="F293" s="459"/>
      <c r="G293" s="459"/>
      <c r="H293" s="450"/>
      <c r="I293" s="421"/>
      <c r="J293" s="450"/>
    </row>
    <row r="294" spans="4:10" ht="12" customHeight="1" x14ac:dyDescent="0.25">
      <c r="D294" s="459"/>
      <c r="E294" s="459"/>
      <c r="F294" s="459"/>
      <c r="G294" s="459"/>
      <c r="H294" s="450"/>
      <c r="I294" s="421"/>
      <c r="J294" s="450"/>
    </row>
    <row r="295" spans="4:10" ht="12" customHeight="1" x14ac:dyDescent="0.25">
      <c r="D295" s="459"/>
      <c r="E295" s="459"/>
      <c r="F295" s="459"/>
      <c r="G295" s="459"/>
      <c r="H295" s="450"/>
      <c r="I295" s="421"/>
      <c r="J295" s="450"/>
    </row>
    <row r="296" spans="4:10" ht="12" customHeight="1" x14ac:dyDescent="0.25">
      <c r="D296" s="459"/>
      <c r="E296" s="459"/>
      <c r="F296" s="459"/>
      <c r="G296" s="459"/>
      <c r="H296" s="450"/>
      <c r="I296" s="421"/>
      <c r="J296" s="450"/>
    </row>
    <row r="297" spans="4:10" ht="12" customHeight="1" x14ac:dyDescent="0.25">
      <c r="D297" s="459"/>
      <c r="E297" s="459"/>
      <c r="F297" s="459"/>
      <c r="G297" s="459"/>
      <c r="H297" s="450"/>
      <c r="I297" s="421"/>
      <c r="J297" s="450"/>
    </row>
    <row r="298" spans="4:10" ht="12" customHeight="1" x14ac:dyDescent="0.25">
      <c r="D298" s="459"/>
      <c r="E298" s="459"/>
      <c r="F298" s="459"/>
      <c r="G298" s="459"/>
      <c r="H298" s="450"/>
      <c r="I298" s="421"/>
      <c r="J298" s="450"/>
    </row>
    <row r="299" spans="4:10" ht="12" customHeight="1" x14ac:dyDescent="0.25">
      <c r="D299" s="459"/>
      <c r="E299" s="459"/>
      <c r="F299" s="459"/>
      <c r="G299" s="459"/>
      <c r="H299" s="450"/>
      <c r="I299" s="421"/>
      <c r="J299" s="450"/>
    </row>
    <row r="300" spans="4:10" ht="12" customHeight="1" x14ac:dyDescent="0.25">
      <c r="D300" s="459"/>
      <c r="E300" s="459"/>
      <c r="F300" s="459"/>
      <c r="G300" s="459"/>
      <c r="H300" s="450"/>
      <c r="I300" s="421"/>
      <c r="J300" s="450"/>
    </row>
    <row r="301" spans="4:10" ht="12" customHeight="1" x14ac:dyDescent="0.25">
      <c r="D301" s="459"/>
      <c r="E301" s="459"/>
      <c r="F301" s="459"/>
      <c r="G301" s="459"/>
      <c r="H301" s="450"/>
      <c r="I301" s="421"/>
      <c r="J301" s="450"/>
    </row>
    <row r="302" spans="4:10" ht="12" customHeight="1" x14ac:dyDescent="0.25">
      <c r="D302" s="459"/>
      <c r="E302" s="459"/>
      <c r="F302" s="459"/>
      <c r="G302" s="459"/>
      <c r="H302" s="450"/>
      <c r="I302" s="421"/>
      <c r="J302" s="450"/>
    </row>
    <row r="303" spans="4:10" ht="12" customHeight="1" x14ac:dyDescent="0.25">
      <c r="D303" s="459"/>
      <c r="E303" s="459"/>
      <c r="F303" s="459"/>
      <c r="G303" s="459"/>
      <c r="H303" s="450"/>
      <c r="I303" s="421"/>
      <c r="J303" s="450"/>
    </row>
    <row r="304" spans="4:10" ht="12" customHeight="1" x14ac:dyDescent="0.25">
      <c r="D304" s="459"/>
      <c r="E304" s="459"/>
      <c r="F304" s="459"/>
      <c r="G304" s="459"/>
      <c r="H304" s="450"/>
      <c r="I304" s="421"/>
      <c r="J304" s="450"/>
    </row>
    <row r="305" spans="4:10" ht="12" customHeight="1" x14ac:dyDescent="0.25">
      <c r="D305" s="459"/>
      <c r="E305" s="459"/>
      <c r="F305" s="459"/>
      <c r="G305" s="459"/>
      <c r="H305" s="450"/>
      <c r="I305" s="421"/>
      <c r="J305" s="450"/>
    </row>
    <row r="306" spans="4:10" ht="12" customHeight="1" x14ac:dyDescent="0.25">
      <c r="D306" s="459"/>
      <c r="E306" s="459"/>
      <c r="F306" s="459"/>
      <c r="G306" s="459"/>
      <c r="H306" s="450"/>
      <c r="I306" s="421"/>
      <c r="J306" s="450"/>
    </row>
    <row r="307" spans="4:10" ht="12" customHeight="1" x14ac:dyDescent="0.25">
      <c r="D307" s="459"/>
      <c r="E307" s="459"/>
      <c r="F307" s="459"/>
      <c r="G307" s="459"/>
      <c r="H307" s="450"/>
      <c r="I307" s="421"/>
      <c r="J307" s="450"/>
    </row>
    <row r="308" spans="4:10" ht="12" customHeight="1" x14ac:dyDescent="0.25">
      <c r="D308" s="459"/>
      <c r="E308" s="459"/>
      <c r="F308" s="459"/>
      <c r="G308" s="459"/>
      <c r="H308" s="450"/>
      <c r="I308" s="421"/>
      <c r="J308" s="450"/>
    </row>
    <row r="309" spans="4:10" ht="12" customHeight="1" x14ac:dyDescent="0.25">
      <c r="D309" s="459"/>
      <c r="E309" s="459"/>
      <c r="F309" s="459"/>
      <c r="G309" s="459"/>
      <c r="H309" s="450"/>
      <c r="I309" s="421"/>
      <c r="J309" s="450"/>
    </row>
    <row r="310" spans="4:10" ht="12" customHeight="1" x14ac:dyDescent="0.25">
      <c r="D310" s="459"/>
      <c r="E310" s="459"/>
      <c r="F310" s="459"/>
      <c r="G310" s="459"/>
      <c r="H310" s="450"/>
      <c r="I310" s="421"/>
      <c r="J310" s="450"/>
    </row>
    <row r="311" spans="4:10" ht="12" customHeight="1" x14ac:dyDescent="0.25">
      <c r="D311" s="459"/>
      <c r="E311" s="459"/>
      <c r="F311" s="459"/>
      <c r="G311" s="459"/>
      <c r="H311" s="450"/>
      <c r="I311" s="421"/>
      <c r="J311" s="450"/>
    </row>
    <row r="312" spans="4:10" ht="12" customHeight="1" x14ac:dyDescent="0.25">
      <c r="D312" s="459"/>
      <c r="E312" s="459"/>
      <c r="F312" s="459"/>
      <c r="G312" s="459"/>
      <c r="H312" s="450"/>
      <c r="I312" s="421"/>
      <c r="J312" s="450"/>
    </row>
    <row r="313" spans="4:10" ht="12" customHeight="1" x14ac:dyDescent="0.25">
      <c r="D313" s="459"/>
      <c r="E313" s="459"/>
      <c r="F313" s="459"/>
      <c r="G313" s="459"/>
      <c r="H313" s="450"/>
      <c r="I313" s="421"/>
      <c r="J313" s="450"/>
    </row>
    <row r="314" spans="4:10" ht="12" customHeight="1" x14ac:dyDescent="0.25">
      <c r="D314" s="459"/>
      <c r="E314" s="459"/>
      <c r="F314" s="459"/>
      <c r="G314" s="459"/>
      <c r="H314" s="450"/>
      <c r="I314" s="421"/>
      <c r="J314" s="450"/>
    </row>
    <row r="315" spans="4:10" ht="12" customHeight="1" x14ac:dyDescent="0.25">
      <c r="D315" s="459"/>
      <c r="E315" s="459"/>
      <c r="F315" s="459"/>
      <c r="G315" s="459"/>
      <c r="H315" s="450"/>
      <c r="I315" s="421"/>
      <c r="J315" s="450"/>
    </row>
    <row r="316" spans="4:10" ht="12" customHeight="1" x14ac:dyDescent="0.25">
      <c r="D316" s="459"/>
      <c r="E316" s="459"/>
      <c r="F316" s="459"/>
      <c r="G316" s="459"/>
      <c r="H316" s="450"/>
      <c r="I316" s="421"/>
      <c r="J316" s="450"/>
    </row>
    <row r="317" spans="4:10" ht="12" customHeight="1" x14ac:dyDescent="0.25">
      <c r="D317" s="459"/>
      <c r="E317" s="459"/>
      <c r="F317" s="459"/>
      <c r="G317" s="459"/>
      <c r="H317" s="450"/>
      <c r="I317" s="421"/>
      <c r="J317" s="450"/>
    </row>
    <row r="318" spans="4:10" ht="12" customHeight="1" x14ac:dyDescent="0.25">
      <c r="D318" s="459"/>
      <c r="E318" s="459"/>
      <c r="F318" s="459"/>
      <c r="G318" s="459"/>
      <c r="H318" s="450"/>
      <c r="I318" s="421"/>
      <c r="J318" s="450"/>
    </row>
    <row r="319" spans="4:10" ht="12" customHeight="1" x14ac:dyDescent="0.25">
      <c r="D319" s="459"/>
      <c r="E319" s="459"/>
      <c r="F319" s="459"/>
      <c r="G319" s="459"/>
      <c r="H319" s="450"/>
      <c r="I319" s="421"/>
      <c r="J319" s="450"/>
    </row>
    <row r="320" spans="4:10" ht="12" customHeight="1" x14ac:dyDescent="0.25">
      <c r="D320" s="459"/>
      <c r="E320" s="459"/>
      <c r="F320" s="459"/>
      <c r="G320" s="459"/>
      <c r="H320" s="450"/>
      <c r="I320" s="421"/>
      <c r="J320" s="450"/>
    </row>
    <row r="321" spans="4:10" ht="12" customHeight="1" x14ac:dyDescent="0.25">
      <c r="D321" s="459"/>
      <c r="E321" s="459"/>
      <c r="F321" s="459"/>
      <c r="G321" s="459"/>
      <c r="H321" s="450"/>
      <c r="I321" s="421"/>
      <c r="J321" s="450"/>
    </row>
    <row r="322" spans="4:10" ht="12" customHeight="1" x14ac:dyDescent="0.25">
      <c r="D322" s="459"/>
      <c r="E322" s="459"/>
      <c r="F322" s="459"/>
      <c r="G322" s="459"/>
      <c r="H322" s="450"/>
      <c r="I322" s="421"/>
      <c r="J322" s="450"/>
    </row>
    <row r="323" spans="4:10" ht="12" customHeight="1" x14ac:dyDescent="0.25">
      <c r="D323" s="459"/>
      <c r="E323" s="459"/>
      <c r="F323" s="459"/>
      <c r="G323" s="459"/>
      <c r="H323" s="450"/>
      <c r="I323" s="421"/>
      <c r="J323" s="450"/>
    </row>
    <row r="324" spans="4:10" ht="12" customHeight="1" x14ac:dyDescent="0.25">
      <c r="D324" s="459"/>
      <c r="E324" s="459"/>
      <c r="F324" s="459"/>
      <c r="G324" s="459"/>
      <c r="H324" s="450"/>
      <c r="I324" s="421"/>
      <c r="J324" s="450"/>
    </row>
    <row r="325" spans="4:10" ht="12" customHeight="1" x14ac:dyDescent="0.25">
      <c r="D325" s="459"/>
      <c r="E325" s="459"/>
      <c r="F325" s="459"/>
      <c r="G325" s="459"/>
      <c r="H325" s="450"/>
      <c r="I325" s="421"/>
      <c r="J325" s="450"/>
    </row>
    <row r="326" spans="4:10" ht="12" customHeight="1" x14ac:dyDescent="0.25">
      <c r="D326" s="459"/>
      <c r="E326" s="459"/>
      <c r="F326" s="459"/>
      <c r="G326" s="459"/>
      <c r="H326" s="450"/>
      <c r="I326" s="421"/>
      <c r="J326" s="450"/>
    </row>
    <row r="327" spans="4:10" ht="12" customHeight="1" x14ac:dyDescent="0.25">
      <c r="D327" s="459"/>
      <c r="E327" s="459"/>
      <c r="F327" s="459"/>
      <c r="G327" s="459"/>
      <c r="H327" s="450"/>
      <c r="I327" s="421"/>
      <c r="J327" s="450"/>
    </row>
    <row r="328" spans="4:10" ht="12" customHeight="1" x14ac:dyDescent="0.25">
      <c r="D328" s="459"/>
      <c r="E328" s="459"/>
      <c r="F328" s="459"/>
      <c r="G328" s="459"/>
      <c r="H328" s="450"/>
      <c r="I328" s="421"/>
      <c r="J328" s="450"/>
    </row>
    <row r="329" spans="4:10" ht="12" customHeight="1" x14ac:dyDescent="0.25">
      <c r="D329" s="459"/>
      <c r="E329" s="459"/>
      <c r="F329" s="459"/>
      <c r="G329" s="459"/>
      <c r="H329" s="450"/>
      <c r="I329" s="421"/>
      <c r="J329" s="450"/>
    </row>
    <row r="330" spans="4:10" ht="12" customHeight="1" x14ac:dyDescent="0.25">
      <c r="D330" s="459"/>
      <c r="E330" s="459"/>
      <c r="F330" s="459"/>
      <c r="G330" s="459"/>
      <c r="H330" s="450"/>
      <c r="I330" s="421"/>
      <c r="J330" s="450"/>
    </row>
    <row r="331" spans="4:10" ht="12" customHeight="1" x14ac:dyDescent="0.25">
      <c r="D331" s="459"/>
      <c r="E331" s="459"/>
      <c r="F331" s="459"/>
      <c r="G331" s="459"/>
      <c r="H331" s="450"/>
      <c r="I331" s="421"/>
      <c r="J331" s="450"/>
    </row>
    <row r="332" spans="4:10" ht="12" customHeight="1" x14ac:dyDescent="0.25">
      <c r="D332" s="459"/>
      <c r="E332" s="459"/>
      <c r="F332" s="459"/>
      <c r="G332" s="459"/>
      <c r="H332" s="450"/>
      <c r="I332" s="421"/>
      <c r="J332" s="450"/>
    </row>
    <row r="333" spans="4:10" ht="12" customHeight="1" x14ac:dyDescent="0.25">
      <c r="D333" s="459"/>
      <c r="E333" s="459"/>
      <c r="F333" s="459"/>
      <c r="G333" s="459"/>
      <c r="H333" s="450"/>
      <c r="I333" s="421"/>
      <c r="J333" s="450"/>
    </row>
    <row r="334" spans="4:10" ht="12" customHeight="1" x14ac:dyDescent="0.25">
      <c r="D334" s="459"/>
      <c r="E334" s="459"/>
      <c r="F334" s="459"/>
      <c r="G334" s="459"/>
      <c r="H334" s="450"/>
      <c r="I334" s="421"/>
      <c r="J334" s="450"/>
    </row>
    <row r="335" spans="4:10" ht="12" customHeight="1" x14ac:dyDescent="0.25">
      <c r="D335" s="459"/>
      <c r="E335" s="459"/>
      <c r="F335" s="459"/>
      <c r="G335" s="459"/>
      <c r="H335" s="450"/>
      <c r="I335" s="421"/>
      <c r="J335" s="450"/>
    </row>
    <row r="336" spans="4:10" ht="12" customHeight="1" x14ac:dyDescent="0.25">
      <c r="D336" s="459"/>
      <c r="E336" s="459"/>
      <c r="F336" s="459"/>
      <c r="G336" s="459"/>
      <c r="H336" s="450"/>
      <c r="I336" s="421"/>
      <c r="J336" s="450"/>
    </row>
    <row r="337" spans="4:10" ht="12" customHeight="1" x14ac:dyDescent="0.25">
      <c r="D337" s="459"/>
      <c r="E337" s="459"/>
      <c r="F337" s="459"/>
      <c r="G337" s="459"/>
      <c r="H337" s="450"/>
      <c r="I337" s="421"/>
      <c r="J337" s="450"/>
    </row>
    <row r="338" spans="4:10" ht="12" customHeight="1" x14ac:dyDescent="0.25">
      <c r="D338" s="459"/>
      <c r="E338" s="459"/>
      <c r="F338" s="459"/>
      <c r="G338" s="459"/>
      <c r="H338" s="450"/>
      <c r="I338" s="421"/>
      <c r="J338" s="450"/>
    </row>
    <row r="339" spans="4:10" ht="12" customHeight="1" x14ac:dyDescent="0.25">
      <c r="D339" s="459"/>
      <c r="E339" s="459"/>
      <c r="F339" s="459"/>
      <c r="G339" s="459"/>
      <c r="H339" s="450"/>
      <c r="I339" s="421"/>
      <c r="J339" s="450"/>
    </row>
    <row r="340" spans="4:10" ht="12" customHeight="1" x14ac:dyDescent="0.25">
      <c r="D340" s="459"/>
      <c r="E340" s="459"/>
      <c r="F340" s="459"/>
      <c r="G340" s="459"/>
      <c r="H340" s="450"/>
      <c r="I340" s="421"/>
      <c r="J340" s="450"/>
    </row>
    <row r="341" spans="4:10" ht="12" customHeight="1" x14ac:dyDescent="0.25">
      <c r="D341" s="459"/>
      <c r="E341" s="459"/>
      <c r="F341" s="459"/>
      <c r="G341" s="459"/>
      <c r="H341" s="450"/>
      <c r="I341" s="421"/>
      <c r="J341" s="450"/>
    </row>
    <row r="342" spans="4:10" ht="12" customHeight="1" x14ac:dyDescent="0.25">
      <c r="D342" s="459"/>
      <c r="E342" s="459"/>
      <c r="F342" s="459"/>
      <c r="G342" s="459"/>
      <c r="H342" s="450"/>
      <c r="I342" s="421"/>
      <c r="J342" s="450"/>
    </row>
    <row r="343" spans="4:10" ht="12" customHeight="1" x14ac:dyDescent="0.25">
      <c r="D343" s="459"/>
      <c r="E343" s="459"/>
      <c r="F343" s="459"/>
      <c r="G343" s="459"/>
      <c r="H343" s="450"/>
      <c r="I343" s="421"/>
      <c r="J343" s="450"/>
    </row>
    <row r="344" spans="4:10" ht="12" customHeight="1" x14ac:dyDescent="0.25">
      <c r="D344" s="459"/>
      <c r="E344" s="459"/>
      <c r="F344" s="459"/>
      <c r="G344" s="459"/>
      <c r="H344" s="450"/>
      <c r="I344" s="421"/>
      <c r="J344" s="450"/>
    </row>
    <row r="345" spans="4:10" ht="12" customHeight="1" x14ac:dyDescent="0.25">
      <c r="D345" s="459"/>
      <c r="E345" s="459"/>
      <c r="F345" s="459"/>
      <c r="G345" s="459"/>
      <c r="H345" s="450"/>
      <c r="I345" s="421"/>
      <c r="J345" s="450"/>
    </row>
    <row r="346" spans="4:10" ht="12" customHeight="1" x14ac:dyDescent="0.25">
      <c r="D346" s="459"/>
      <c r="E346" s="459"/>
      <c r="F346" s="459"/>
      <c r="G346" s="459"/>
      <c r="H346" s="450"/>
      <c r="I346" s="421"/>
      <c r="J346" s="450"/>
    </row>
    <row r="347" spans="4:10" ht="12" customHeight="1" x14ac:dyDescent="0.25">
      <c r="D347" s="459"/>
      <c r="E347" s="459"/>
      <c r="F347" s="459"/>
      <c r="G347" s="459"/>
      <c r="H347" s="450"/>
      <c r="I347" s="421"/>
      <c r="J347" s="450"/>
    </row>
    <row r="348" spans="4:10" ht="12" customHeight="1" x14ac:dyDescent="0.25">
      <c r="D348" s="459"/>
      <c r="E348" s="459"/>
      <c r="F348" s="459"/>
      <c r="G348" s="459"/>
      <c r="H348" s="450"/>
      <c r="I348" s="421"/>
      <c r="J348" s="450"/>
    </row>
    <row r="349" spans="4:10" ht="12" customHeight="1" x14ac:dyDescent="0.25">
      <c r="D349" s="459"/>
      <c r="E349" s="459"/>
      <c r="F349" s="459"/>
      <c r="G349" s="459"/>
      <c r="H349" s="450"/>
      <c r="I349" s="421"/>
      <c r="J349" s="450"/>
    </row>
    <row r="350" spans="4:10" ht="12" customHeight="1" x14ac:dyDescent="0.25">
      <c r="D350" s="459"/>
      <c r="E350" s="459"/>
      <c r="F350" s="459"/>
      <c r="G350" s="459"/>
      <c r="H350" s="450"/>
      <c r="I350" s="421"/>
      <c r="J350" s="450"/>
    </row>
    <row r="351" spans="4:10" ht="12" customHeight="1" x14ac:dyDescent="0.25">
      <c r="D351" s="459"/>
      <c r="E351" s="459"/>
      <c r="F351" s="459"/>
      <c r="G351" s="459"/>
      <c r="H351" s="450"/>
      <c r="I351" s="421"/>
      <c r="J351" s="450"/>
    </row>
    <row r="352" spans="4:10" ht="12" customHeight="1" x14ac:dyDescent="0.25">
      <c r="D352" s="459"/>
      <c r="E352" s="459"/>
      <c r="F352" s="459"/>
      <c r="G352" s="459"/>
      <c r="H352" s="450"/>
      <c r="I352" s="421"/>
      <c r="J352" s="450"/>
    </row>
    <row r="353" spans="4:10" ht="12" customHeight="1" x14ac:dyDescent="0.25">
      <c r="D353" s="459"/>
      <c r="E353" s="459"/>
      <c r="F353" s="459"/>
      <c r="G353" s="459"/>
      <c r="H353" s="450"/>
      <c r="I353" s="421"/>
      <c r="J353" s="450"/>
    </row>
    <row r="354" spans="4:10" ht="12" customHeight="1" x14ac:dyDescent="0.25">
      <c r="D354" s="459"/>
      <c r="E354" s="459"/>
      <c r="F354" s="459"/>
      <c r="G354" s="459"/>
      <c r="H354" s="450"/>
      <c r="I354" s="421"/>
      <c r="J354" s="450"/>
    </row>
    <row r="355" spans="4:10" ht="12" customHeight="1" x14ac:dyDescent="0.25">
      <c r="D355" s="459"/>
      <c r="E355" s="459"/>
      <c r="F355" s="459"/>
      <c r="G355" s="459"/>
      <c r="H355" s="450"/>
      <c r="I355" s="421"/>
      <c r="J355" s="450"/>
    </row>
    <row r="356" spans="4:10" ht="12" customHeight="1" x14ac:dyDescent="0.25">
      <c r="D356" s="459"/>
      <c r="E356" s="459"/>
      <c r="F356" s="459"/>
      <c r="G356" s="459"/>
      <c r="H356" s="450"/>
      <c r="I356" s="421"/>
      <c r="J356" s="450"/>
    </row>
    <row r="357" spans="4:10" ht="12" customHeight="1" x14ac:dyDescent="0.25">
      <c r="D357" s="459"/>
      <c r="E357" s="459"/>
      <c r="F357" s="459"/>
      <c r="G357" s="459"/>
      <c r="H357" s="450"/>
      <c r="I357" s="421"/>
      <c r="J357" s="450"/>
    </row>
    <row r="358" spans="4:10" ht="12" customHeight="1" x14ac:dyDescent="0.25">
      <c r="D358" s="459"/>
      <c r="E358" s="459"/>
      <c r="F358" s="459"/>
      <c r="G358" s="459"/>
      <c r="H358" s="450"/>
      <c r="I358" s="421"/>
      <c r="J358" s="450"/>
    </row>
    <row r="359" spans="4:10" ht="12" customHeight="1" x14ac:dyDescent="0.25">
      <c r="D359" s="459"/>
      <c r="E359" s="459"/>
      <c r="F359" s="459"/>
      <c r="G359" s="459"/>
      <c r="H359" s="450"/>
      <c r="I359" s="421"/>
      <c r="J359" s="450"/>
    </row>
    <row r="360" spans="4:10" ht="12" customHeight="1" x14ac:dyDescent="0.25">
      <c r="D360" s="459"/>
      <c r="E360" s="459"/>
      <c r="F360" s="459"/>
      <c r="G360" s="459"/>
      <c r="H360" s="450"/>
      <c r="I360" s="421"/>
      <c r="J360" s="450"/>
    </row>
    <row r="361" spans="4:10" ht="12" customHeight="1" x14ac:dyDescent="0.25">
      <c r="D361" s="459"/>
      <c r="E361" s="459"/>
      <c r="F361" s="459"/>
      <c r="G361" s="459"/>
      <c r="H361" s="450"/>
      <c r="I361" s="421"/>
      <c r="J361" s="450"/>
    </row>
    <row r="362" spans="4:10" ht="12" customHeight="1" x14ac:dyDescent="0.25">
      <c r="D362" s="459"/>
      <c r="E362" s="459"/>
      <c r="F362" s="459"/>
      <c r="G362" s="459"/>
      <c r="H362" s="450"/>
      <c r="I362" s="421"/>
      <c r="J362" s="450"/>
    </row>
    <row r="363" spans="4:10" ht="12" customHeight="1" x14ac:dyDescent="0.25">
      <c r="D363" s="459"/>
      <c r="E363" s="459"/>
      <c r="F363" s="459"/>
      <c r="G363" s="459"/>
      <c r="H363" s="450"/>
      <c r="I363" s="421"/>
      <c r="J363" s="450"/>
    </row>
    <row r="364" spans="4:10" ht="12" customHeight="1" x14ac:dyDescent="0.25">
      <c r="D364" s="459"/>
      <c r="E364" s="459"/>
      <c r="F364" s="459"/>
      <c r="G364" s="459"/>
      <c r="H364" s="450"/>
      <c r="I364" s="421"/>
      <c r="J364" s="450"/>
    </row>
    <row r="365" spans="4:10" ht="12" customHeight="1" x14ac:dyDescent="0.25">
      <c r="D365" s="459"/>
      <c r="E365" s="459"/>
      <c r="F365" s="459"/>
      <c r="G365" s="459"/>
      <c r="H365" s="450"/>
      <c r="I365" s="421"/>
      <c r="J365" s="450"/>
    </row>
    <row r="366" spans="4:10" ht="12" customHeight="1" x14ac:dyDescent="0.25">
      <c r="D366" s="459"/>
      <c r="E366" s="459"/>
      <c r="F366" s="459"/>
      <c r="G366" s="459"/>
      <c r="H366" s="450"/>
      <c r="I366" s="421"/>
      <c r="J366" s="450"/>
    </row>
    <row r="367" spans="4:10" ht="12" customHeight="1" x14ac:dyDescent="0.25">
      <c r="D367" s="459"/>
      <c r="E367" s="459"/>
      <c r="F367" s="459"/>
      <c r="G367" s="459"/>
      <c r="H367" s="450"/>
      <c r="I367" s="421"/>
      <c r="J367" s="450"/>
    </row>
    <row r="368" spans="4:10" ht="12" customHeight="1" x14ac:dyDescent="0.25">
      <c r="D368" s="459"/>
      <c r="E368" s="459"/>
      <c r="F368" s="459"/>
      <c r="G368" s="459"/>
      <c r="H368" s="450"/>
      <c r="I368" s="421"/>
      <c r="J368" s="450"/>
    </row>
    <row r="369" spans="4:10" ht="12" customHeight="1" x14ac:dyDescent="0.25">
      <c r="D369" s="459"/>
      <c r="E369" s="459"/>
      <c r="F369" s="459"/>
      <c r="G369" s="459"/>
      <c r="H369" s="450"/>
      <c r="I369" s="421"/>
      <c r="J369" s="450"/>
    </row>
    <row r="370" spans="4:10" ht="12" customHeight="1" x14ac:dyDescent="0.25">
      <c r="D370" s="459"/>
      <c r="E370" s="459"/>
      <c r="F370" s="459"/>
      <c r="G370" s="459"/>
      <c r="H370" s="450"/>
      <c r="I370" s="421"/>
      <c r="J370" s="450"/>
    </row>
    <row r="371" spans="4:10" ht="12" customHeight="1" x14ac:dyDescent="0.25">
      <c r="D371" s="459"/>
      <c r="E371" s="459"/>
      <c r="F371" s="459"/>
      <c r="G371" s="459"/>
      <c r="H371" s="450"/>
      <c r="I371" s="421"/>
      <c r="J371" s="450"/>
    </row>
    <row r="372" spans="4:10" ht="12" customHeight="1" x14ac:dyDescent="0.25">
      <c r="D372" s="459"/>
      <c r="E372" s="459"/>
      <c r="F372" s="459"/>
      <c r="G372" s="459"/>
      <c r="H372" s="450"/>
      <c r="I372" s="421"/>
      <c r="J372" s="450"/>
    </row>
    <row r="373" spans="4:10" ht="12" customHeight="1" x14ac:dyDescent="0.25">
      <c r="D373" s="459"/>
      <c r="E373" s="459"/>
      <c r="F373" s="459"/>
      <c r="G373" s="459"/>
      <c r="H373" s="450"/>
      <c r="I373" s="421"/>
      <c r="J373" s="450"/>
    </row>
    <row r="374" spans="4:10" ht="12" customHeight="1" x14ac:dyDescent="0.25">
      <c r="D374" s="459"/>
      <c r="E374" s="459"/>
      <c r="F374" s="459"/>
      <c r="G374" s="459"/>
      <c r="H374" s="450"/>
      <c r="I374" s="421"/>
      <c r="J374" s="450"/>
    </row>
    <row r="375" spans="4:10" ht="12" customHeight="1" x14ac:dyDescent="0.25">
      <c r="D375" s="459"/>
      <c r="E375" s="459"/>
      <c r="F375" s="459"/>
      <c r="G375" s="459"/>
      <c r="H375" s="450"/>
      <c r="I375" s="421"/>
      <c r="J375" s="450"/>
    </row>
    <row r="376" spans="4:10" ht="12" customHeight="1" x14ac:dyDescent="0.25">
      <c r="D376" s="459"/>
      <c r="E376" s="459"/>
      <c r="F376" s="459"/>
      <c r="G376" s="459"/>
      <c r="H376" s="450"/>
      <c r="I376" s="421"/>
      <c r="J376" s="450"/>
    </row>
    <row r="377" spans="4:10" ht="12" customHeight="1" x14ac:dyDescent="0.25">
      <c r="D377" s="459"/>
      <c r="E377" s="459"/>
      <c r="F377" s="459"/>
      <c r="G377" s="459"/>
      <c r="H377" s="450"/>
      <c r="I377" s="421"/>
      <c r="J377" s="450"/>
    </row>
    <row r="378" spans="4:10" ht="12" customHeight="1" x14ac:dyDescent="0.25">
      <c r="D378" s="459"/>
      <c r="E378" s="459"/>
      <c r="F378" s="459"/>
      <c r="G378" s="459"/>
      <c r="H378" s="450"/>
      <c r="I378" s="421"/>
      <c r="J378" s="450"/>
    </row>
    <row r="379" spans="4:10" ht="12" customHeight="1" x14ac:dyDescent="0.25">
      <c r="D379" s="459"/>
      <c r="E379" s="459"/>
      <c r="F379" s="459"/>
      <c r="G379" s="459"/>
      <c r="H379" s="450"/>
      <c r="I379" s="421"/>
      <c r="J379" s="450"/>
    </row>
    <row r="380" spans="4:10" ht="12" customHeight="1" x14ac:dyDescent="0.25">
      <c r="D380" s="459"/>
      <c r="E380" s="459"/>
      <c r="F380" s="459"/>
      <c r="G380" s="459"/>
      <c r="H380" s="450"/>
      <c r="I380" s="421"/>
      <c r="J380" s="450"/>
    </row>
    <row r="381" spans="4:10" ht="12" customHeight="1" x14ac:dyDescent="0.25">
      <c r="D381" s="459"/>
      <c r="E381" s="459"/>
      <c r="F381" s="459"/>
      <c r="G381" s="459"/>
      <c r="H381" s="450"/>
      <c r="I381" s="421"/>
      <c r="J381" s="450"/>
    </row>
    <row r="382" spans="4:10" ht="12" customHeight="1" x14ac:dyDescent="0.25">
      <c r="D382" s="459"/>
      <c r="E382" s="459"/>
      <c r="F382" s="459"/>
      <c r="G382" s="459"/>
      <c r="H382" s="450"/>
      <c r="I382" s="421"/>
      <c r="J382" s="450"/>
    </row>
    <row r="383" spans="4:10" ht="12" customHeight="1" x14ac:dyDescent="0.25">
      <c r="D383" s="459"/>
      <c r="E383" s="459"/>
      <c r="F383" s="459"/>
      <c r="G383" s="459"/>
      <c r="H383" s="450"/>
      <c r="I383" s="421"/>
      <c r="J383" s="450"/>
    </row>
    <row r="384" spans="4:10" ht="12" customHeight="1" x14ac:dyDescent="0.25">
      <c r="D384" s="459"/>
      <c r="E384" s="459"/>
      <c r="F384" s="459"/>
      <c r="G384" s="459"/>
      <c r="H384" s="450"/>
      <c r="I384" s="421"/>
      <c r="J384" s="450"/>
    </row>
    <row r="385" spans="4:10" ht="12" customHeight="1" x14ac:dyDescent="0.25">
      <c r="D385" s="459"/>
      <c r="E385" s="459"/>
      <c r="F385" s="459"/>
      <c r="G385" s="459"/>
      <c r="H385" s="450"/>
      <c r="I385" s="421"/>
      <c r="J385" s="450"/>
    </row>
    <row r="386" spans="4:10" ht="12" customHeight="1" x14ac:dyDescent="0.25">
      <c r="D386" s="459"/>
      <c r="E386" s="459"/>
      <c r="F386" s="459"/>
      <c r="G386" s="459"/>
      <c r="H386" s="450"/>
      <c r="I386" s="421"/>
      <c r="J386" s="450"/>
    </row>
    <row r="387" spans="4:10" ht="12" customHeight="1" x14ac:dyDescent="0.25">
      <c r="D387" s="459"/>
      <c r="E387" s="459"/>
      <c r="F387" s="459"/>
      <c r="G387" s="459"/>
      <c r="H387" s="450"/>
      <c r="I387" s="421"/>
      <c r="J387" s="450"/>
    </row>
    <row r="388" spans="4:10" ht="12" customHeight="1" x14ac:dyDescent="0.25">
      <c r="D388" s="459"/>
      <c r="E388" s="459"/>
      <c r="F388" s="459"/>
      <c r="G388" s="459"/>
      <c r="H388" s="450"/>
      <c r="I388" s="421"/>
      <c r="J388" s="450"/>
    </row>
    <row r="389" spans="4:10" ht="12" customHeight="1" x14ac:dyDescent="0.25">
      <c r="D389" s="459"/>
      <c r="E389" s="459"/>
      <c r="F389" s="459"/>
      <c r="G389" s="459"/>
      <c r="H389" s="450"/>
      <c r="I389" s="421"/>
      <c r="J389" s="450"/>
    </row>
    <row r="390" spans="4:10" ht="12" customHeight="1" x14ac:dyDescent="0.25">
      <c r="D390" s="459"/>
      <c r="E390" s="459"/>
      <c r="F390" s="459"/>
      <c r="G390" s="459"/>
      <c r="H390" s="450"/>
      <c r="I390" s="421"/>
      <c r="J390" s="450"/>
    </row>
    <row r="391" spans="4:10" ht="12" customHeight="1" x14ac:dyDescent="0.25">
      <c r="D391" s="459"/>
      <c r="E391" s="459"/>
      <c r="F391" s="459"/>
      <c r="G391" s="459"/>
      <c r="H391" s="450"/>
      <c r="I391" s="421"/>
      <c r="J391" s="450"/>
    </row>
    <row r="392" spans="4:10" ht="12" customHeight="1" x14ac:dyDescent="0.25">
      <c r="D392" s="459"/>
      <c r="E392" s="459"/>
      <c r="F392" s="459"/>
      <c r="G392" s="459"/>
      <c r="H392" s="450"/>
      <c r="I392" s="421"/>
      <c r="J392" s="450"/>
    </row>
    <row r="393" spans="4:10" ht="12" customHeight="1" x14ac:dyDescent="0.25">
      <c r="D393" s="459"/>
      <c r="E393" s="459"/>
      <c r="F393" s="459"/>
      <c r="G393" s="459"/>
      <c r="H393" s="450"/>
      <c r="I393" s="421"/>
      <c r="J393" s="450"/>
    </row>
    <row r="394" spans="4:10" ht="12" customHeight="1" x14ac:dyDescent="0.25">
      <c r="D394" s="459"/>
      <c r="E394" s="459"/>
      <c r="F394" s="459"/>
      <c r="G394" s="459"/>
      <c r="H394" s="450"/>
      <c r="I394" s="421"/>
      <c r="J394" s="450"/>
    </row>
    <row r="395" spans="4:10" ht="12" customHeight="1" x14ac:dyDescent="0.25">
      <c r="D395" s="459"/>
      <c r="E395" s="459"/>
      <c r="F395" s="459"/>
      <c r="G395" s="459"/>
      <c r="H395" s="450"/>
      <c r="I395" s="421"/>
      <c r="J395" s="450"/>
    </row>
    <row r="396" spans="4:10" ht="12" customHeight="1" x14ac:dyDescent="0.25">
      <c r="D396" s="459"/>
      <c r="E396" s="459"/>
      <c r="F396" s="459"/>
      <c r="G396" s="459"/>
      <c r="H396" s="450"/>
      <c r="I396" s="421"/>
      <c r="J396" s="450"/>
    </row>
    <row r="397" spans="4:10" ht="12" customHeight="1" x14ac:dyDescent="0.25">
      <c r="D397" s="459"/>
      <c r="E397" s="459"/>
      <c r="F397" s="459"/>
      <c r="G397" s="459"/>
      <c r="H397" s="450"/>
      <c r="I397" s="421"/>
      <c r="J397" s="450"/>
    </row>
    <row r="398" spans="4:10" ht="12" customHeight="1" x14ac:dyDescent="0.25">
      <c r="D398" s="459"/>
      <c r="E398" s="459"/>
      <c r="F398" s="459"/>
      <c r="G398" s="459"/>
      <c r="H398" s="450"/>
      <c r="I398" s="421"/>
      <c r="J398" s="450"/>
    </row>
    <row r="399" spans="4:10" ht="12" customHeight="1" x14ac:dyDescent="0.25">
      <c r="D399" s="459"/>
      <c r="E399" s="459"/>
      <c r="F399" s="459"/>
      <c r="G399" s="459"/>
      <c r="H399" s="450"/>
      <c r="I399" s="421"/>
      <c r="J399" s="450"/>
    </row>
    <row r="400" spans="4:10" ht="12" customHeight="1" x14ac:dyDescent="0.25">
      <c r="D400" s="459"/>
      <c r="E400" s="459"/>
      <c r="F400" s="459"/>
      <c r="G400" s="459"/>
      <c r="H400" s="450"/>
      <c r="I400" s="421"/>
      <c r="J400" s="450"/>
    </row>
    <row r="401" spans="4:10" ht="12" customHeight="1" x14ac:dyDescent="0.25">
      <c r="D401" s="459"/>
      <c r="E401" s="459"/>
      <c r="F401" s="459"/>
      <c r="G401" s="459"/>
      <c r="H401" s="450"/>
      <c r="I401" s="421"/>
      <c r="J401" s="450"/>
    </row>
    <row r="402" spans="4:10" ht="12" customHeight="1" x14ac:dyDescent="0.25">
      <c r="D402" s="459"/>
      <c r="E402" s="459"/>
      <c r="F402" s="459"/>
      <c r="G402" s="459"/>
      <c r="H402" s="450"/>
      <c r="I402" s="421"/>
      <c r="J402" s="450"/>
    </row>
    <row r="403" spans="4:10" ht="12" customHeight="1" x14ac:dyDescent="0.25">
      <c r="D403" s="459"/>
      <c r="E403" s="459"/>
      <c r="F403" s="459"/>
      <c r="G403" s="459"/>
      <c r="H403" s="450"/>
      <c r="I403" s="421"/>
      <c r="J403" s="450"/>
    </row>
    <row r="404" spans="4:10" ht="12" customHeight="1" x14ac:dyDescent="0.25">
      <c r="D404" s="459"/>
      <c r="E404" s="459"/>
      <c r="F404" s="459"/>
      <c r="G404" s="459"/>
      <c r="H404" s="450"/>
      <c r="I404" s="421"/>
      <c r="J404" s="450"/>
    </row>
    <row r="405" spans="4:10" ht="12" customHeight="1" x14ac:dyDescent="0.25">
      <c r="D405" s="459"/>
      <c r="E405" s="459"/>
      <c r="F405" s="459"/>
      <c r="G405" s="459"/>
      <c r="H405" s="450"/>
      <c r="I405" s="421"/>
      <c r="J405" s="450"/>
    </row>
    <row r="406" spans="4:10" ht="12" customHeight="1" x14ac:dyDescent="0.25">
      <c r="D406" s="459"/>
      <c r="E406" s="459"/>
      <c r="F406" s="459"/>
      <c r="G406" s="459"/>
      <c r="H406" s="450"/>
      <c r="I406" s="421"/>
      <c r="J406" s="450"/>
    </row>
    <row r="407" spans="4:10" ht="12" customHeight="1" x14ac:dyDescent="0.25">
      <c r="D407" s="459"/>
      <c r="E407" s="459"/>
      <c r="F407" s="459"/>
      <c r="G407" s="459"/>
      <c r="H407" s="450"/>
      <c r="I407" s="421"/>
      <c r="J407" s="450"/>
    </row>
    <row r="408" spans="4:10" ht="12" customHeight="1" x14ac:dyDescent="0.25">
      <c r="D408" s="459"/>
      <c r="E408" s="459"/>
      <c r="F408" s="459"/>
      <c r="G408" s="459"/>
      <c r="H408" s="450"/>
      <c r="I408" s="421"/>
      <c r="J408" s="450"/>
    </row>
    <row r="409" spans="4:10" ht="12" customHeight="1" x14ac:dyDescent="0.25">
      <c r="D409" s="459"/>
      <c r="E409" s="459"/>
      <c r="F409" s="459"/>
      <c r="G409" s="459"/>
      <c r="H409" s="450"/>
      <c r="I409" s="421"/>
      <c r="J409" s="450"/>
    </row>
    <row r="410" spans="4:10" ht="12" customHeight="1" x14ac:dyDescent="0.25">
      <c r="D410" s="459"/>
      <c r="E410" s="459"/>
      <c r="F410" s="459"/>
      <c r="G410" s="459"/>
      <c r="H410" s="450"/>
      <c r="I410" s="421"/>
      <c r="J410" s="450"/>
    </row>
    <row r="411" spans="4:10" ht="12" customHeight="1" x14ac:dyDescent="0.25">
      <c r="D411" s="459"/>
      <c r="E411" s="459"/>
      <c r="F411" s="459"/>
      <c r="G411" s="459"/>
      <c r="H411" s="450"/>
      <c r="I411" s="421"/>
      <c r="J411" s="450"/>
    </row>
    <row r="412" spans="4:10" ht="12" customHeight="1" x14ac:dyDescent="0.25">
      <c r="D412" s="459"/>
      <c r="E412" s="459"/>
      <c r="F412" s="459"/>
      <c r="G412" s="459"/>
      <c r="H412" s="450"/>
      <c r="I412" s="421"/>
      <c r="J412" s="450"/>
    </row>
    <row r="413" spans="4:10" ht="12" customHeight="1" x14ac:dyDescent="0.25">
      <c r="D413" s="459"/>
      <c r="E413" s="459"/>
      <c r="F413" s="459"/>
      <c r="G413" s="459"/>
      <c r="H413" s="450"/>
      <c r="I413" s="421"/>
      <c r="J413" s="450"/>
    </row>
    <row r="414" spans="4:10" ht="12" customHeight="1" x14ac:dyDescent="0.25">
      <c r="D414" s="459"/>
      <c r="E414" s="459"/>
      <c r="F414" s="459"/>
      <c r="G414" s="459"/>
      <c r="H414" s="450"/>
      <c r="I414" s="421"/>
      <c r="J414" s="450"/>
    </row>
    <row r="415" spans="4:10" ht="12" customHeight="1" x14ac:dyDescent="0.25">
      <c r="D415" s="459"/>
      <c r="E415" s="459"/>
      <c r="F415" s="459"/>
      <c r="G415" s="459"/>
      <c r="H415" s="450"/>
      <c r="I415" s="421"/>
      <c r="J415" s="450"/>
    </row>
    <row r="416" spans="4:10" ht="12" customHeight="1" x14ac:dyDescent="0.25">
      <c r="D416" s="459"/>
      <c r="E416" s="459"/>
      <c r="F416" s="459"/>
      <c r="G416" s="459"/>
      <c r="H416" s="450"/>
      <c r="I416" s="421"/>
      <c r="J416" s="450"/>
    </row>
    <row r="417" spans="4:10" ht="12" customHeight="1" x14ac:dyDescent="0.25">
      <c r="D417" s="459"/>
      <c r="E417" s="459"/>
      <c r="F417" s="459"/>
      <c r="G417" s="459"/>
      <c r="H417" s="450"/>
      <c r="I417" s="421"/>
      <c r="J417" s="450"/>
    </row>
    <row r="418" spans="4:10" ht="12" customHeight="1" x14ac:dyDescent="0.25">
      <c r="D418" s="459"/>
      <c r="E418" s="459"/>
      <c r="F418" s="459"/>
      <c r="G418" s="459"/>
      <c r="H418" s="450"/>
      <c r="I418" s="421"/>
      <c r="J418" s="450"/>
    </row>
    <row r="419" spans="4:10" ht="12" customHeight="1" x14ac:dyDescent="0.25">
      <c r="D419" s="459"/>
      <c r="E419" s="459"/>
      <c r="F419" s="459"/>
      <c r="G419" s="459"/>
      <c r="H419" s="450"/>
      <c r="I419" s="421"/>
      <c r="J419" s="450"/>
    </row>
  </sheetData>
  <autoFilter ref="A1:C168" xr:uid="{00000000-0009-0000-0000-00000D000000}">
    <filterColumn colId="0" showButton="0"/>
    <filterColumn colId="1" showButton="0"/>
    <filterColumn colId="2" showButton="0"/>
  </autoFilter>
  <mergeCells count="2">
    <mergeCell ref="B198:C198"/>
    <mergeCell ref="B87:C87"/>
  </mergeCells>
  <phoneticPr fontId="6" type="noConversion"/>
  <conditionalFormatting sqref="C82 C153 C168 C171:C172 C139">
    <cfRule type="expression" dxfId="64" priority="38">
      <formula>AND(NOT($J82=""),$J$1=1)</formula>
    </cfRule>
    <cfRule type="expression" dxfId="63" priority="39">
      <formula>LEN($A82)=2</formula>
    </cfRule>
  </conditionalFormatting>
  <conditionalFormatting sqref="C168:C169 C139">
    <cfRule type="expression" dxfId="62" priority="37">
      <formula>LEN($A139)=4</formula>
    </cfRule>
  </conditionalFormatting>
  <conditionalFormatting sqref="C171:C172">
    <cfRule type="expression" dxfId="61" priority="28">
      <formula>LEN($A171)=4</formula>
    </cfRule>
  </conditionalFormatting>
  <conditionalFormatting sqref="C153">
    <cfRule type="expression" dxfId="60" priority="26">
      <formula>LEN($A153)=4</formula>
    </cfRule>
  </conditionalFormatting>
  <conditionalFormatting sqref="C82">
    <cfRule type="expression" dxfId="59" priority="23">
      <formula>LEN($A82)=4</formula>
    </cfRule>
  </conditionalFormatting>
  <conditionalFormatting sqref="C169">
    <cfRule type="expression" dxfId="58" priority="355">
      <formula>LEN($A166)=4</formula>
    </cfRule>
  </conditionalFormatting>
  <conditionalFormatting sqref="C18">
    <cfRule type="expression" dxfId="57" priority="9" stopIfTrue="1">
      <formula>AND(NOT(#REF!=""),#REF!=1)</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ignoredErrors>
    <ignoredError sqref="B30:B32 B116:B120 B146:B147 B67:B71 B148:B14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8">
    <tabColor indexed="47"/>
  </sheetPr>
  <dimension ref="A1:BS130"/>
  <sheetViews>
    <sheetView zoomScale="114" workbookViewId="0">
      <pane xSplit="5" ySplit="3" topLeftCell="F72" activePane="bottomRight" state="frozenSplit"/>
      <selection activeCell="A2" sqref="A2"/>
      <selection pane="topRight" activeCell="A2" sqref="A2"/>
      <selection pane="bottomLeft" activeCell="A2" sqref="A2"/>
      <selection pane="bottomRight" activeCell="H82" sqref="H82"/>
    </sheetView>
  </sheetViews>
  <sheetFormatPr baseColWidth="10" defaultColWidth="11.44140625" defaultRowHeight="12" customHeight="1" x14ac:dyDescent="0.25"/>
  <cols>
    <col min="1" max="1" width="4" style="50" customWidth="1"/>
    <col min="2" max="2" width="4.6640625" style="50" customWidth="1"/>
    <col min="3" max="3" width="5.6640625" style="249" customWidth="1"/>
    <col min="4" max="4" width="71.6640625" style="249" customWidth="1"/>
    <col min="5" max="5" width="19.88671875" style="249" customWidth="1"/>
    <col min="6" max="6" width="7.88671875" style="378" customWidth="1"/>
    <col min="7" max="40" width="11.44140625" style="229"/>
    <col min="41" max="16384" width="11.44140625" style="50"/>
  </cols>
  <sheetData>
    <row r="1" spans="1:40" ht="24.9" customHeight="1" x14ac:dyDescent="0.3">
      <c r="A1" s="1107" t="s">
        <v>6976</v>
      </c>
      <c r="B1" s="1108"/>
      <c r="C1" s="1108"/>
      <c r="D1" s="281"/>
      <c r="E1" s="1109"/>
    </row>
    <row r="2" spans="1:40" ht="24.9" customHeight="1" x14ac:dyDescent="0.3">
      <c r="A2" s="1107"/>
      <c r="B2" s="1108"/>
      <c r="C2" s="1108"/>
      <c r="D2" s="386" t="s">
        <v>2214</v>
      </c>
      <c r="E2" s="1110">
        <v>1</v>
      </c>
    </row>
    <row r="3" spans="1:40" s="281" customFormat="1" ht="30" customHeight="1" x14ac:dyDescent="0.25">
      <c r="E3" s="1111" t="s">
        <v>78</v>
      </c>
      <c r="F3" s="377" t="s">
        <v>462</v>
      </c>
      <c r="G3" s="280"/>
      <c r="H3" s="280"/>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280"/>
      <c r="AJ3" s="280"/>
      <c r="AK3" s="280"/>
      <c r="AL3" s="280"/>
      <c r="AM3" s="280"/>
      <c r="AN3" s="280"/>
    </row>
    <row r="4" spans="1:40" s="34" customFormat="1" ht="15.75" customHeight="1" x14ac:dyDescent="0.25">
      <c r="A4" s="1112">
        <v>5</v>
      </c>
      <c r="B4" s="1113" t="s">
        <v>6977</v>
      </c>
      <c r="D4" s="39"/>
      <c r="E4" s="1114"/>
      <c r="F4" s="379"/>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row>
    <row r="5" spans="1:40" s="34" customFormat="1" ht="12" customHeight="1" x14ac:dyDescent="0.25">
      <c r="A5" s="187"/>
      <c r="B5" s="1115" t="s">
        <v>79</v>
      </c>
      <c r="C5" s="1116" t="s">
        <v>2114</v>
      </c>
      <c r="D5" s="39"/>
      <c r="E5" s="1117" t="s">
        <v>1501</v>
      </c>
      <c r="F5" s="379">
        <f>10*(COUNTIF('1 Org'!C5:C9, "=1"))/MAX(1,(5 -(COUNTIF('1 Org'!C5:C9, "X"))))</f>
        <v>0</v>
      </c>
      <c r="G5" s="1184"/>
      <c r="H5" s="1185"/>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row>
    <row r="6" spans="1:40" s="34" customFormat="1" ht="12" customHeight="1" x14ac:dyDescent="0.25">
      <c r="B6" s="1115" t="s">
        <v>6855</v>
      </c>
      <c r="C6" s="1116" t="s">
        <v>6978</v>
      </c>
      <c r="D6" s="39"/>
      <c r="E6" s="1118" t="s">
        <v>1503</v>
      </c>
      <c r="F6" s="379">
        <f>10*(COUNTIF('1 Org'!C25:C27, "=1"))/MAX(1,(3 -(COUNTIF('1 Org'!C25:C27, "X"))))</f>
        <v>0</v>
      </c>
      <c r="G6" s="1184"/>
      <c r="H6" s="1185"/>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row>
    <row r="7" spans="1:40" s="34" customFormat="1" ht="12" customHeight="1" x14ac:dyDescent="0.25">
      <c r="B7" s="1115" t="s">
        <v>6859</v>
      </c>
      <c r="C7" s="1116" t="s">
        <v>128</v>
      </c>
      <c r="D7" s="39"/>
      <c r="E7" s="1118" t="s">
        <v>6979</v>
      </c>
      <c r="F7" s="379">
        <f>10*(COUNTIF('1 Org'!C28:C29, "=1"))/MAX(1,(2 -(COUNTIF('1 Org'!C28:C29, "X"))))</f>
        <v>0</v>
      </c>
      <c r="G7" s="1184"/>
      <c r="H7" s="1185"/>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row>
    <row r="8" spans="1:40" s="34" customFormat="1" ht="12.6" customHeight="1" x14ac:dyDescent="0.25">
      <c r="B8" s="1115" t="s">
        <v>6921</v>
      </c>
      <c r="C8" s="1116" t="s">
        <v>6789</v>
      </c>
      <c r="D8" s="39"/>
      <c r="E8" s="1118" t="s">
        <v>7439</v>
      </c>
      <c r="F8" s="379">
        <f>10*(COUNTIF('1 Org'!C79:C80, "=1"))/MAX(1,(2 -(COUNTIF('1 Org'!C79:C80, "X"))))</f>
        <v>0</v>
      </c>
      <c r="G8" s="1184"/>
      <c r="H8" s="1185"/>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row>
    <row r="9" spans="1:40" s="34" customFormat="1" ht="13.5" customHeight="1" x14ac:dyDescent="0.25">
      <c r="B9" s="1115" t="s">
        <v>6862</v>
      </c>
      <c r="C9" s="1116" t="s">
        <v>6980</v>
      </c>
      <c r="D9" s="39"/>
      <c r="E9" s="1118" t="s">
        <v>6981</v>
      </c>
      <c r="F9" s="379">
        <f>10*(COUNTIF('1 Org'!C30:C31, "=1"))/MAX(1,(2 -(COUNTIF('1 Org'!C30:C31, "X"))))</f>
        <v>0</v>
      </c>
      <c r="G9" s="1184"/>
      <c r="H9" s="1185"/>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row>
    <row r="10" spans="1:40" s="34" customFormat="1" ht="12" customHeight="1" x14ac:dyDescent="0.25">
      <c r="B10" s="1115" t="s">
        <v>6865</v>
      </c>
      <c r="C10" s="1116" t="s">
        <v>6982</v>
      </c>
      <c r="D10" s="39"/>
      <c r="E10" s="1118" t="s">
        <v>6983</v>
      </c>
      <c r="F10" s="379">
        <f>10*(COUNTIF('1 Org'!C32:C33, "=1"))/MAX(1,(2 -(COUNTIF('1 Org'!C32:C33, "X"))))</f>
        <v>0</v>
      </c>
      <c r="G10" s="1184"/>
      <c r="H10" s="1185"/>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row>
    <row r="11" spans="1:40" s="34" customFormat="1" ht="12" customHeight="1" x14ac:dyDescent="0.25">
      <c r="B11" s="1115" t="s">
        <v>6870</v>
      </c>
      <c r="C11" s="1116" t="s">
        <v>6984</v>
      </c>
      <c r="D11" s="39"/>
      <c r="E11" s="1118" t="s">
        <v>6985</v>
      </c>
      <c r="F11" s="379">
        <f>10*(COUNTIF('1 Org'!C34:C36, "=1"))/MAX(1,(3 -(COUNTIF('1 Org'!C34:C36, "X"))))</f>
        <v>0</v>
      </c>
      <c r="G11" s="1184"/>
      <c r="H11" s="1185"/>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row>
    <row r="12" spans="1:40" s="34" customFormat="1" ht="12" customHeight="1" x14ac:dyDescent="0.25">
      <c r="B12" s="1115" t="s">
        <v>6877</v>
      </c>
      <c r="C12" s="1116" t="s">
        <v>6986</v>
      </c>
      <c r="D12" s="39"/>
      <c r="E12" s="1118" t="s">
        <v>6987</v>
      </c>
      <c r="F12" s="379">
        <f>10*(COUNTIF('1 Org'!C37:C39, "=1")+ COUNTIF('7 Dev'!C5:C7, "=1"))/MAX(1,(6 -(COUNTIF('1 Org'!C37:C39, "X")+ COUNTIF('7 Dev'!C5:C7, "X"))))</f>
        <v>0</v>
      </c>
      <c r="G12" s="1184"/>
      <c r="H12" s="1185"/>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row>
    <row r="13" spans="1:40" s="34" customFormat="1" ht="12" customHeight="1" x14ac:dyDescent="0.25">
      <c r="B13" s="1115" t="s">
        <v>6939</v>
      </c>
      <c r="C13" s="1116" t="s">
        <v>6988</v>
      </c>
      <c r="D13" s="39"/>
      <c r="E13" s="1118" t="s">
        <v>6989</v>
      </c>
      <c r="F13" s="379">
        <f>10*(COUNTIF('1 Org'!C101:C103, "=1"))/MAX(1,(3 -(COUNTIF('1 Org'!C101:C103, "X"))))</f>
        <v>0</v>
      </c>
      <c r="G13" s="1184"/>
      <c r="H13" s="1185"/>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row>
    <row r="14" spans="1:40" s="34" customFormat="1" ht="12" customHeight="1" x14ac:dyDescent="0.25">
      <c r="B14" s="1115" t="s">
        <v>6942</v>
      </c>
      <c r="C14" s="1116" t="s">
        <v>6990</v>
      </c>
      <c r="D14" s="39"/>
      <c r="E14" s="1118" t="s">
        <v>2117</v>
      </c>
      <c r="F14" s="379">
        <f>10*(COUNTIF('1 Org'!C104:C105, "=1"))/MAX(1,(2 -(COUNTIF('1 Org'!C104:C105, "X"))))</f>
        <v>0</v>
      </c>
      <c r="G14" s="1184"/>
      <c r="H14" s="1185"/>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row>
    <row r="15" spans="1:40" s="34" customFormat="1" ht="12" customHeight="1" x14ac:dyDescent="0.25">
      <c r="B15" s="1115" t="s">
        <v>6945</v>
      </c>
      <c r="C15" s="1116" t="s">
        <v>6991</v>
      </c>
      <c r="D15" s="39"/>
      <c r="E15" s="1118" t="s">
        <v>6992</v>
      </c>
      <c r="F15" s="379">
        <f>10*(COUNTIF('1 Org'!C106:C107, "=1"))/MAX(1,(2 -(COUNTIF('1 Org'!C106:C107, "X"))))</f>
        <v>0</v>
      </c>
      <c r="G15" s="1184"/>
      <c r="H15" s="1185"/>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row>
    <row r="16" spans="1:40" s="34" customFormat="1" ht="12" customHeight="1" x14ac:dyDescent="0.25">
      <c r="B16" s="1115" t="s">
        <v>6949</v>
      </c>
      <c r="C16" s="1116" t="s">
        <v>1511</v>
      </c>
      <c r="D16" s="39"/>
      <c r="E16" s="1118" t="s">
        <v>2118</v>
      </c>
      <c r="F16" s="379">
        <f>10*(COUNTIF('1 Org'!C109:C110, "=1"))/MAX(1,(2 -(COUNTIF('1 Org'!C109:C110, "X"))))</f>
        <v>0</v>
      </c>
      <c r="G16" s="1184"/>
      <c r="H16" s="1185"/>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row>
    <row r="17" spans="1:40" s="34" customFormat="1" ht="12" customHeight="1" x14ac:dyDescent="0.25">
      <c r="B17" s="1115" t="s">
        <v>6952</v>
      </c>
      <c r="C17" s="1116" t="s">
        <v>6993</v>
      </c>
      <c r="D17" s="39"/>
      <c r="E17" s="1118" t="s">
        <v>6994</v>
      </c>
      <c r="F17" s="379">
        <f>10*(COUNTIF('1 Org'!C111:C112, "=1"))/MAX(1,(2 -(COUNTIF('1 Org'!C111:C112, "X"))))</f>
        <v>0</v>
      </c>
      <c r="G17" s="1184"/>
      <c r="H17" s="1185"/>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row>
    <row r="18" spans="1:40" s="237" customFormat="1" ht="13.2" customHeight="1" x14ac:dyDescent="0.25">
      <c r="A18" s="1164"/>
      <c r="B18" s="1119" t="s">
        <v>6901</v>
      </c>
      <c r="C18" s="1165" t="s">
        <v>6995</v>
      </c>
      <c r="D18" s="446"/>
      <c r="E18" s="1166" t="s">
        <v>6996</v>
      </c>
      <c r="F18" s="379">
        <f>10*(COUNTIF('1 Org'!C56:C58, "=1"))/MAX(1,(3 -(COUNTIF('1 Org'!C56:C58, "X"))))</f>
        <v>0</v>
      </c>
      <c r="G18" s="1186"/>
      <c r="H18" s="1187"/>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row>
    <row r="19" spans="1:40" s="34" customFormat="1" ht="12" customHeight="1" x14ac:dyDescent="0.25">
      <c r="A19" s="1112"/>
      <c r="B19" s="1115" t="s">
        <v>6997</v>
      </c>
      <c r="C19" s="1116" t="s">
        <v>2119</v>
      </c>
      <c r="D19" s="39"/>
      <c r="E19" s="1118" t="s">
        <v>6998</v>
      </c>
      <c r="F19" s="379">
        <f>10*(COUNTIF('3 Sys'!C5:C7, "=1"))/MAX(1,(3 -(COUNTIF('3 Sys'!C5:C7, "X"))))</f>
        <v>0</v>
      </c>
      <c r="G19" s="1184"/>
      <c r="H19" s="1185"/>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row>
    <row r="20" spans="1:40" s="34" customFormat="1" ht="12" customHeight="1" x14ac:dyDescent="0.25">
      <c r="B20" s="1115" t="s">
        <v>6999</v>
      </c>
      <c r="C20" s="1116" t="s">
        <v>7000</v>
      </c>
      <c r="D20" s="39"/>
      <c r="E20" s="1118" t="s">
        <v>7001</v>
      </c>
      <c r="F20" s="379">
        <f>10*(COUNTIF('3 Sys'!C11:C13, "=1"))/MAX(1,(3 -(COUNTIF('3 Sys'!C11:C13, "X"))))</f>
        <v>0</v>
      </c>
      <c r="G20" s="1184"/>
      <c r="H20" s="1185"/>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row>
    <row r="21" spans="1:40" s="34" customFormat="1" ht="12" customHeight="1" x14ac:dyDescent="0.25">
      <c r="B21" s="1115" t="s">
        <v>7002</v>
      </c>
      <c r="C21" s="1116" t="s">
        <v>7003</v>
      </c>
      <c r="D21" s="39"/>
      <c r="E21" s="1118" t="s">
        <v>7004</v>
      </c>
      <c r="F21" s="379">
        <f>10*(COUNTIF('3 Sys'!C26:C27, "=1"))/MAX(1,(2 -(COUNTIF('3 Sys'!C26:C27, "X"))))</f>
        <v>0</v>
      </c>
      <c r="G21" s="1184"/>
      <c r="H21" s="1185"/>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row>
    <row r="22" spans="1:40" s="34" customFormat="1" ht="12" customHeight="1" x14ac:dyDescent="0.25">
      <c r="B22" s="1115" t="s">
        <v>7005</v>
      </c>
      <c r="C22" s="1116" t="s">
        <v>7006</v>
      </c>
      <c r="D22" s="39"/>
      <c r="E22" s="1118" t="s">
        <v>7007</v>
      </c>
      <c r="F22" s="379">
        <f>10*(COUNTIF('3 Sys'!C14:C15, "=1"))/MAX(1,(2 -(COUNTIF('3 Sys'!C14:C15, "X"))))</f>
        <v>0</v>
      </c>
      <c r="G22" s="1184"/>
      <c r="H22" s="1185"/>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row>
    <row r="23" spans="1:40" s="34" customFormat="1" ht="12" customHeight="1" x14ac:dyDescent="0.25">
      <c r="B23" s="1115" t="s">
        <v>6960</v>
      </c>
      <c r="C23" s="1116" t="s">
        <v>2333</v>
      </c>
      <c r="D23" s="39"/>
      <c r="E23" s="1118" t="s">
        <v>7008</v>
      </c>
      <c r="F23" s="379">
        <f>10*(COUNTIF('1 Org'!C151:C153, "=1"))/MAX(1,(3 -(COUNTIF('1 Org'!C151:C153, "X"))))</f>
        <v>0</v>
      </c>
      <c r="G23" s="1184"/>
      <c r="H23" s="1185"/>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row>
    <row r="24" spans="1:40" s="34" customFormat="1" ht="12" customHeight="1" x14ac:dyDescent="0.25">
      <c r="B24" s="1115" t="s">
        <v>6965</v>
      </c>
      <c r="C24" s="1116" t="s">
        <v>7009</v>
      </c>
      <c r="D24" s="39"/>
      <c r="E24" s="1118" t="s">
        <v>7010</v>
      </c>
      <c r="F24" s="379">
        <f>10*(COUNTIF('1 Org'!C155:C156, "=1"))/MAX(1,(2 -(COUNTIF('1 Org'!C155:C156, "X"))))</f>
        <v>0</v>
      </c>
      <c r="G24" s="1184"/>
      <c r="H24" s="1185"/>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row>
    <row r="25" spans="1:40" s="34" customFormat="1" ht="12" customHeight="1" x14ac:dyDescent="0.25">
      <c r="B25" s="1115" t="s">
        <v>6970</v>
      </c>
      <c r="C25" s="1116" t="s">
        <v>7011</v>
      </c>
      <c r="D25" s="39"/>
      <c r="E25" s="1118" t="s">
        <v>2122</v>
      </c>
      <c r="F25" s="379">
        <f>10*(COUNTIF('1 Org'!C158:C159, "=1"))/MAX(1,(2 -(COUNTIF('1 Org'!C158:C159, "X"))))</f>
        <v>0</v>
      </c>
      <c r="G25" s="1184"/>
      <c r="H25" s="1185"/>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row>
    <row r="26" spans="1:40" s="34" customFormat="1" ht="12" customHeight="1" x14ac:dyDescent="0.25">
      <c r="B26" s="1115" t="s">
        <v>6974</v>
      </c>
      <c r="C26" s="1116" t="s">
        <v>6972</v>
      </c>
      <c r="D26" s="39"/>
      <c r="E26" s="1118" t="s">
        <v>7012</v>
      </c>
      <c r="F26" s="379">
        <f>10*(COUNTIF('1 Org'!C161:C162, "=1"))/MAX(1,(2 -(COUNTIF('1 Org'!C161:C162, "X"))))</f>
        <v>0</v>
      </c>
      <c r="G26" s="1184"/>
      <c r="H26" s="1185"/>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row>
    <row r="27" spans="1:40" s="34" customFormat="1" ht="12" customHeight="1" x14ac:dyDescent="0.25">
      <c r="B27" s="1115" t="s">
        <v>7013</v>
      </c>
      <c r="C27" s="1116" t="s">
        <v>6906</v>
      </c>
      <c r="D27" s="39"/>
      <c r="E27" s="1118" t="s">
        <v>7432</v>
      </c>
      <c r="F27" s="379">
        <f>10*(COUNTIF('1 Org'!C60:C61, "=1"))/MAX(1,(2 -(COUNTIF('1 Org'!C60:C61, "X"))))</f>
        <v>0</v>
      </c>
      <c r="G27" s="1184"/>
      <c r="H27" s="1185"/>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row>
    <row r="28" spans="1:40" s="34" customFormat="1" ht="13.2" customHeight="1" x14ac:dyDescent="0.25">
      <c r="B28" s="1115" t="s">
        <v>7014</v>
      </c>
      <c r="C28" s="1116" t="s">
        <v>7015</v>
      </c>
      <c r="D28" s="39"/>
      <c r="E28" s="1118" t="s">
        <v>7379</v>
      </c>
      <c r="F28" s="379">
        <f>10*(COUNTIF('4 Ope'!C244:C246, "=1"))/MAX(1,(3 -(COUNTIF('4 Ope'!C244:C246, "X"))))</f>
        <v>0</v>
      </c>
      <c r="G28" s="1184"/>
      <c r="H28" s="1185"/>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row>
    <row r="29" spans="1:40" s="34" customFormat="1" ht="12" customHeight="1" x14ac:dyDescent="0.25">
      <c r="B29" s="1115" t="s">
        <v>7016</v>
      </c>
      <c r="C29" s="1116" t="s">
        <v>7017</v>
      </c>
      <c r="D29" s="39"/>
      <c r="E29" s="1118" t="s">
        <v>7380</v>
      </c>
      <c r="F29" s="379">
        <f>10*(COUNTIF('4 Ope'!C249:C250, "=1"))/MAX(1,(2 -(COUNTIF('4 Ope'!C249:C250, "X"))))</f>
        <v>0</v>
      </c>
      <c r="G29" s="1184"/>
      <c r="H29" s="1185"/>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row>
    <row r="30" spans="1:40" s="34" customFormat="1" ht="12" customHeight="1" x14ac:dyDescent="0.25">
      <c r="B30" s="1115" t="s">
        <v>7018</v>
      </c>
      <c r="C30" s="1116" t="s">
        <v>7019</v>
      </c>
      <c r="D30" s="39"/>
      <c r="E30" s="1118" t="s">
        <v>7383</v>
      </c>
      <c r="F30" s="379">
        <f>10*(COUNTIF('4 Ope'!C251:C253, "=1"))/MAX(1,(3 -(COUNTIF('4 Ope'!C251:C253, "X"))))</f>
        <v>0</v>
      </c>
      <c r="G30" s="1184"/>
      <c r="H30" s="1185"/>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row>
    <row r="31" spans="1:40" s="34" customFormat="1" ht="12" customHeight="1" x14ac:dyDescent="0.25">
      <c r="B31" s="1115" t="s">
        <v>7020</v>
      </c>
      <c r="C31" s="1116" t="s">
        <v>7021</v>
      </c>
      <c r="D31" s="39"/>
      <c r="E31" s="1118" t="s">
        <v>7381</v>
      </c>
      <c r="F31" s="379">
        <f>10*(COUNTIF('4 Ope'!C254:C255, "=1"))/MAX(1,(2 -(COUNTIF('4 Ope'!C254:C255, "X"))))</f>
        <v>0</v>
      </c>
      <c r="G31" s="1184"/>
      <c r="H31" s="1185"/>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row>
    <row r="32" spans="1:40" s="34" customFormat="1" ht="12" customHeight="1" x14ac:dyDescent="0.25">
      <c r="B32" s="1115" t="s">
        <v>7022</v>
      </c>
      <c r="C32" s="1116" t="s">
        <v>7023</v>
      </c>
      <c r="D32" s="39"/>
      <c r="E32" s="1118" t="s">
        <v>7382</v>
      </c>
      <c r="F32" s="379">
        <f>10*(COUNTIF('4 Ope'!C256:C258, "=1"))/MAX(1,(3 -(COUNTIF('4 Ope'!C256:C258, "X"))))</f>
        <v>0</v>
      </c>
      <c r="G32" s="1184"/>
      <c r="H32" s="1185"/>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row>
    <row r="33" spans="1:71" s="34" customFormat="1" ht="12" customHeight="1" x14ac:dyDescent="0.25">
      <c r="B33" s="1115" t="s">
        <v>6955</v>
      </c>
      <c r="C33" s="1116" t="s">
        <v>7024</v>
      </c>
      <c r="D33" s="39"/>
      <c r="E33" s="1118" t="s">
        <v>7391</v>
      </c>
      <c r="F33" s="379">
        <f>10*(COUNTIF('1 Org'!C128:C129, "=1")+ COUNTIF('5 App'!C104:C105, "=1"))/MAX(1,(4 -(COUNTIF('1 Org'!C128:C129, "X")+ COUNTIF('5 App'!C104:C105, "X"))))</f>
        <v>0</v>
      </c>
      <c r="G33" s="1184"/>
      <c r="H33" s="1185"/>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row>
    <row r="34" spans="1:71" s="34" customFormat="1" ht="12" customHeight="1" x14ac:dyDescent="0.25">
      <c r="B34" s="1115" t="s">
        <v>7025</v>
      </c>
      <c r="C34" s="1116" t="s">
        <v>7026</v>
      </c>
      <c r="D34" s="39"/>
      <c r="E34" s="1118" t="s">
        <v>7392</v>
      </c>
      <c r="F34" s="693">
        <f>10*(COUNTIF('1 Org'!C116:C117, "=1"))/MAX(1,(2 -(COUNTIF('1 Org'!C116:C117, "X"))))</f>
        <v>0</v>
      </c>
      <c r="G34" s="1184"/>
      <c r="H34" s="1185"/>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row>
    <row r="35" spans="1:71" s="34" customFormat="1" ht="12" customHeight="1" x14ac:dyDescent="0.25">
      <c r="B35" s="1115" t="s">
        <v>7027</v>
      </c>
      <c r="C35" s="1116" t="s">
        <v>7028</v>
      </c>
      <c r="D35" s="39"/>
      <c r="E35" s="1118" t="s">
        <v>7029</v>
      </c>
      <c r="F35" s="379">
        <f>10*(COUNTIF('8 Cex'!C5:C6, "=1")+ COUNTIF('8 Cex'!C10, "=1"))/MAX(1,(3 -(COUNTIF('8 Cex'!C5:C6, "X")+ COUNTIF('8 Cex'!C10, "X"))))</f>
        <v>0</v>
      </c>
      <c r="G35" s="1184"/>
      <c r="H35" s="1185"/>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row>
    <row r="36" spans="1:71" s="34" customFormat="1" ht="12" customHeight="1" x14ac:dyDescent="0.25">
      <c r="B36" s="1115" t="s">
        <v>7030</v>
      </c>
      <c r="C36" s="1116" t="s">
        <v>48</v>
      </c>
      <c r="D36" s="39"/>
      <c r="E36" s="1118" t="s">
        <v>1574</v>
      </c>
      <c r="F36" s="379">
        <f>10*(COUNTIF('8 Cex'!C7, "=1"))/MAX(1,(1 -(COUNTIF('8 Cex'!C7, "X"))))</f>
        <v>0</v>
      </c>
      <c r="G36" s="1184"/>
      <c r="H36" s="1185"/>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row>
    <row r="37" spans="1:71" s="34" customFormat="1" ht="12" customHeight="1" x14ac:dyDescent="0.25">
      <c r="B37" s="1115" t="s">
        <v>7031</v>
      </c>
      <c r="C37" s="1116" t="s">
        <v>801</v>
      </c>
      <c r="D37" s="39"/>
      <c r="E37" s="1118" t="s">
        <v>1576</v>
      </c>
      <c r="F37" s="379">
        <f>10*(COUNTIF('8 Cex'!C8, "=1"))/MAX(1,(1 -(COUNTIF('8 Cex'!C8, "X"))))</f>
        <v>0</v>
      </c>
      <c r="G37" s="1184"/>
      <c r="H37" s="1185"/>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row>
    <row r="38" spans="1:71" s="34" customFormat="1" ht="12" customHeight="1" x14ac:dyDescent="0.25">
      <c r="B38" s="1115" t="s">
        <v>7032</v>
      </c>
      <c r="C38" s="1116" t="s">
        <v>7033</v>
      </c>
      <c r="D38" s="39"/>
      <c r="E38" s="1118" t="s">
        <v>4542</v>
      </c>
      <c r="F38" s="379">
        <f>10*(COUNTIF('8 Cex'!C9, "=1"))/MAX(1,(1 -(COUNTIF('8 Cex'!C9, "X"))))</f>
        <v>0</v>
      </c>
      <c r="G38" s="1184"/>
      <c r="H38" s="1185"/>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row>
    <row r="39" spans="1:71" s="34" customFormat="1" ht="12" customHeight="1" x14ac:dyDescent="0.25">
      <c r="B39" s="1115" t="s">
        <v>7034</v>
      </c>
      <c r="C39" s="1116" t="s">
        <v>83</v>
      </c>
      <c r="D39" s="39"/>
      <c r="E39" s="1118" t="s">
        <v>7035</v>
      </c>
      <c r="F39" s="379">
        <f>10*(COUNTIF('8 Cex'!C54:C57, "=1"))/MAX(1,(4 -(COUNTIF('8 Cex'!C54:C57, "X"))))</f>
        <v>0</v>
      </c>
      <c r="G39" s="1184"/>
      <c r="H39" s="1185"/>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row>
    <row r="40" spans="1:71" s="34" customFormat="1" ht="12" customHeight="1" x14ac:dyDescent="0.25">
      <c r="B40" s="1115" t="s">
        <v>7036</v>
      </c>
      <c r="C40" s="1116" t="s">
        <v>7037</v>
      </c>
      <c r="D40" s="39"/>
      <c r="E40" s="1118" t="s">
        <v>7038</v>
      </c>
      <c r="F40" s="379">
        <f>10*(COUNTIF('8 Cex'!C59:C60, "=1"))/MAX(1,(2 -(COUNTIF('8 Cex'!C59:C60, "X"))))</f>
        <v>0</v>
      </c>
      <c r="G40" s="1184"/>
      <c r="H40" s="1185"/>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row>
    <row r="41" spans="1:71" s="34" customFormat="1" ht="12" customHeight="1" x14ac:dyDescent="0.25">
      <c r="B41" s="1115" t="s">
        <v>7039</v>
      </c>
      <c r="C41" s="1116" t="s">
        <v>7040</v>
      </c>
      <c r="D41" s="39"/>
      <c r="E41" s="1118" t="s">
        <v>7366</v>
      </c>
      <c r="F41" s="379">
        <f>10*(COUNTIF('4 Ope'!C5:C7, "=1"))/MAX(1,(3 -(COUNTIF('4 Ope'!C5:C7, "X"))))</f>
        <v>0</v>
      </c>
      <c r="G41" s="1184"/>
      <c r="H41" s="1185"/>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row>
    <row r="42" spans="1:71" s="34" customFormat="1" ht="15" customHeight="1" x14ac:dyDescent="0.25">
      <c r="A42" s="1112">
        <v>6</v>
      </c>
      <c r="B42" s="1113" t="s">
        <v>7041</v>
      </c>
      <c r="C42" s="229"/>
      <c r="E42" s="1118"/>
      <c r="F42" s="379"/>
      <c r="G42" s="229"/>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row>
    <row r="43" spans="1:71" s="34" customFormat="1" ht="14.25" customHeight="1" x14ac:dyDescent="0.25">
      <c r="B43" s="1115" t="s">
        <v>82</v>
      </c>
      <c r="C43" s="229" t="s">
        <v>7042</v>
      </c>
      <c r="E43" s="1118" t="s">
        <v>7043</v>
      </c>
      <c r="F43" s="379">
        <f>10*(COUNTIF('1 Org'!C71:C74, "=1"))/MAX(1,(4 -(COUNTIF('1 Org'!C71:C74, "X"))))</f>
        <v>0</v>
      </c>
      <c r="G43" s="229"/>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row>
    <row r="44" spans="1:71" ht="12" customHeight="1" x14ac:dyDescent="0.25">
      <c r="A44" s="34"/>
      <c r="B44" s="1115" t="s">
        <v>84</v>
      </c>
      <c r="C44" s="229" t="s">
        <v>7044</v>
      </c>
      <c r="D44" s="34"/>
      <c r="E44" s="1118" t="s">
        <v>7045</v>
      </c>
      <c r="F44" s="378">
        <f>10*(COUNTIF('1 Org'!C75:C77, "=1"))/MAX(1,(3 -(COUNTIF('1 Org'!C75:C77, "X"))))</f>
        <v>0</v>
      </c>
      <c r="H44" s="234"/>
      <c r="BS44" s="50">
        <f>IF(INDEX(Tab_actions,17,1)=1,INDEX(Tab_actions,17,4),0)</f>
        <v>0</v>
      </c>
    </row>
    <row r="45" spans="1:71" ht="12" customHeight="1" x14ac:dyDescent="0.25">
      <c r="A45" s="34"/>
      <c r="B45" s="1115" t="s">
        <v>6925</v>
      </c>
      <c r="C45" s="229" t="s">
        <v>7046</v>
      </c>
      <c r="D45" s="34"/>
      <c r="E45" s="1118" t="s">
        <v>7047</v>
      </c>
      <c r="F45" s="378">
        <f>10*(COUNTIF('1 Org'!C82:C84, "=1"))/MAX(1,(3 -(COUNTIF('1 Org'!C82:C84, "X"))))</f>
        <v>0</v>
      </c>
      <c r="H45" s="234"/>
      <c r="BS45" s="50">
        <f>IF(INDEX(Tab_actions,17,1)=1,INDEX(Tab_actions,17,4),0)</f>
        <v>0</v>
      </c>
    </row>
    <row r="46" spans="1:71" s="229" customFormat="1" ht="12" customHeight="1" x14ac:dyDescent="0.25">
      <c r="A46" s="34"/>
      <c r="B46" s="1115" t="s">
        <v>6929</v>
      </c>
      <c r="C46" s="229" t="s">
        <v>2115</v>
      </c>
      <c r="D46" s="34"/>
      <c r="E46" s="1118" t="s">
        <v>7048</v>
      </c>
      <c r="F46" s="378">
        <f>10*(COUNTIF('1 Org'!C86:C88, "=1"))/MAX(1,(3 -(COUNTIF('1 Org'!C86:C88, "X"))))</f>
        <v>0</v>
      </c>
      <c r="H46" s="234"/>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row>
    <row r="47" spans="1:71" s="229" customFormat="1" ht="12" customHeight="1" x14ac:dyDescent="0.25">
      <c r="A47" s="34"/>
      <c r="B47" s="1115" t="s">
        <v>6935</v>
      </c>
      <c r="C47" s="229" t="s">
        <v>7049</v>
      </c>
      <c r="D47" s="34"/>
      <c r="E47" s="1118" t="s">
        <v>2116</v>
      </c>
      <c r="F47" s="378">
        <f>10*(COUNTIF('1 Org'!C90:C92, "=1"))/MAX(1,(3 -(COUNTIF('1 Org'!C90:C92, "X"))))</f>
        <v>0</v>
      </c>
      <c r="H47" s="234"/>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row>
    <row r="48" spans="1:71" s="229" customFormat="1" ht="12" customHeight="1" x14ac:dyDescent="0.25">
      <c r="A48" s="34"/>
      <c r="B48" s="1115" t="s">
        <v>6910</v>
      </c>
      <c r="C48" s="229" t="s">
        <v>1452</v>
      </c>
      <c r="D48" s="34"/>
      <c r="E48" s="1118" t="s">
        <v>7216</v>
      </c>
      <c r="F48" s="378">
        <f>10*(COUNTIF('1 Org'!C67:C68, "=1"))/MAX(1,(2 -(COUNTIF('1 Org'!C67:C68, "X"))))</f>
        <v>0</v>
      </c>
      <c r="H48" s="234"/>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row>
    <row r="49" spans="1:71" s="229" customFormat="1" ht="12" customHeight="1" x14ac:dyDescent="0.25">
      <c r="A49" s="34"/>
      <c r="B49" s="1115" t="s">
        <v>6883</v>
      </c>
      <c r="C49" s="229" t="s">
        <v>7050</v>
      </c>
      <c r="D49" s="34"/>
      <c r="E49" s="1118" t="s">
        <v>7051</v>
      </c>
      <c r="F49" s="378">
        <f>10*(COUNTIF('1 Org'!C41:C43, "=1"))/MAX(1,(3 -(COUNTIF('1 Org'!C41:C43, "X"))))</f>
        <v>3.3333333333333335</v>
      </c>
      <c r="H49" s="234"/>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row>
    <row r="50" spans="1:71" s="229" customFormat="1" ht="12" customHeight="1" x14ac:dyDescent="0.25">
      <c r="A50" s="34"/>
      <c r="B50" s="1115" t="s">
        <v>7052</v>
      </c>
      <c r="C50" s="229" t="s">
        <v>7053</v>
      </c>
      <c r="D50" s="50"/>
      <c r="E50" s="1118" t="s">
        <v>7386</v>
      </c>
      <c r="F50" s="378">
        <f>10*(COUNTIF('4 Ope'!C247:C248, "=1"))/MAX(1,(2 -(COUNTIF('4 Ope'!C247:C248, "X"))))</f>
        <v>0</v>
      </c>
      <c r="J50" s="234"/>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row>
    <row r="51" spans="1:71" s="229" customFormat="1" ht="12" customHeight="1" x14ac:dyDescent="0.25">
      <c r="A51" s="1112">
        <v>7</v>
      </c>
      <c r="B51" s="1113" t="s">
        <v>7054</v>
      </c>
      <c r="D51" s="34"/>
      <c r="E51" s="1118"/>
      <c r="F51" s="378"/>
      <c r="H51" s="234"/>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row>
    <row r="52" spans="1:71" s="229" customFormat="1" ht="12" customHeight="1" x14ac:dyDescent="0.25">
      <c r="A52" s="34"/>
      <c r="B52" s="1115" t="s">
        <v>85</v>
      </c>
      <c r="C52" s="229" t="s">
        <v>7055</v>
      </c>
      <c r="E52" s="1118" t="s">
        <v>7056</v>
      </c>
      <c r="F52" s="378">
        <f>10*(COUNTIF('2 Phy'!C5:C7, "=1"))/MAX(1,(3 -(COUNTIF('2 Phy'!C5:C7, "X"))))</f>
        <v>0</v>
      </c>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row>
    <row r="53" spans="1:71" s="229" customFormat="1" ht="12" customHeight="1" x14ac:dyDescent="0.25">
      <c r="A53" s="34"/>
      <c r="B53" s="1115" t="s">
        <v>7057</v>
      </c>
      <c r="C53" s="229" t="s">
        <v>7058</v>
      </c>
      <c r="E53" s="1118" t="s">
        <v>7059</v>
      </c>
      <c r="F53" s="378">
        <f>10*(COUNTIF('2 Phy'!C9:C10, "=1")+ COUNTIF('2 Phy'!C136:C137, "=1"))/MAX(1,(4 -(COUNTIF('2 Phy'!C9:C10, "X")+ COUNTIF('2 Phy'!C136:C137, "X"))))</f>
        <v>0</v>
      </c>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row>
    <row r="54" spans="1:71" s="229" customFormat="1" ht="12" customHeight="1" x14ac:dyDescent="0.25">
      <c r="A54" s="34"/>
      <c r="B54" s="1115" t="s">
        <v>685</v>
      </c>
      <c r="C54" s="229" t="s">
        <v>7060</v>
      </c>
      <c r="E54" s="1118" t="s">
        <v>7061</v>
      </c>
      <c r="F54" s="378">
        <f>10*(COUNTIF('2 Phy'!C52:C53, "=1"))/MAX(1,(2 -(COUNTIF('2 Phy'!C52:C53, "X"))))</f>
        <v>0</v>
      </c>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row>
    <row r="55" spans="1:71" s="229" customFormat="1" ht="12" customHeight="1" x14ac:dyDescent="0.25">
      <c r="A55" s="34"/>
      <c r="B55" s="1115" t="s">
        <v>7062</v>
      </c>
      <c r="C55" s="229" t="s">
        <v>7063</v>
      </c>
      <c r="E55" s="1118" t="s">
        <v>7064</v>
      </c>
      <c r="F55" s="378">
        <f>10*(COUNTIF('2 Phy'!C58:C59, "=1"))/MAX(1,(2 -(COUNTIF('2 Phy'!C58:C59, "X"))))</f>
        <v>0</v>
      </c>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row>
    <row r="56" spans="1:71" s="229" customFormat="1" ht="12" customHeight="1" x14ac:dyDescent="0.25">
      <c r="A56" s="34"/>
      <c r="B56" s="1115" t="s">
        <v>7065</v>
      </c>
      <c r="C56" s="229" t="s">
        <v>7066</v>
      </c>
      <c r="E56" s="1118" t="s">
        <v>7067</v>
      </c>
      <c r="F56" s="378">
        <f>10*(COUNTIF('2 Phy'!C12:C13, "=1"))/MAX(1,(2 -(COUNTIF('2 Phy'!C12:C13, "X"))))</f>
        <v>0</v>
      </c>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row>
    <row r="57" spans="1:71" s="229" customFormat="1" ht="12" customHeight="1" x14ac:dyDescent="0.25">
      <c r="A57" s="34"/>
      <c r="B57" s="1115" t="s">
        <v>7068</v>
      </c>
      <c r="C57" s="229" t="s">
        <v>7069</v>
      </c>
      <c r="E57" s="1118" t="s">
        <v>7070</v>
      </c>
      <c r="F57" s="378">
        <f>10*(COUNTIF('2 Phy'!C55:C56, "=1"))/MAX(1,(2 -(COUNTIF('2 Phy'!C55:C56, "X"))))</f>
        <v>0</v>
      </c>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row>
    <row r="58" spans="1:71" s="229" customFormat="1" ht="12" customHeight="1" x14ac:dyDescent="0.25">
      <c r="A58" s="34"/>
      <c r="B58" s="1115" t="s">
        <v>7071</v>
      </c>
      <c r="C58" s="229" t="s">
        <v>7072</v>
      </c>
      <c r="E58" s="1118" t="s">
        <v>7073</v>
      </c>
      <c r="F58" s="378">
        <f>10*(COUNTIF('2 Phy'!C168:C169, "=1"))/MAX(1,(2 -(COUNTIF('2 Phy'!C168:C169, "X"))))</f>
        <v>0</v>
      </c>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row>
    <row r="59" spans="1:71" s="229" customFormat="1" ht="12" customHeight="1" x14ac:dyDescent="0.25">
      <c r="A59" s="34"/>
      <c r="B59" s="1115" t="s">
        <v>7074</v>
      </c>
      <c r="C59" s="229" t="s">
        <v>7075</v>
      </c>
      <c r="E59" s="1118" t="s">
        <v>7076</v>
      </c>
      <c r="F59" s="378">
        <f>10*(COUNTIF('2 Phy'!C62:C63, "=1"))/MAX(1,(2 -(COUNTIF('2 Phy'!C62:C63, "X"))))</f>
        <v>0</v>
      </c>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row>
    <row r="60" spans="1:71" s="229" customFormat="1" ht="12" customHeight="1" x14ac:dyDescent="0.25">
      <c r="A60" s="34"/>
      <c r="B60" s="1115" t="s">
        <v>7077</v>
      </c>
      <c r="C60" s="229" t="s">
        <v>7078</v>
      </c>
      <c r="E60" s="1118" t="s">
        <v>1769</v>
      </c>
      <c r="F60" s="378">
        <f>10*(COUNTIF('2 Phy'!C86:C87, "=1"))/MAX(1,(2 -(COUNTIF('2 Phy'!C86:C87, "X"))))</f>
        <v>0</v>
      </c>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row>
    <row r="61" spans="1:71" s="229" customFormat="1" ht="12" customHeight="1" x14ac:dyDescent="0.25">
      <c r="A61" s="34"/>
      <c r="B61" s="1115" t="s">
        <v>7079</v>
      </c>
      <c r="C61" s="229" t="s">
        <v>7080</v>
      </c>
      <c r="E61" s="1118" t="s">
        <v>7385</v>
      </c>
      <c r="F61" s="378">
        <f>10*(COUNTIF('2 Phy'!C89:C90, "=1")+ COUNTIF('4 Ope'!C281, "=1")+ COUNTIF('4 Ope'!C285, "=1")+ COUNTIF('4 Ope'!C287, "=1")+ COUNTIF('4 Ope'!C291, "=1"))/MAX(1,(6 -(COUNTIF('2 Phy'!C89:C90, "X")+ COUNTIF('4 Ope'!C281, "X")+ COUNTIF('4 Ope'!C285, "X")+ COUNTIF('4 Ope'!C287, "X")+ COUNTIF('4 Ope'!C291, "X"))))</f>
        <v>0</v>
      </c>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row>
    <row r="62" spans="1:71" s="229" customFormat="1" ht="12" customHeight="1" x14ac:dyDescent="0.25">
      <c r="A62" s="34"/>
      <c r="B62" s="1115" t="s">
        <v>7082</v>
      </c>
      <c r="C62" s="229" t="s">
        <v>7083</v>
      </c>
      <c r="E62" s="1118" t="s">
        <v>7081</v>
      </c>
      <c r="F62" s="378">
        <f>10*(COUNTIF('2 Phy'!C92:C93, "=1"))/MAX(1,(2 -(COUNTIF('2 Phy'!C92:C93, "X"))))</f>
        <v>0</v>
      </c>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row>
    <row r="63" spans="1:71" ht="12" customHeight="1" x14ac:dyDescent="0.25">
      <c r="A63" s="34"/>
      <c r="B63" s="1115" t="s">
        <v>7084</v>
      </c>
      <c r="C63" s="229" t="s">
        <v>127</v>
      </c>
      <c r="D63" s="229"/>
      <c r="E63" s="1118" t="s">
        <v>7085</v>
      </c>
      <c r="F63" s="378">
        <f>10*(COUNTIF('2 Phy'!C77:C78, "=1"))/MAX(1,(2 -(COUNTIF('2 Phy'!C77:C78, "X"))))</f>
        <v>0</v>
      </c>
    </row>
    <row r="64" spans="1:71" ht="12.6" customHeight="1" x14ac:dyDescent="0.25">
      <c r="A64" s="34"/>
      <c r="B64" s="1115" t="s">
        <v>7086</v>
      </c>
      <c r="C64" s="229" t="s">
        <v>7087</v>
      </c>
      <c r="D64" s="229"/>
      <c r="E64" s="1118" t="s">
        <v>7378</v>
      </c>
      <c r="F64" s="378">
        <f>10*(COUNTIF('2 Phy'!C95:C96, "=1")+ COUNTIF('4 Ope'!C158:C159, "=1"))/MAX(1,(4 -(COUNTIF('2 Phy'!C95:C96, "X")+ COUNTIF('4 Ope'!C158:C159, "X"))))</f>
        <v>0</v>
      </c>
    </row>
    <row r="65" spans="1:40" ht="12" customHeight="1" x14ac:dyDescent="0.25">
      <c r="A65" s="34"/>
      <c r="B65" s="1115" t="s">
        <v>7088</v>
      </c>
      <c r="C65" s="229" t="s">
        <v>7089</v>
      </c>
      <c r="D65" s="229"/>
      <c r="E65" s="1118" t="s">
        <v>7374</v>
      </c>
      <c r="F65" s="378">
        <f>10*(COUNTIF('2 Phy'!C98:C99, "=1")+ COUNTIF('4 Ope'!C79:C80, "=1"))/MAX(1,(4 -(COUNTIF('2 Phy'!C98:C99, "X")+ COUNTIF('4 Ope'!C79:C80, "X"))))</f>
        <v>0</v>
      </c>
    </row>
    <row r="66" spans="1:40" s="34" customFormat="1" ht="11.25" customHeight="1" x14ac:dyDescent="0.25">
      <c r="A66" s="1112">
        <v>8</v>
      </c>
      <c r="B66" s="1113" t="s">
        <v>7090</v>
      </c>
      <c r="C66" s="229"/>
      <c r="D66" s="229"/>
      <c r="E66" s="1118"/>
      <c r="F66" s="379"/>
      <c r="G66" s="229"/>
      <c r="H66" s="229"/>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row>
    <row r="67" spans="1:40" s="34" customFormat="1" ht="12.75" customHeight="1" x14ac:dyDescent="0.25">
      <c r="B67" s="1119" t="s">
        <v>86</v>
      </c>
      <c r="C67" s="229" t="s">
        <v>6912</v>
      </c>
      <c r="D67" s="229"/>
      <c r="E67" s="1118" t="s">
        <v>7091</v>
      </c>
      <c r="F67" s="379">
        <f>10*(COUNTIF('1 Org'!C63:C65, "=1"))/MAX(1,(3 -(COUNTIF('1 Org'!C63:C65, "X"))))</f>
        <v>0</v>
      </c>
      <c r="G67" s="229"/>
      <c r="H67" s="229"/>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row>
    <row r="68" spans="1:40" s="34" customFormat="1" ht="12" customHeight="1" x14ac:dyDescent="0.25">
      <c r="B68" s="1119" t="s">
        <v>87</v>
      </c>
      <c r="C68" s="229" t="s">
        <v>7092</v>
      </c>
      <c r="D68" s="50"/>
      <c r="E68" s="1118" t="s">
        <v>7441</v>
      </c>
      <c r="F68" s="379">
        <f>10*(COUNTIF('3 Sys'!C65:C68, "=1"))/MAX(1,(4 -(COUNTIF('3 Sys'!C65:C68, "X"))))</f>
        <v>0</v>
      </c>
      <c r="G68" s="229"/>
      <c r="H68" s="229"/>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row>
    <row r="69" spans="1:40" s="34" customFormat="1" ht="12" customHeight="1" x14ac:dyDescent="0.25">
      <c r="B69" s="1119" t="s">
        <v>126</v>
      </c>
      <c r="C69" s="229" t="s">
        <v>7093</v>
      </c>
      <c r="D69" s="50"/>
      <c r="E69" s="1118" t="s">
        <v>7094</v>
      </c>
      <c r="F69" s="379">
        <f>10*(COUNTIF('3 Sys'!C8:C9, "=1"))/MAX(1,(2 -(COUNTIF('3 Sys'!C8:C9, "X"))))</f>
        <v>0</v>
      </c>
      <c r="G69" s="229"/>
      <c r="H69" s="229"/>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row>
    <row r="70" spans="1:40" s="34" customFormat="1" ht="12" customHeight="1" x14ac:dyDescent="0.25">
      <c r="B70" s="1119" t="s">
        <v>7095</v>
      </c>
      <c r="C70" s="229" t="s">
        <v>7096</v>
      </c>
      <c r="D70" s="50"/>
      <c r="E70" s="1118" t="s">
        <v>7377</v>
      </c>
      <c r="F70" s="379">
        <f>10*(COUNTIF('4 Ope'!C127, "=1")+ COUNTIF('4 Ope'!C134, "=1"))/MAX(1,(2 -(COUNTIF('4 Ope'!C127, "X")+ COUNTIF('4 Ope'!C134, "X"))))</f>
        <v>0</v>
      </c>
      <c r="G70" s="229"/>
      <c r="H70" s="229"/>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row>
    <row r="71" spans="1:40" s="34" customFormat="1" ht="12" customHeight="1" x14ac:dyDescent="0.25">
      <c r="B71" s="1119" t="s">
        <v>7097</v>
      </c>
      <c r="C71" s="229" t="s">
        <v>7098</v>
      </c>
      <c r="E71" s="1118" t="s">
        <v>7099</v>
      </c>
      <c r="F71" s="379">
        <f>10*(COUNTIF('3 Sys'!C36:C38, "=1"))/MAX(1,(3 -(COUNTIF('3 Sys'!C36:C38, "X"))))</f>
        <v>0</v>
      </c>
      <c r="G71" s="229"/>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row>
    <row r="72" spans="1:40" s="34" customFormat="1" ht="12" customHeight="1" x14ac:dyDescent="0.25">
      <c r="B72" s="1119" t="s">
        <v>7100</v>
      </c>
      <c r="C72" s="229" t="s">
        <v>7101</v>
      </c>
      <c r="E72" s="1118" t="s">
        <v>7368</v>
      </c>
      <c r="F72" s="379">
        <f>10*(COUNTIF('4 Ope'!C10:C11, "=1"))/MAX(1,(2 -(COUNTIF('4 Ope'!C10:C11, "X"))))</f>
        <v>0</v>
      </c>
      <c r="G72" s="229"/>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row>
    <row r="73" spans="1:40" s="34" customFormat="1" ht="12" customHeight="1" x14ac:dyDescent="0.25">
      <c r="B73" s="1119" t="s">
        <v>7102</v>
      </c>
      <c r="C73" s="229" t="s">
        <v>7103</v>
      </c>
      <c r="E73" s="1118" t="s">
        <v>7370</v>
      </c>
      <c r="F73" s="379">
        <f>10*(COUNTIF('4 Ope'!C15:C16, "=1")+ COUNTIF('4 Ope'!C23, "=1"))/MAX(1,(3 -(COUNTIF('4 Ope'!C15:C16, "X")+ COUNTIF('4 Ope'!C23, "X"))))</f>
        <v>0</v>
      </c>
      <c r="G73" s="229"/>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row>
    <row r="74" spans="1:40" s="34" customFormat="1" ht="12" customHeight="1" x14ac:dyDescent="0.25">
      <c r="B74" s="1119" t="s">
        <v>7104</v>
      </c>
      <c r="C74" s="229" t="s">
        <v>47</v>
      </c>
      <c r="E74" s="1118" t="s">
        <v>7372</v>
      </c>
      <c r="F74" s="379">
        <f>10*(COUNTIF('4 Ope'!C71:C73, "=1"))/MAX(1,(3 -(COUNTIF('4 Ope'!C71:C73, "X"))))</f>
        <v>0</v>
      </c>
      <c r="G74" s="229"/>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row>
    <row r="75" spans="1:40" s="34" customFormat="1" ht="12" customHeight="1" x14ac:dyDescent="0.25">
      <c r="B75" s="1119" t="s">
        <v>7105</v>
      </c>
      <c r="C75" s="229" t="s">
        <v>7106</v>
      </c>
      <c r="E75" s="1118" t="s">
        <v>7412</v>
      </c>
      <c r="F75" s="379">
        <f>10*(COUNTIF('1 Org'!C10:C12, "=1"))/MAX(1,(3 -(COUNTIF('1 Org'!C10:C12, "X"))))</f>
        <v>0</v>
      </c>
      <c r="G75" s="229"/>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row>
    <row r="76" spans="1:40" s="34" customFormat="1" ht="12" customHeight="1" x14ac:dyDescent="0.25">
      <c r="B76" s="1119" t="s">
        <v>7107</v>
      </c>
      <c r="C76" s="229" t="s">
        <v>7108</v>
      </c>
      <c r="E76" s="1118" t="s">
        <v>7429</v>
      </c>
      <c r="F76" s="693">
        <f>10*(COUNTIF('4 Ope'!C150:C152, "=1"))/MAX(1,(3 -(COUNTIF('4 Ope'!C150:C152, "X"))))</f>
        <v>0</v>
      </c>
      <c r="G76" s="229"/>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row>
    <row r="77" spans="1:40" s="34" customFormat="1" ht="12" customHeight="1" x14ac:dyDescent="0.25">
      <c r="B77" s="1119" t="s">
        <v>7109</v>
      </c>
      <c r="C77" s="229" t="s">
        <v>7110</v>
      </c>
      <c r="E77" s="1118" t="s">
        <v>7413</v>
      </c>
      <c r="F77" s="693">
        <f>10*(COUNTIF('1 Org'!C13:C15, "=1"))/MAX(1,(3 -(COUNTIF('1 Org'!C13:C15, "X"))))</f>
        <v>0</v>
      </c>
      <c r="G77" s="229"/>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row>
    <row r="78" spans="1:40" s="34" customFormat="1" ht="12" customHeight="1" x14ac:dyDescent="0.25">
      <c r="B78" s="1119" t="s">
        <v>7111</v>
      </c>
      <c r="C78" s="229" t="s">
        <v>7112</v>
      </c>
      <c r="E78" s="1118" t="s">
        <v>7414</v>
      </c>
      <c r="F78" s="693">
        <f>10*(COUNTIF('1 Org'!C16:C18, "=1"))/MAX(1,(3 -(COUNTIF('1 Org'!C16:C18, "X"))))</f>
        <v>0</v>
      </c>
      <c r="G78" s="229"/>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row>
    <row r="79" spans="1:40" s="34" customFormat="1" ht="12" customHeight="1" x14ac:dyDescent="0.25">
      <c r="B79" s="1119" t="s">
        <v>7113</v>
      </c>
      <c r="C79" s="229" t="s">
        <v>7114</v>
      </c>
      <c r="E79" s="1118" t="s">
        <v>7440</v>
      </c>
      <c r="F79" s="379">
        <f>10*(COUNTIF('4 Ope'!C25, "=1")+ COUNTIF('4 Ope'!C40, "=1"))/MAX(1,(2 -(COUNTIF('4 Ope'!C25, "X")+ COUNTIF('4 Ope'!C40, "X"))))</f>
        <v>5</v>
      </c>
      <c r="G79" s="229"/>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row>
    <row r="80" spans="1:40" s="34" customFormat="1" ht="12" customHeight="1" x14ac:dyDescent="0.25">
      <c r="B80" s="1119" t="s">
        <v>7115</v>
      </c>
      <c r="C80" s="229" t="s">
        <v>7116</v>
      </c>
      <c r="E80" s="1118" t="s">
        <v>7117</v>
      </c>
      <c r="F80" s="379">
        <f>10*(COUNTIF('3 Sys'!C101:C104, "=1"))/MAX(1,(4 -(COUNTIF('3 Sys'!C101:C104, "X"))))</f>
        <v>0</v>
      </c>
      <c r="G80" s="229"/>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row>
    <row r="81" spans="1:71" s="34" customFormat="1" ht="12" customHeight="1" x14ac:dyDescent="0.25">
      <c r="B81" s="1119" t="s">
        <v>7118</v>
      </c>
      <c r="C81" s="229" t="s">
        <v>7119</v>
      </c>
      <c r="E81" s="1118" t="s">
        <v>7375</v>
      </c>
      <c r="F81" s="379">
        <f>10*(COUNTIF('4 Ope'!C98:C99, "=1")+ COUNTIF('4 Ope'!C106, "=1"))/MAX(1,(3 -(COUNTIF('4 Ope'!C98:C99, "X")+ COUNTIF('4 Ope'!C106, "X"))))</f>
        <v>0</v>
      </c>
      <c r="G81" s="229"/>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row>
    <row r="82" spans="1:71" s="34" customFormat="1" ht="13.95" customHeight="1" x14ac:dyDescent="0.25">
      <c r="B82" s="1119" t="s">
        <v>7120</v>
      </c>
      <c r="C82" s="229" t="s">
        <v>7121</v>
      </c>
      <c r="E82" s="1118" t="s">
        <v>7446</v>
      </c>
      <c r="F82" s="379">
        <f>10*(COUNTIF('4 Ope'!C88:C89, "=1")+ COUNTIF('4 Ope'!C96, "=1"))/MAX(1,(3 -(COUNTIF('4 Ope'!C88:C89, "X")+ COUNTIF('4 Ope'!C96, "X"))))</f>
        <v>0</v>
      </c>
      <c r="G82" s="229"/>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row>
    <row r="83" spans="1:71" s="34" customFormat="1" ht="12" customHeight="1" x14ac:dyDescent="0.25">
      <c r="B83" s="1119" t="s">
        <v>7122</v>
      </c>
      <c r="C83" s="229" t="s">
        <v>6</v>
      </c>
      <c r="E83" s="1118" t="s">
        <v>2127</v>
      </c>
      <c r="F83" s="379">
        <f>10*(COUNTIF('4 Ope'!C109, "=1"))/MAX(1,(1 -(COUNTIF('4 Ope'!C109, "X"))))</f>
        <v>0</v>
      </c>
      <c r="G83" s="229"/>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BS83" s="34">
        <f>IF(INDEX(Tab_actions,70,1)=1,INDEX(Tab_actions,70,8),0)</f>
        <v>0</v>
      </c>
    </row>
    <row r="84" spans="1:71" s="34" customFormat="1" ht="12" customHeight="1" x14ac:dyDescent="0.25">
      <c r="B84" s="1119" t="s">
        <v>7123</v>
      </c>
      <c r="C84" s="229" t="s">
        <v>7124</v>
      </c>
      <c r="E84" s="1118" t="s">
        <v>7376</v>
      </c>
      <c r="F84" s="379">
        <f>10*(COUNTIF('4 Ope'!C123:C125, "=1"))/MAX(1,(3 -(COUNTIF('4 Ope'!C123:C125, "X"))))</f>
        <v>0</v>
      </c>
      <c r="G84" s="229"/>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row>
    <row r="85" spans="1:71" s="34" customFormat="1" ht="12" customHeight="1" x14ac:dyDescent="0.25">
      <c r="B85" s="1119" t="s">
        <v>7125</v>
      </c>
      <c r="C85" s="229" t="s">
        <v>7126</v>
      </c>
      <c r="E85" s="1118" t="s">
        <v>7371</v>
      </c>
      <c r="F85" s="379">
        <f>10*(COUNTIF('4 Ope'!C55, "=1")+ COUNTIF('4 Ope'!C69, "=1")+ COUNTIF('4 Ope'!C74, "=1"))/MAX(1,(3 -(COUNTIF('4 Ope'!C55, "X")+ COUNTIF('4 Ope'!C69, "X")+ COUNTIF('4 Ope'!C74, "X"))))</f>
        <v>0</v>
      </c>
      <c r="G85" s="229"/>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row>
    <row r="86" spans="1:71" s="34" customFormat="1" ht="12" customHeight="1" x14ac:dyDescent="0.25">
      <c r="B86" s="1119" t="s">
        <v>6887</v>
      </c>
      <c r="C86" s="34" t="s">
        <v>7127</v>
      </c>
      <c r="E86" s="1118" t="s">
        <v>7128</v>
      </c>
      <c r="F86" s="379">
        <f>10*(COUNTIF('1 Org'!C45:C46, "=1"))/MAX(1,(2 -(COUNTIF('1 Org'!C45:C46, "X"))))</f>
        <v>0</v>
      </c>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row>
    <row r="87" spans="1:71" s="34" customFormat="1" ht="12" customHeight="1" x14ac:dyDescent="0.25">
      <c r="B87" s="1119" t="s">
        <v>6891</v>
      </c>
      <c r="C87" s="229" t="s">
        <v>6889</v>
      </c>
      <c r="E87" s="1118" t="s">
        <v>2120</v>
      </c>
      <c r="F87" s="379">
        <f>10*(COUNTIF('1 Org'!C48:C50, "=1"))/MAX(1,(3 -(COUNTIF('1 Org'!C48:C50, "X"))))</f>
        <v>0</v>
      </c>
      <c r="G87" s="229"/>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row>
    <row r="88" spans="1:71" s="237" customFormat="1" ht="12" customHeight="1" x14ac:dyDescent="0.25">
      <c r="A88" s="34"/>
      <c r="B88" s="1119" t="s">
        <v>7129</v>
      </c>
      <c r="C88" s="229" t="s">
        <v>45</v>
      </c>
      <c r="D88" s="34"/>
      <c r="E88" s="1118" t="s">
        <v>7131</v>
      </c>
      <c r="F88" s="379">
        <f>10*(COUNTIF('1 Org'!C52:C54, "=1"))/MAX(1,(3 -(COUNTIF('1 Org'!C52:C54, "X"))))</f>
        <v>0</v>
      </c>
      <c r="G88" s="236"/>
      <c r="H88" s="234"/>
      <c r="I88" s="236"/>
      <c r="J88" s="234"/>
      <c r="K88" s="236"/>
      <c r="L88" s="236"/>
      <c r="M88" s="236"/>
      <c r="N88" s="236"/>
      <c r="O88" s="236"/>
      <c r="P88" s="236"/>
      <c r="Q88" s="236"/>
      <c r="R88" s="236"/>
      <c r="S88" s="236"/>
      <c r="T88" s="236"/>
      <c r="U88" s="236"/>
      <c r="V88" s="236"/>
      <c r="W88" s="236"/>
      <c r="X88" s="236"/>
      <c r="Y88" s="236"/>
      <c r="Z88" s="236"/>
      <c r="AA88" s="236"/>
      <c r="AB88" s="236"/>
      <c r="AC88" s="236"/>
      <c r="AD88" s="236"/>
      <c r="AE88" s="236"/>
      <c r="AF88" s="236"/>
      <c r="AG88" s="236"/>
      <c r="AH88" s="236"/>
      <c r="AI88" s="236"/>
      <c r="AJ88" s="236"/>
      <c r="AK88" s="236"/>
      <c r="AL88" s="236"/>
      <c r="AM88" s="236"/>
      <c r="AN88" s="236"/>
      <c r="BS88" s="237">
        <f>IF(INDEX(Tab_actions,17,1)=1,INDEX(Tab_actions,17,12),0)</f>
        <v>0</v>
      </c>
    </row>
    <row r="89" spans="1:71" s="237" customFormat="1" ht="12" customHeight="1" x14ac:dyDescent="0.25">
      <c r="A89" s="34"/>
      <c r="B89" s="1119" t="s">
        <v>6895</v>
      </c>
      <c r="C89" s="229" t="s">
        <v>7130</v>
      </c>
      <c r="D89" s="34"/>
      <c r="E89" s="1118" t="s">
        <v>7411</v>
      </c>
      <c r="F89" s="693">
        <f>10*(COUNTIF('3 Sys'!C96:C98, "=1"))/MAX(1,(3 -(COUNTIF('3 Sys'!C96:C98, "X"))))</f>
        <v>0</v>
      </c>
      <c r="H89" s="234"/>
      <c r="I89" s="236"/>
      <c r="J89" s="236"/>
      <c r="K89" s="236"/>
      <c r="L89" s="236"/>
      <c r="M89" s="236"/>
      <c r="N89" s="236"/>
      <c r="O89" s="236"/>
      <c r="P89" s="236"/>
      <c r="Q89" s="236"/>
      <c r="R89" s="236"/>
      <c r="S89" s="236"/>
      <c r="T89" s="236"/>
      <c r="U89" s="236"/>
      <c r="V89" s="236"/>
      <c r="W89" s="236"/>
      <c r="X89" s="236"/>
      <c r="Y89" s="236"/>
      <c r="Z89" s="236"/>
      <c r="AA89" s="236"/>
      <c r="AB89" s="236"/>
      <c r="AC89" s="236"/>
      <c r="AD89" s="236"/>
      <c r="AE89" s="236"/>
      <c r="AF89" s="236"/>
      <c r="AG89" s="236"/>
      <c r="AH89" s="236"/>
      <c r="AI89" s="236"/>
      <c r="AJ89" s="236"/>
      <c r="AK89" s="236"/>
      <c r="AL89" s="236"/>
      <c r="AM89" s="236"/>
      <c r="AN89" s="236"/>
    </row>
    <row r="90" spans="1:71" s="34" customFormat="1" ht="12" customHeight="1" x14ac:dyDescent="0.25">
      <c r="B90" s="1119" t="s">
        <v>6852</v>
      </c>
      <c r="C90" s="229" t="s">
        <v>7132</v>
      </c>
      <c r="E90" s="1118" t="s">
        <v>7133</v>
      </c>
      <c r="F90" s="379">
        <f>10*(COUNTIF('1 Org'!C20:C22, "=1"))/MAX(1,(3 -(COUNTIF('1 Org'!C20:C22, "X"))))</f>
        <v>0</v>
      </c>
      <c r="G90" s="229"/>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row>
    <row r="91" spans="1:71" s="34" customFormat="1" ht="12" customHeight="1" x14ac:dyDescent="0.25">
      <c r="B91" s="1119" t="s">
        <v>7134</v>
      </c>
      <c r="C91" s="229" t="s">
        <v>7135</v>
      </c>
      <c r="E91" s="1118" t="s">
        <v>7136</v>
      </c>
      <c r="F91" s="379">
        <f>10*(COUNTIF('7 Dev'!C22:C24, "=1"))/MAX(1,(3 -(COUNTIF('7 Dev'!C22:C24, "X"))))</f>
        <v>0</v>
      </c>
      <c r="G91" s="229"/>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row>
    <row r="92" spans="1:71" s="34" customFormat="1" ht="12" customHeight="1" x14ac:dyDescent="0.25">
      <c r="B92" s="1119" t="s">
        <v>7137</v>
      </c>
      <c r="C92" s="229" t="s">
        <v>7138</v>
      </c>
      <c r="E92" s="1118" t="s">
        <v>7139</v>
      </c>
      <c r="F92" s="379">
        <f>10*(COUNTIF('7 Dev'!C8:C9, "=1")+ COUNTIF('7 Dev'!C15:C16, "=1")+ COUNTIF('7 Dev'!C18:C19, "=1"))/MAX(1,(6 -(COUNTIF('7 Dev'!C8:C9, "X")+ COUNTIF('7 Dev'!C15:C16, "X")+ COUNTIF('7 Dev'!C18:C19, "X"))))</f>
        <v>0</v>
      </c>
      <c r="G92" s="229"/>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row>
    <row r="93" spans="1:71" s="34" customFormat="1" ht="12" customHeight="1" x14ac:dyDescent="0.25">
      <c r="B93" s="1119" t="s">
        <v>7140</v>
      </c>
      <c r="C93" s="229" t="s">
        <v>7141</v>
      </c>
      <c r="D93" s="237"/>
      <c r="E93" s="1118" t="s">
        <v>7419</v>
      </c>
      <c r="F93" s="693">
        <f>10*(COUNTIF('7 Dev'!C10:C11, "=1"))/MAX(1,(2 -(COUNTIF('7 Dev'!C10:C11, "X"))))</f>
        <v>0</v>
      </c>
      <c r="G93" s="229"/>
      <c r="H93" s="236"/>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row>
    <row r="94" spans="1:71" s="34" customFormat="1" ht="12" customHeight="1" x14ac:dyDescent="0.25">
      <c r="B94" s="1119" t="s">
        <v>7142</v>
      </c>
      <c r="C94" s="229" t="s">
        <v>7143</v>
      </c>
      <c r="D94" s="237"/>
      <c r="E94" s="1118" t="s">
        <v>7423</v>
      </c>
      <c r="F94" s="693">
        <f>10*(COUNTIF('7 Dev'!C12:C13, "=1"))/MAX(1,(2 -(COUNTIF('7 Dev'!C12:C13, "X"))))</f>
        <v>0</v>
      </c>
      <c r="G94" s="229"/>
      <c r="H94" s="236"/>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row>
    <row r="95" spans="1:71" s="34" customFormat="1" ht="12" customHeight="1" x14ac:dyDescent="0.25">
      <c r="B95" s="1119" t="s">
        <v>7144</v>
      </c>
      <c r="C95" s="229" t="s">
        <v>7145</v>
      </c>
      <c r="E95" s="1118" t="s">
        <v>7146</v>
      </c>
      <c r="F95" s="379">
        <f>10*(COUNTIF('7 Dev'!C50:C53, "=1"))/MAX(1,(4 -(COUNTIF('7 Dev'!C50:C53, "X"))))</f>
        <v>0</v>
      </c>
      <c r="G95" s="229"/>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row>
    <row r="96" spans="1:71" s="34" customFormat="1" ht="12" customHeight="1" x14ac:dyDescent="0.25">
      <c r="B96" s="1119" t="s">
        <v>7147</v>
      </c>
      <c r="C96" s="229" t="s">
        <v>789</v>
      </c>
      <c r="E96" s="1118" t="s">
        <v>7148</v>
      </c>
      <c r="F96" s="379">
        <f>10*(COUNTIF('7 Dev'!C46:C48, "=1"))/MAX(1,(3 -(COUNTIF('7 Dev'!C46:C48, "X"))))</f>
        <v>0</v>
      </c>
      <c r="G96" s="229"/>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row>
    <row r="97" spans="2:40" s="34" customFormat="1" ht="12" customHeight="1" x14ac:dyDescent="0.25">
      <c r="B97" s="1119" t="s">
        <v>7149</v>
      </c>
      <c r="C97" s="229" t="s">
        <v>7150</v>
      </c>
      <c r="E97" s="1118" t="s">
        <v>7369</v>
      </c>
      <c r="F97" s="379">
        <f>10*(COUNTIF('4 Ope'!C12:C13, "=1")+ COUNTIF('7 Dev'!C42:C44, "=1"))/MAX(1,(5 -(COUNTIF('4 Ope'!C12:C13, "X")+ COUNTIF('7 Dev'!C42:C44, "X"))))</f>
        <v>0</v>
      </c>
      <c r="G97" s="229"/>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row>
    <row r="98" spans="2:40" s="34" customFormat="1" ht="12" customHeight="1" x14ac:dyDescent="0.25">
      <c r="B98" s="1119" t="s">
        <v>7151</v>
      </c>
      <c r="C98" s="229" t="s">
        <v>291</v>
      </c>
      <c r="E98" s="1118" t="s">
        <v>7367</v>
      </c>
      <c r="F98" s="379">
        <f>10*(COUNTIF('4 Ope'!C8:C9, "=1")+ COUNTIF('7 Dev'!C26:C33, "=1"))/MAX(1,(10 -(COUNTIF('4 Ope'!C8:C9, "X")+ COUNTIF('7 Dev'!C26:C33, "X"))))</f>
        <v>0</v>
      </c>
      <c r="G98" s="229"/>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row>
    <row r="99" spans="2:40" s="34" customFormat="1" ht="13.2" customHeight="1" x14ac:dyDescent="0.25">
      <c r="B99" s="1119" t="s">
        <v>7152</v>
      </c>
      <c r="C99" s="229" t="s">
        <v>7153</v>
      </c>
      <c r="E99" s="1118" t="s">
        <v>7154</v>
      </c>
      <c r="F99" s="379">
        <f>10*(COUNTIF('7 Dev'!C55:C57, "=1"))/MAX(1,(3 -(COUNTIF('7 Dev'!C55:C57, "X"))))</f>
        <v>0</v>
      </c>
      <c r="G99" s="229"/>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row>
    <row r="100" spans="2:40" s="34" customFormat="1" ht="12" customHeight="1" x14ac:dyDescent="0.25">
      <c r="B100" s="1119" t="s">
        <v>7155</v>
      </c>
      <c r="C100" s="229" t="s">
        <v>7156</v>
      </c>
      <c r="E100" s="1118" t="s">
        <v>7373</v>
      </c>
      <c r="F100" s="379">
        <f>10*(COUNTIF('4 Ope'!C76:C77, "=1"))/MAX(1,(2 -(COUNTIF('4 Ope'!C76:C77, "X"))))</f>
        <v>0</v>
      </c>
      <c r="G100" s="229"/>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row>
    <row r="101" spans="2:40" s="34" customFormat="1" ht="12" customHeight="1" x14ac:dyDescent="0.25">
      <c r="B101" s="1120"/>
      <c r="C101" s="229"/>
      <c r="D101" s="50"/>
      <c r="E101" s="1118"/>
      <c r="F101" s="379"/>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row>
    <row r="102" spans="2:40" s="34" customFormat="1" ht="12" customHeight="1" x14ac:dyDescent="0.25">
      <c r="B102" s="1120"/>
      <c r="C102" s="229"/>
      <c r="D102" s="50"/>
      <c r="E102" s="1118"/>
      <c r="F102" s="379"/>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row>
    <row r="103" spans="2:40" s="34" customFormat="1" ht="12" customHeight="1" x14ac:dyDescent="0.25">
      <c r="B103" s="1120"/>
      <c r="C103" s="229"/>
      <c r="D103" s="50"/>
      <c r="E103" s="1118"/>
      <c r="F103" s="379"/>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row>
    <row r="104" spans="2:40" s="34" customFormat="1" ht="14.25" customHeight="1" x14ac:dyDescent="0.25">
      <c r="B104" s="1120"/>
      <c r="C104" s="229"/>
      <c r="D104" s="50"/>
      <c r="E104" s="1118"/>
      <c r="F104" s="379"/>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row>
    <row r="105" spans="2:40" s="34" customFormat="1" ht="12" customHeight="1" x14ac:dyDescent="0.25">
      <c r="B105" s="1120"/>
      <c r="C105" s="229"/>
      <c r="D105" s="50"/>
      <c r="E105" s="1118"/>
      <c r="F105" s="379"/>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row>
    <row r="106" spans="2:40" s="34" customFormat="1" ht="12" customHeight="1" x14ac:dyDescent="0.25">
      <c r="B106" s="1120"/>
      <c r="C106" s="229"/>
      <c r="D106" s="50"/>
      <c r="E106" s="1118"/>
      <c r="F106" s="379"/>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row>
    <row r="107" spans="2:40" s="34" customFormat="1" ht="12" customHeight="1" x14ac:dyDescent="0.25">
      <c r="B107" s="1120"/>
      <c r="C107" s="229"/>
      <c r="D107" s="50"/>
      <c r="E107" s="1118"/>
      <c r="F107" s="379"/>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row>
    <row r="108" spans="2:40" s="34" customFormat="1" ht="12" customHeight="1" x14ac:dyDescent="0.25">
      <c r="B108" s="1120"/>
      <c r="C108" s="229"/>
      <c r="D108" s="50"/>
      <c r="E108" s="1118"/>
      <c r="F108" s="379"/>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row>
    <row r="109" spans="2:40" s="34" customFormat="1" ht="12" customHeight="1" x14ac:dyDescent="0.25">
      <c r="B109" s="1120"/>
      <c r="C109" s="229"/>
      <c r="D109" s="50"/>
      <c r="E109" s="1118"/>
      <c r="F109" s="379"/>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row>
    <row r="110" spans="2:40" s="34" customFormat="1" ht="12" customHeight="1" x14ac:dyDescent="0.25">
      <c r="B110" s="1120"/>
      <c r="C110" s="229"/>
      <c r="D110" s="50"/>
      <c r="E110" s="1118"/>
      <c r="F110" s="379"/>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row>
    <row r="111" spans="2:40" s="34" customFormat="1" ht="12" customHeight="1" x14ac:dyDescent="0.25">
      <c r="B111" s="1120"/>
      <c r="C111" s="229"/>
      <c r="D111" s="50"/>
      <c r="E111" s="1118"/>
      <c r="F111" s="379"/>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row>
    <row r="112" spans="2:40" s="34" customFormat="1" ht="12" customHeight="1" x14ac:dyDescent="0.25">
      <c r="B112" s="1120"/>
      <c r="C112" s="229"/>
      <c r="D112" s="50"/>
      <c r="E112" s="1118"/>
      <c r="F112" s="379"/>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row>
    <row r="113" spans="1:71" s="34" customFormat="1" ht="12" customHeight="1" x14ac:dyDescent="0.25">
      <c r="B113" s="1120"/>
      <c r="C113" s="229"/>
      <c r="D113" s="50"/>
      <c r="E113" s="1118"/>
      <c r="F113" s="379"/>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row>
    <row r="114" spans="1:71" s="34" customFormat="1" ht="16.5" customHeight="1" x14ac:dyDescent="0.25">
      <c r="B114" s="1120"/>
      <c r="C114" s="229"/>
      <c r="D114" s="50"/>
      <c r="E114" s="1118"/>
      <c r="F114" s="379"/>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row>
    <row r="115" spans="1:71" s="34" customFormat="1" ht="13.5" customHeight="1" x14ac:dyDescent="0.25">
      <c r="B115" s="1120"/>
      <c r="C115" s="229"/>
      <c r="D115" s="50"/>
      <c r="E115" s="1118"/>
      <c r="F115" s="379"/>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row>
    <row r="116" spans="1:71" ht="12" customHeight="1" x14ac:dyDescent="0.25">
      <c r="A116" s="34"/>
      <c r="B116" s="1120"/>
      <c r="C116" s="229"/>
      <c r="D116" s="50"/>
      <c r="E116" s="1118"/>
    </row>
    <row r="117" spans="1:71" ht="12" customHeight="1" x14ac:dyDescent="0.25">
      <c r="A117" s="34"/>
      <c r="B117" s="1120"/>
      <c r="C117" s="229"/>
      <c r="D117" s="50"/>
      <c r="E117" s="1118"/>
    </row>
    <row r="118" spans="1:71" ht="12" customHeight="1" x14ac:dyDescent="0.25">
      <c r="A118" s="34"/>
      <c r="B118" s="1120"/>
      <c r="C118" s="229"/>
      <c r="D118" s="50"/>
      <c r="E118" s="1118"/>
    </row>
    <row r="119" spans="1:71" ht="12" customHeight="1" x14ac:dyDescent="0.25">
      <c r="A119" s="34"/>
      <c r="B119" s="1120"/>
      <c r="C119" s="229"/>
      <c r="D119" s="50"/>
      <c r="E119" s="1118"/>
    </row>
    <row r="120" spans="1:71" ht="12" customHeight="1" x14ac:dyDescent="0.25">
      <c r="A120" s="34"/>
      <c r="B120" s="1120"/>
      <c r="C120" s="229"/>
      <c r="D120" s="50"/>
      <c r="E120" s="1118"/>
    </row>
    <row r="121" spans="1:71" ht="12" customHeight="1" x14ac:dyDescent="0.25">
      <c r="A121" s="34"/>
      <c r="B121" s="1120"/>
      <c r="C121" s="229"/>
      <c r="D121" s="50"/>
      <c r="E121" s="1118"/>
    </row>
    <row r="122" spans="1:71" s="229" customFormat="1" ht="12" customHeight="1" x14ac:dyDescent="0.25">
      <c r="C122" s="249"/>
      <c r="D122" s="249"/>
      <c r="E122" s="249"/>
      <c r="F122" s="378"/>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row>
    <row r="123" spans="1:71" s="229" customFormat="1" ht="12" customHeight="1" x14ac:dyDescent="0.25">
      <c r="C123" s="249"/>
      <c r="D123" s="249"/>
      <c r="E123" s="249"/>
      <c r="F123" s="378"/>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row>
    <row r="124" spans="1:71" s="229" customFormat="1" ht="12" customHeight="1" x14ac:dyDescent="0.25">
      <c r="C124" s="249"/>
      <c r="D124" s="249"/>
      <c r="E124" s="249"/>
      <c r="F124" s="378"/>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row>
    <row r="125" spans="1:71" s="229" customFormat="1" ht="12" customHeight="1" x14ac:dyDescent="0.25">
      <c r="C125" s="249"/>
      <c r="D125" s="249"/>
      <c r="E125" s="249"/>
      <c r="F125" s="378"/>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row>
    <row r="126" spans="1:71" s="229" customFormat="1" ht="12" customHeight="1" x14ac:dyDescent="0.25">
      <c r="C126" s="249"/>
      <c r="D126" s="249"/>
      <c r="E126" s="249"/>
      <c r="F126" s="378"/>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row>
    <row r="127" spans="1:71" s="229" customFormat="1" ht="12" customHeight="1" x14ac:dyDescent="0.25">
      <c r="C127" s="249"/>
      <c r="D127" s="249"/>
      <c r="E127" s="249"/>
      <c r="F127" s="378"/>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row>
    <row r="128" spans="1:71" s="229" customFormat="1" ht="12" customHeight="1" x14ac:dyDescent="0.25">
      <c r="C128" s="249"/>
      <c r="D128" s="249"/>
      <c r="E128" s="249"/>
      <c r="F128" s="378"/>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row>
    <row r="129" spans="3:71" s="229" customFormat="1" ht="12" customHeight="1" x14ac:dyDescent="0.25">
      <c r="C129" s="249"/>
      <c r="D129" s="249"/>
      <c r="E129" s="249"/>
      <c r="F129" s="378"/>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row>
    <row r="130" spans="3:71" s="229" customFormat="1" ht="12" customHeight="1" x14ac:dyDescent="0.25">
      <c r="C130" s="249"/>
      <c r="D130" s="249"/>
      <c r="E130" s="249"/>
      <c r="F130" s="378"/>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row>
  </sheetData>
  <sheetProtection sheet="1" objects="1" scenarios="1" formatCells="0" formatColumns="0" formatRows="0"/>
  <phoneticPr fontId="6" type="noConversion"/>
  <conditionalFormatting sqref="D2">
    <cfRule type="expression" dxfId="56" priority="1">
      <formula>E2=1</formula>
    </cfRule>
  </conditionalFormatting>
  <printOptions gridLines="1"/>
  <pageMargins left="0.25" right="0.25" top="0.75" bottom="0.75" header="0.3" footer="0.3"/>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Lin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tabColor indexed="42"/>
  </sheetPr>
  <dimension ref="A1:I35"/>
  <sheetViews>
    <sheetView workbookViewId="0">
      <selection activeCell="L10" sqref="L10"/>
    </sheetView>
  </sheetViews>
  <sheetFormatPr baseColWidth="10" defaultRowHeight="15.75" customHeight="1" x14ac:dyDescent="0.25"/>
  <cols>
    <col min="1" max="1" width="28.5546875" style="1" customWidth="1"/>
    <col min="2" max="2" width="6.44140625" style="1" customWidth="1"/>
    <col min="3" max="3" width="67.5546875" style="1" customWidth="1"/>
    <col min="4" max="4" width="10.6640625" style="16" customWidth="1"/>
    <col min="5" max="5" width="9.44140625" style="1" customWidth="1"/>
    <col min="6" max="8" width="10.6640625" customWidth="1"/>
    <col min="9" max="9" width="11.44140625" hidden="1" customWidth="1"/>
    <col min="11" max="11" width="17.88671875" customWidth="1"/>
    <col min="13" max="13" width="44" customWidth="1"/>
    <col min="14" max="14" width="36" customWidth="1"/>
  </cols>
  <sheetData>
    <row r="1" spans="1:9" ht="24" customHeight="1" x14ac:dyDescent="0.25">
      <c r="A1" s="1288" t="s">
        <v>583</v>
      </c>
      <c r="B1" s="1289"/>
      <c r="C1" s="1290"/>
      <c r="D1" s="177"/>
      <c r="E1" s="189"/>
      <c r="F1" s="190"/>
      <c r="G1" s="191"/>
    </row>
    <row r="2" spans="1:9" ht="54" customHeight="1" x14ac:dyDescent="0.25">
      <c r="A2" s="394" t="s">
        <v>533</v>
      </c>
      <c r="B2" s="394" t="s">
        <v>133</v>
      </c>
      <c r="C2" s="394" t="s">
        <v>527</v>
      </c>
      <c r="D2" s="394" t="s">
        <v>1953</v>
      </c>
      <c r="E2" s="394" t="s">
        <v>537</v>
      </c>
      <c r="F2" s="394" t="s">
        <v>285</v>
      </c>
      <c r="G2" s="394" t="s">
        <v>286</v>
      </c>
      <c r="H2" s="394" t="s">
        <v>2184</v>
      </c>
      <c r="I2" s="737" t="s">
        <v>4578</v>
      </c>
    </row>
    <row r="3" spans="1:9" ht="15.75" customHeight="1" x14ac:dyDescent="0.25">
      <c r="A3" s="509" t="s">
        <v>2215</v>
      </c>
      <c r="B3" s="508" t="s">
        <v>584</v>
      </c>
      <c r="C3" s="2" t="s">
        <v>2296</v>
      </c>
      <c r="D3" s="17">
        <v>3</v>
      </c>
      <c r="E3" s="508" t="s">
        <v>585</v>
      </c>
      <c r="F3" s="534"/>
      <c r="G3" s="173">
        <f t="shared" ref="G3:G9" si="0">IF(NOT(F3=""),F3,D3)</f>
        <v>3</v>
      </c>
      <c r="H3" s="505">
        <v>1</v>
      </c>
      <c r="I3" s="16" t="s">
        <v>572</v>
      </c>
    </row>
    <row r="4" spans="1:9" ht="24.75" customHeight="1" x14ac:dyDescent="0.25">
      <c r="A4" s="1297" t="s">
        <v>531</v>
      </c>
      <c r="B4" s="1291" t="s">
        <v>426</v>
      </c>
      <c r="C4" s="688" t="s">
        <v>6544</v>
      </c>
      <c r="D4" s="17">
        <v>2</v>
      </c>
      <c r="E4" s="2" t="s">
        <v>3204</v>
      </c>
      <c r="F4" s="535"/>
      <c r="G4" s="173">
        <f t="shared" si="0"/>
        <v>2</v>
      </c>
      <c r="H4" s="395">
        <v>1</v>
      </c>
      <c r="I4" s="16" t="s">
        <v>572</v>
      </c>
    </row>
    <row r="5" spans="1:9" ht="20.25" customHeight="1" x14ac:dyDescent="0.25">
      <c r="A5" s="1298"/>
      <c r="B5" s="1292"/>
      <c r="C5" s="2" t="s">
        <v>124</v>
      </c>
      <c r="D5" s="17">
        <v>2</v>
      </c>
      <c r="E5" s="2" t="s">
        <v>587</v>
      </c>
      <c r="F5" s="535"/>
      <c r="G5" s="173">
        <f>IF(NOT(F5=""),F5,D5)</f>
        <v>2</v>
      </c>
      <c r="H5" s="395">
        <v>1</v>
      </c>
      <c r="I5" s="16" t="s">
        <v>572</v>
      </c>
    </row>
    <row r="6" spans="1:9" ht="20.25" customHeight="1" x14ac:dyDescent="0.25">
      <c r="A6" s="1299"/>
      <c r="B6" s="1293"/>
      <c r="C6" s="688" t="s">
        <v>6545</v>
      </c>
      <c r="D6" s="17">
        <v>2</v>
      </c>
      <c r="E6" s="2" t="s">
        <v>3205</v>
      </c>
      <c r="F6" s="535"/>
      <c r="G6" s="173">
        <f t="shared" si="0"/>
        <v>2</v>
      </c>
      <c r="H6" s="395">
        <v>1</v>
      </c>
      <c r="I6" s="16" t="s">
        <v>572</v>
      </c>
    </row>
    <row r="7" spans="1:9" ht="26.25" customHeight="1" x14ac:dyDescent="0.25">
      <c r="A7" s="1300"/>
      <c r="B7" s="1294"/>
      <c r="C7" s="2" t="s">
        <v>4636</v>
      </c>
      <c r="D7" s="17">
        <v>3</v>
      </c>
      <c r="E7" s="508" t="s">
        <v>4635</v>
      </c>
      <c r="F7" s="534"/>
      <c r="G7" s="507">
        <f t="shared" si="0"/>
        <v>3</v>
      </c>
      <c r="H7" s="506">
        <v>1</v>
      </c>
      <c r="I7" s="16" t="s">
        <v>572</v>
      </c>
    </row>
    <row r="8" spans="1:9" ht="27" customHeight="1" x14ac:dyDescent="0.25">
      <c r="A8" s="509" t="s">
        <v>180</v>
      </c>
      <c r="B8" s="508" t="s">
        <v>134</v>
      </c>
      <c r="C8" s="697" t="s">
        <v>3230</v>
      </c>
      <c r="D8" s="17">
        <v>2</v>
      </c>
      <c r="E8" s="508" t="s">
        <v>3229</v>
      </c>
      <c r="F8" s="534"/>
      <c r="G8" s="507">
        <f t="shared" si="0"/>
        <v>2</v>
      </c>
      <c r="H8" s="506">
        <v>1</v>
      </c>
      <c r="I8" s="16" t="s">
        <v>572</v>
      </c>
    </row>
    <row r="9" spans="1:9" ht="26.25" customHeight="1" x14ac:dyDescent="0.25">
      <c r="A9" s="701" t="s">
        <v>529</v>
      </c>
      <c r="B9" s="702" t="s">
        <v>135</v>
      </c>
      <c r="C9" s="2" t="s">
        <v>6277</v>
      </c>
      <c r="D9" s="17">
        <v>3</v>
      </c>
      <c r="E9" s="2" t="s">
        <v>454</v>
      </c>
      <c r="F9" s="535"/>
      <c r="G9" s="173">
        <f t="shared" si="0"/>
        <v>3</v>
      </c>
      <c r="H9" s="395">
        <v>1</v>
      </c>
      <c r="I9" s="16" t="s">
        <v>572</v>
      </c>
    </row>
    <row r="10" spans="1:9" ht="15.75" customHeight="1" x14ac:dyDescent="0.25">
      <c r="A10" s="1297" t="s">
        <v>6689</v>
      </c>
      <c r="B10" s="1291" t="s">
        <v>3206</v>
      </c>
      <c r="C10" s="2" t="s">
        <v>484</v>
      </c>
      <c r="D10" s="17">
        <v>2</v>
      </c>
      <c r="E10" s="2" t="s">
        <v>3207</v>
      </c>
      <c r="F10" s="535"/>
      <c r="G10" s="173">
        <f t="shared" ref="G10:G25" si="1">IF(NOT(F10=""),F10,D10)</f>
        <v>2</v>
      </c>
      <c r="H10" s="395">
        <v>1</v>
      </c>
      <c r="I10" s="16" t="s">
        <v>245</v>
      </c>
    </row>
    <row r="11" spans="1:9" ht="15.75" customHeight="1" x14ac:dyDescent="0.25">
      <c r="A11" s="1298"/>
      <c r="B11" s="1293"/>
      <c r="C11" s="872" t="s">
        <v>3209</v>
      </c>
      <c r="D11" s="17">
        <v>2</v>
      </c>
      <c r="E11" s="2" t="s">
        <v>3208</v>
      </c>
      <c r="F11" s="535"/>
      <c r="G11" s="173">
        <f>IF(NOT(F11=""),F11,D11)</f>
        <v>2</v>
      </c>
      <c r="H11" s="395">
        <v>1</v>
      </c>
      <c r="I11" s="16" t="s">
        <v>245</v>
      </c>
    </row>
    <row r="12" spans="1:9" ht="15.75" customHeight="1" x14ac:dyDescent="0.25">
      <c r="A12" s="1300"/>
      <c r="B12" s="1294"/>
      <c r="C12" s="688" t="s">
        <v>6546</v>
      </c>
      <c r="D12" s="17">
        <v>3</v>
      </c>
      <c r="E12" s="2" t="s">
        <v>4804</v>
      </c>
      <c r="F12" s="535"/>
      <c r="G12" s="173">
        <f t="shared" si="1"/>
        <v>3</v>
      </c>
      <c r="H12" s="395">
        <v>1</v>
      </c>
      <c r="I12" s="16" t="s">
        <v>245</v>
      </c>
    </row>
    <row r="13" spans="1:9" ht="15.75" customHeight="1" x14ac:dyDescent="0.25">
      <c r="A13" s="1300"/>
      <c r="B13" s="1294"/>
      <c r="C13" s="2" t="s">
        <v>2334</v>
      </c>
      <c r="D13" s="17">
        <v>2</v>
      </c>
      <c r="E13" s="2" t="s">
        <v>3210</v>
      </c>
      <c r="F13" s="535"/>
      <c r="G13" s="173">
        <f t="shared" si="1"/>
        <v>2</v>
      </c>
      <c r="H13" s="395">
        <v>1</v>
      </c>
      <c r="I13" s="16" t="s">
        <v>245</v>
      </c>
    </row>
    <row r="14" spans="1:9" ht="18.75" customHeight="1" x14ac:dyDescent="0.25">
      <c r="A14" s="1300"/>
      <c r="B14" s="1294"/>
      <c r="C14" s="2" t="s">
        <v>4805</v>
      </c>
      <c r="D14" s="17">
        <v>3</v>
      </c>
      <c r="E14" s="2" t="s">
        <v>3198</v>
      </c>
      <c r="F14" s="535"/>
      <c r="G14" s="173">
        <f t="shared" si="1"/>
        <v>3</v>
      </c>
      <c r="H14" s="395">
        <v>1</v>
      </c>
      <c r="I14" s="16" t="s">
        <v>245</v>
      </c>
    </row>
    <row r="15" spans="1:9" ht="15.75" customHeight="1" x14ac:dyDescent="0.25">
      <c r="A15" s="1300"/>
      <c r="B15" s="1294"/>
      <c r="C15" s="2" t="s">
        <v>408</v>
      </c>
      <c r="D15" s="17">
        <v>3</v>
      </c>
      <c r="E15" s="2" t="s">
        <v>3211</v>
      </c>
      <c r="F15" s="535"/>
      <c r="G15" s="173">
        <f t="shared" si="1"/>
        <v>3</v>
      </c>
      <c r="H15" s="395">
        <v>1</v>
      </c>
      <c r="I15" s="16" t="s">
        <v>245</v>
      </c>
    </row>
    <row r="16" spans="1:9" ht="15.75" customHeight="1" x14ac:dyDescent="0.25">
      <c r="A16" s="1300"/>
      <c r="B16" s="1294"/>
      <c r="C16" s="2" t="s">
        <v>174</v>
      </c>
      <c r="D16" s="17">
        <v>3</v>
      </c>
      <c r="E16" s="2" t="s">
        <v>3212</v>
      </c>
      <c r="F16" s="535"/>
      <c r="G16" s="173">
        <f t="shared" si="1"/>
        <v>3</v>
      </c>
      <c r="H16" s="395">
        <v>1</v>
      </c>
      <c r="I16" s="16" t="s">
        <v>245</v>
      </c>
    </row>
    <row r="17" spans="1:9" ht="15.75" customHeight="1" x14ac:dyDescent="0.25">
      <c r="A17" s="1300"/>
      <c r="B17" s="1294"/>
      <c r="C17" s="697" t="s">
        <v>3214</v>
      </c>
      <c r="D17" s="17">
        <v>3</v>
      </c>
      <c r="E17" s="698" t="s">
        <v>3213</v>
      </c>
      <c r="F17" s="699"/>
      <c r="G17" s="173">
        <f t="shared" si="1"/>
        <v>3</v>
      </c>
      <c r="H17" s="395">
        <v>1</v>
      </c>
      <c r="I17" s="16" t="s">
        <v>245</v>
      </c>
    </row>
    <row r="18" spans="1:9" ht="15.75" customHeight="1" x14ac:dyDescent="0.25">
      <c r="A18" s="1300"/>
      <c r="B18" s="1294"/>
      <c r="C18" s="697" t="s">
        <v>3217</v>
      </c>
      <c r="D18" s="17">
        <v>3</v>
      </c>
      <c r="E18" s="698" t="s">
        <v>3216</v>
      </c>
      <c r="F18" s="699"/>
      <c r="G18" s="173">
        <f t="shared" si="1"/>
        <v>3</v>
      </c>
      <c r="H18" s="395">
        <v>1</v>
      </c>
      <c r="I18" s="16" t="s">
        <v>245</v>
      </c>
    </row>
    <row r="19" spans="1:9" ht="15.75" customHeight="1" x14ac:dyDescent="0.25">
      <c r="A19" s="1300"/>
      <c r="B19" s="1294"/>
      <c r="C19" s="2" t="s">
        <v>204</v>
      </c>
      <c r="D19" s="17">
        <v>3</v>
      </c>
      <c r="E19" s="2" t="s">
        <v>3218</v>
      </c>
      <c r="F19" s="535"/>
      <c r="G19" s="173">
        <f t="shared" si="1"/>
        <v>3</v>
      </c>
      <c r="H19" s="395">
        <v>1</v>
      </c>
      <c r="I19" s="16" t="s">
        <v>245</v>
      </c>
    </row>
    <row r="20" spans="1:9" ht="15.75" customHeight="1" x14ac:dyDescent="0.25">
      <c r="A20" s="1300"/>
      <c r="B20" s="1294"/>
      <c r="C20" s="2" t="s">
        <v>590</v>
      </c>
      <c r="D20" s="17">
        <v>2</v>
      </c>
      <c r="E20" s="2" t="s">
        <v>3219</v>
      </c>
      <c r="F20" s="535"/>
      <c r="G20" s="173">
        <f t="shared" si="1"/>
        <v>2</v>
      </c>
      <c r="H20" s="395">
        <v>1</v>
      </c>
      <c r="I20" s="16" t="s">
        <v>245</v>
      </c>
    </row>
    <row r="21" spans="1:9" ht="15.75" customHeight="1" x14ac:dyDescent="0.25">
      <c r="A21" s="1302"/>
      <c r="B21" s="1295"/>
      <c r="C21" s="2" t="s">
        <v>464</v>
      </c>
      <c r="D21" s="17">
        <v>3</v>
      </c>
      <c r="E21" s="2" t="s">
        <v>3220</v>
      </c>
      <c r="F21" s="535"/>
      <c r="G21" s="173">
        <f t="shared" si="1"/>
        <v>3</v>
      </c>
      <c r="H21" s="395">
        <v>1</v>
      </c>
      <c r="I21" s="16" t="s">
        <v>245</v>
      </c>
    </row>
    <row r="22" spans="1:9" ht="15.75" customHeight="1" x14ac:dyDescent="0.25">
      <c r="A22" s="1306" t="s">
        <v>6690</v>
      </c>
      <c r="B22" s="1303" t="s">
        <v>3221</v>
      </c>
      <c r="C22" s="2" t="s">
        <v>4806</v>
      </c>
      <c r="D22" s="17">
        <v>2</v>
      </c>
      <c r="E22" s="2" t="s">
        <v>4367</v>
      </c>
      <c r="F22" s="535"/>
      <c r="G22" s="173">
        <f t="shared" si="1"/>
        <v>2</v>
      </c>
      <c r="H22" s="395">
        <v>1</v>
      </c>
      <c r="I22" s="16" t="s">
        <v>245</v>
      </c>
    </row>
    <row r="23" spans="1:9" ht="15.75" customHeight="1" x14ac:dyDescent="0.25">
      <c r="A23" s="1307"/>
      <c r="B23" s="1304"/>
      <c r="C23" s="697" t="s">
        <v>3215</v>
      </c>
      <c r="D23" s="17">
        <v>3</v>
      </c>
      <c r="E23" s="698" t="s">
        <v>4579</v>
      </c>
      <c r="F23" s="699"/>
      <c r="G23" s="173">
        <f t="shared" si="1"/>
        <v>3</v>
      </c>
      <c r="H23" s="395">
        <v>1</v>
      </c>
      <c r="I23" s="16" t="s">
        <v>245</v>
      </c>
    </row>
    <row r="24" spans="1:9" ht="15.75" customHeight="1" x14ac:dyDescent="0.25">
      <c r="A24" s="1307"/>
      <c r="B24" s="1304"/>
      <c r="C24" s="736" t="s">
        <v>3223</v>
      </c>
      <c r="D24" s="17">
        <v>3</v>
      </c>
      <c r="E24" s="736" t="s">
        <v>3222</v>
      </c>
      <c r="F24" s="535"/>
      <c r="G24" s="173">
        <f t="shared" si="1"/>
        <v>3</v>
      </c>
      <c r="H24" s="395">
        <v>1</v>
      </c>
      <c r="I24" s="16" t="s">
        <v>245</v>
      </c>
    </row>
    <row r="25" spans="1:9" ht="15.75" customHeight="1" x14ac:dyDescent="0.25">
      <c r="A25" s="1308"/>
      <c r="B25" s="1305"/>
      <c r="C25" s="2" t="s">
        <v>3225</v>
      </c>
      <c r="D25" s="17">
        <v>3</v>
      </c>
      <c r="E25" s="2" t="s">
        <v>3224</v>
      </c>
      <c r="F25" s="535"/>
      <c r="G25" s="173">
        <f t="shared" si="1"/>
        <v>3</v>
      </c>
      <c r="H25" s="395">
        <v>1</v>
      </c>
      <c r="I25" s="16" t="s">
        <v>245</v>
      </c>
    </row>
    <row r="26" spans="1:9" ht="15.75" customHeight="1" x14ac:dyDescent="0.25">
      <c r="A26" s="1297" t="s">
        <v>221</v>
      </c>
      <c r="B26" s="1291" t="s">
        <v>506</v>
      </c>
      <c r="C26" s="2" t="s">
        <v>477</v>
      </c>
      <c r="D26" s="17">
        <v>3</v>
      </c>
      <c r="E26" s="2" t="s">
        <v>455</v>
      </c>
      <c r="F26" s="535"/>
      <c r="G26" s="173">
        <f t="shared" ref="G26:G34" si="2">IF(NOT(F26=""),F26,D26)</f>
        <v>3</v>
      </c>
      <c r="H26" s="395">
        <v>1</v>
      </c>
      <c r="I26" s="16" t="s">
        <v>357</v>
      </c>
    </row>
    <row r="27" spans="1:9" ht="15.75" customHeight="1" x14ac:dyDescent="0.25">
      <c r="A27" s="1300"/>
      <c r="B27" s="1294"/>
      <c r="C27" s="2" t="s">
        <v>532</v>
      </c>
      <c r="D27" s="17">
        <v>3</v>
      </c>
      <c r="E27" s="2" t="s">
        <v>546</v>
      </c>
      <c r="F27" s="535"/>
      <c r="G27" s="173">
        <f t="shared" si="2"/>
        <v>3</v>
      </c>
      <c r="H27" s="395">
        <v>1</v>
      </c>
      <c r="I27" s="16" t="s">
        <v>357</v>
      </c>
    </row>
    <row r="28" spans="1:9" ht="15.75" customHeight="1" x14ac:dyDescent="0.25">
      <c r="A28" s="1302"/>
      <c r="B28" s="1295"/>
      <c r="C28" s="2" t="s">
        <v>406</v>
      </c>
      <c r="D28" s="17">
        <v>3</v>
      </c>
      <c r="E28" s="2" t="s">
        <v>456</v>
      </c>
      <c r="F28" s="535"/>
      <c r="G28" s="173">
        <f t="shared" si="2"/>
        <v>3</v>
      </c>
      <c r="H28" s="395">
        <v>1</v>
      </c>
      <c r="I28" s="16" t="s">
        <v>357</v>
      </c>
    </row>
    <row r="29" spans="1:9" ht="30.75" customHeight="1" x14ac:dyDescent="0.25">
      <c r="A29" s="509" t="s">
        <v>471</v>
      </c>
      <c r="B29" s="508" t="s">
        <v>472</v>
      </c>
      <c r="C29" s="688" t="s">
        <v>6547</v>
      </c>
      <c r="D29" s="17">
        <v>2</v>
      </c>
      <c r="E29" s="508" t="s">
        <v>3203</v>
      </c>
      <c r="F29" s="534"/>
      <c r="G29" s="507">
        <f t="shared" si="2"/>
        <v>2</v>
      </c>
      <c r="H29" s="506">
        <v>1</v>
      </c>
      <c r="I29" s="16" t="s">
        <v>572</v>
      </c>
    </row>
    <row r="30" spans="1:9" ht="19.5" customHeight="1" x14ac:dyDescent="0.25">
      <c r="A30" s="1297" t="s">
        <v>528</v>
      </c>
      <c r="B30" s="1291" t="s">
        <v>422</v>
      </c>
      <c r="C30" s="2" t="s">
        <v>1952</v>
      </c>
      <c r="D30" s="17">
        <v>2</v>
      </c>
      <c r="E30" s="736" t="s">
        <v>203</v>
      </c>
      <c r="F30" s="699"/>
      <c r="G30" s="507">
        <f t="shared" si="2"/>
        <v>2</v>
      </c>
      <c r="H30" s="700">
        <v>1</v>
      </c>
      <c r="I30" s="16" t="s">
        <v>572</v>
      </c>
    </row>
    <row r="31" spans="1:9" ht="21" customHeight="1" x14ac:dyDescent="0.25">
      <c r="A31" s="1301"/>
      <c r="B31" s="1296"/>
      <c r="C31" s="688" t="s">
        <v>2216</v>
      </c>
      <c r="D31" s="17">
        <v>4</v>
      </c>
      <c r="E31" s="2" t="s">
        <v>424</v>
      </c>
      <c r="F31" s="535"/>
      <c r="G31" s="173">
        <f t="shared" si="2"/>
        <v>4</v>
      </c>
      <c r="H31" s="395">
        <v>1</v>
      </c>
      <c r="I31" s="16" t="s">
        <v>572</v>
      </c>
    </row>
    <row r="32" spans="1:9" ht="15.75" customHeight="1" x14ac:dyDescent="0.25">
      <c r="A32" s="1282" t="s">
        <v>6691</v>
      </c>
      <c r="B32" s="1285" t="s">
        <v>416</v>
      </c>
      <c r="C32" s="2" t="s">
        <v>3227</v>
      </c>
      <c r="D32" s="17">
        <v>2</v>
      </c>
      <c r="E32" s="2" t="s">
        <v>3226</v>
      </c>
      <c r="F32" s="535"/>
      <c r="G32" s="173">
        <f t="shared" si="2"/>
        <v>2</v>
      </c>
      <c r="H32" s="395">
        <v>1</v>
      </c>
      <c r="I32" s="16" t="s">
        <v>357</v>
      </c>
    </row>
    <row r="33" spans="1:9" ht="15.75" customHeight="1" x14ac:dyDescent="0.25">
      <c r="A33" s="1283"/>
      <c r="B33" s="1286"/>
      <c r="C33" s="906" t="s">
        <v>6548</v>
      </c>
      <c r="D33" s="17">
        <v>2</v>
      </c>
      <c r="E33" s="2" t="s">
        <v>3228</v>
      </c>
      <c r="F33" s="535"/>
      <c r="G33" s="173">
        <f t="shared" si="2"/>
        <v>2</v>
      </c>
      <c r="H33" s="395">
        <v>1</v>
      </c>
      <c r="I33" s="16" t="s">
        <v>357</v>
      </c>
    </row>
    <row r="34" spans="1:9" ht="15.75" customHeight="1" thickBot="1" x14ac:dyDescent="0.3">
      <c r="A34" s="1284"/>
      <c r="B34" s="1287"/>
      <c r="C34" s="174" t="s">
        <v>131</v>
      </c>
      <c r="D34" s="175">
        <v>2</v>
      </c>
      <c r="E34" s="174" t="s">
        <v>511</v>
      </c>
      <c r="F34" s="536"/>
      <c r="G34" s="176">
        <f t="shared" si="2"/>
        <v>2</v>
      </c>
      <c r="H34" s="396">
        <v>1</v>
      </c>
      <c r="I34" s="16" t="s">
        <v>245</v>
      </c>
    </row>
    <row r="35" spans="1:9" ht="15.75" customHeight="1" x14ac:dyDescent="0.25">
      <c r="I35" s="738"/>
    </row>
  </sheetData>
  <sheetProtection sheet="1" objects="1" scenarios="1"/>
  <mergeCells count="13">
    <mergeCell ref="A32:A34"/>
    <mergeCell ref="B32:B34"/>
    <mergeCell ref="A1:C1"/>
    <mergeCell ref="B4:B7"/>
    <mergeCell ref="B26:B28"/>
    <mergeCell ref="B30:B31"/>
    <mergeCell ref="A4:A7"/>
    <mergeCell ref="A30:A31"/>
    <mergeCell ref="A10:A21"/>
    <mergeCell ref="A26:A28"/>
    <mergeCell ref="B10:B21"/>
    <mergeCell ref="B22:B25"/>
    <mergeCell ref="A22:A25"/>
  </mergeCells>
  <phoneticPr fontId="6" type="noConversion"/>
  <conditionalFormatting sqref="G4 G6:G10 G13:G34">
    <cfRule type="cellIs" dxfId="55" priority="16" operator="equal">
      <formula>4</formula>
    </cfRule>
    <cfRule type="cellIs" dxfId="54" priority="17" operator="equal">
      <formula>3</formula>
    </cfRule>
    <cfRule type="cellIs" dxfId="53" priority="18" operator="equal">
      <formula>2</formula>
    </cfRule>
  </conditionalFormatting>
  <conditionalFormatting sqref="G3">
    <cfRule type="cellIs" dxfId="52" priority="13" operator="equal">
      <formula>4</formula>
    </cfRule>
    <cfRule type="cellIs" dxfId="51" priority="14" operator="equal">
      <formula>3</formula>
    </cfRule>
    <cfRule type="cellIs" dxfId="50" priority="15" operator="equal">
      <formula>2</formula>
    </cfRule>
  </conditionalFormatting>
  <conditionalFormatting sqref="G12">
    <cfRule type="cellIs" dxfId="49" priority="7" operator="equal">
      <formula>4</formula>
    </cfRule>
    <cfRule type="cellIs" dxfId="48" priority="8" operator="equal">
      <formula>3</formula>
    </cfRule>
    <cfRule type="cellIs" dxfId="47" priority="9" operator="equal">
      <formula>2</formula>
    </cfRule>
  </conditionalFormatting>
  <conditionalFormatting sqref="G11">
    <cfRule type="cellIs" dxfId="46" priority="4" operator="equal">
      <formula>4</formula>
    </cfRule>
    <cfRule type="cellIs" dxfId="45" priority="5" operator="equal">
      <formula>3</formula>
    </cfRule>
    <cfRule type="cellIs" dxfId="44" priority="6" operator="equal">
      <formula>2</formula>
    </cfRule>
  </conditionalFormatting>
  <conditionalFormatting sqref="G5">
    <cfRule type="cellIs" dxfId="43" priority="1" operator="equal">
      <formula>4</formula>
    </cfRule>
    <cfRule type="cellIs" dxfId="42" priority="2" operator="equal">
      <formula>3</formula>
    </cfRule>
    <cfRule type="cellIs" dxfId="41" priority="3" operator="equal">
      <formula>2</formula>
    </cfRule>
  </conditionalFormatting>
  <dataValidations count="1">
    <dataValidation type="whole" allowBlank="1" showInputMessage="1" showErrorMessage="1" sqref="H30:H34 H3:I29 I30:I35" xr:uid="{00000000-0002-0000-1000-000000000000}">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6">
    <tabColor indexed="42"/>
  </sheetPr>
  <dimension ref="A1:AW334"/>
  <sheetViews>
    <sheetView workbookViewId="0">
      <pane ySplit="4" topLeftCell="A226" activePane="bottomLeft" state="frozenSplit"/>
      <selection activeCell="C18" sqref="C18"/>
      <selection pane="bottomLeft" activeCell="A147" sqref="A147"/>
    </sheetView>
  </sheetViews>
  <sheetFormatPr baseColWidth="10" defaultColWidth="11.44140625" defaultRowHeight="14.4" outlineLevelCol="1" x14ac:dyDescent="0.2"/>
  <cols>
    <col min="1" max="1" width="11" style="16" customWidth="1"/>
    <col min="2" max="2" width="4.109375" style="24" customWidth="1"/>
    <col min="3" max="3" width="3" style="25" customWidth="1"/>
    <col min="4" max="4" width="15.109375" style="1" customWidth="1"/>
    <col min="5" max="5" width="13.6640625" style="1" customWidth="1"/>
    <col min="6" max="6" width="11.44140625" style="1" customWidth="1"/>
    <col min="7" max="7" width="46.44140625" style="1" customWidth="1"/>
    <col min="8" max="8" width="51.109375" style="846" customWidth="1"/>
    <col min="9" max="9" width="3.6640625" style="55" customWidth="1" outlineLevel="1"/>
    <col min="10" max="10" width="3.109375" style="55" customWidth="1" outlineLevel="1"/>
    <col min="11" max="11" width="3.44140625" style="55" customWidth="1" outlineLevel="1"/>
    <col min="12" max="12" width="3.5546875" style="55" customWidth="1" outlineLevel="1"/>
    <col min="13" max="13" width="3" style="55" customWidth="1" outlineLevel="1"/>
    <col min="14" max="15" width="3" style="1069" customWidth="1" outlineLevel="1"/>
    <col min="16" max="16" width="2.44140625" style="55" customWidth="1" outlineLevel="1"/>
    <col min="17" max="20" width="2.5546875" style="56" customWidth="1" outlineLevel="1"/>
    <col min="21" max="21" width="2.5546875" style="55" customWidth="1" outlineLevel="1"/>
    <col min="22" max="23" width="2.5546875" style="1069" customWidth="1" outlineLevel="1"/>
    <col min="24" max="24" width="3.109375" style="55" customWidth="1" outlineLevel="1"/>
    <col min="25" max="25" width="2.88671875" style="55" customWidth="1" outlineLevel="1"/>
    <col min="26" max="26" width="3" style="55" customWidth="1" outlineLevel="1"/>
    <col min="27" max="27" width="3" style="1069" customWidth="1" outlineLevel="1"/>
    <col min="28" max="28" width="3" style="55" customWidth="1" outlineLevel="1"/>
    <col min="29" max="30" width="12.44140625" style="223" customWidth="1"/>
    <col min="31" max="32" width="12.44140625" style="22" customWidth="1"/>
    <col min="33" max="42" width="11.44140625" customWidth="1" outlineLevel="1"/>
  </cols>
  <sheetData>
    <row r="1" spans="1:49" ht="30.75" customHeight="1" x14ac:dyDescent="0.25">
      <c r="A1" s="33" t="s">
        <v>609</v>
      </c>
      <c r="C1" s="26"/>
      <c r="D1" s="26"/>
      <c r="E1" s="26"/>
      <c r="F1" s="26"/>
      <c r="H1" s="844"/>
      <c r="I1" s="92" t="s">
        <v>824</v>
      </c>
      <c r="AC1" s="1316"/>
      <c r="AD1" s="1316"/>
      <c r="AE1" s="1316"/>
      <c r="AF1" s="1316"/>
    </row>
    <row r="2" spans="1:49" ht="15.75" customHeight="1" x14ac:dyDescent="0.25">
      <c r="A2" s="1085" t="s">
        <v>3199</v>
      </c>
      <c r="B2" s="30" t="s">
        <v>170</v>
      </c>
      <c r="C2" s="1328" t="s">
        <v>2224</v>
      </c>
      <c r="D2" s="1329"/>
      <c r="E2" s="1329"/>
      <c r="F2" s="1086" t="s">
        <v>171</v>
      </c>
      <c r="G2" s="842" t="s">
        <v>4724</v>
      </c>
      <c r="H2" s="852" t="s">
        <v>4725</v>
      </c>
      <c r="I2" s="1311" t="s">
        <v>251</v>
      </c>
      <c r="J2" s="1314" t="s">
        <v>106</v>
      </c>
      <c r="K2" s="1314" t="s">
        <v>2183</v>
      </c>
      <c r="L2" s="1314" t="s">
        <v>363</v>
      </c>
      <c r="M2" s="1314" t="s">
        <v>107</v>
      </c>
      <c r="N2" s="1309" t="s">
        <v>6748</v>
      </c>
      <c r="O2" s="1309" t="s">
        <v>6749</v>
      </c>
      <c r="P2" s="1314" t="s">
        <v>610</v>
      </c>
      <c r="Q2" s="1311" t="s">
        <v>108</v>
      </c>
      <c r="R2" s="1311" t="s">
        <v>109</v>
      </c>
      <c r="S2" s="1311" t="s">
        <v>249</v>
      </c>
      <c r="T2" s="1311" t="s">
        <v>110</v>
      </c>
      <c r="U2" s="1314" t="s">
        <v>250</v>
      </c>
      <c r="V2" s="1309" t="s">
        <v>427</v>
      </c>
      <c r="W2" s="1309" t="s">
        <v>362</v>
      </c>
      <c r="X2" s="1314" t="s">
        <v>111</v>
      </c>
      <c r="Y2" s="1314" t="s">
        <v>2217</v>
      </c>
      <c r="Z2" s="1323" t="s">
        <v>112</v>
      </c>
      <c r="AA2" s="1321" t="s">
        <v>2011</v>
      </c>
      <c r="AB2" s="1323" t="s">
        <v>2040</v>
      </c>
      <c r="AC2" s="1316" t="s">
        <v>105</v>
      </c>
      <c r="AD2" s="1316"/>
      <c r="AE2" s="1316"/>
      <c r="AF2" s="1316"/>
    </row>
    <row r="3" spans="1:49" ht="21.75" customHeight="1" x14ac:dyDescent="0.25">
      <c r="A3" s="1330" t="s">
        <v>469</v>
      </c>
      <c r="B3" s="1332" t="s">
        <v>533</v>
      </c>
      <c r="C3" s="1334" t="s">
        <v>534</v>
      </c>
      <c r="D3" s="351" t="s">
        <v>172</v>
      </c>
      <c r="E3" s="351" t="s">
        <v>535</v>
      </c>
      <c r="F3" s="694" t="s">
        <v>527</v>
      </c>
      <c r="G3" s="843"/>
      <c r="H3" s="847"/>
      <c r="I3" s="1312"/>
      <c r="J3" s="1193"/>
      <c r="K3" s="1315"/>
      <c r="L3" s="1315"/>
      <c r="M3" s="1315"/>
      <c r="N3" s="1310"/>
      <c r="O3" s="1310"/>
      <c r="P3" s="1315"/>
      <c r="Q3" s="1313"/>
      <c r="R3" s="1313"/>
      <c r="S3" s="1313"/>
      <c r="T3" s="1313"/>
      <c r="U3" s="1315"/>
      <c r="V3" s="1310"/>
      <c r="W3" s="1310"/>
      <c r="X3" s="1315"/>
      <c r="Y3" s="1315"/>
      <c r="Z3" s="1324"/>
      <c r="AA3" s="1322"/>
      <c r="AB3" s="1324"/>
      <c r="AC3" s="1317" t="s">
        <v>272</v>
      </c>
      <c r="AD3" s="1317" t="s">
        <v>273</v>
      </c>
      <c r="AE3" s="1319" t="s">
        <v>274</v>
      </c>
      <c r="AF3" s="1317" t="s">
        <v>275</v>
      </c>
      <c r="AG3" s="1327" t="s">
        <v>138</v>
      </c>
      <c r="AH3" s="1315"/>
      <c r="AI3" s="1315"/>
      <c r="AJ3" s="1315"/>
      <c r="AK3" s="1315" t="s">
        <v>2195</v>
      </c>
      <c r="AL3" s="1315"/>
      <c r="AM3" s="1315"/>
      <c r="AN3" s="1315"/>
      <c r="AO3" s="1315"/>
    </row>
    <row r="4" spans="1:49" ht="62.25" customHeight="1" x14ac:dyDescent="0.25">
      <c r="A4" s="1331"/>
      <c r="B4" s="1333"/>
      <c r="C4" s="1335"/>
      <c r="D4" s="350" t="s">
        <v>173</v>
      </c>
      <c r="E4" s="350" t="s">
        <v>536</v>
      </c>
      <c r="F4" s="23" t="s">
        <v>469</v>
      </c>
      <c r="G4" s="845"/>
      <c r="H4" s="845"/>
      <c r="I4" s="1312"/>
      <c r="J4" s="1193"/>
      <c r="K4" s="1315"/>
      <c r="L4" s="1315"/>
      <c r="M4" s="1315"/>
      <c r="N4" s="1310"/>
      <c r="O4" s="1310"/>
      <c r="P4" s="1315"/>
      <c r="Q4" s="1313"/>
      <c r="R4" s="1313"/>
      <c r="S4" s="1313"/>
      <c r="T4" s="1313"/>
      <c r="U4" s="1315"/>
      <c r="V4" s="1310"/>
      <c r="W4" s="1310"/>
      <c r="X4" s="1315"/>
      <c r="Y4" s="1315"/>
      <c r="Z4" s="1324"/>
      <c r="AA4" s="1322"/>
      <c r="AB4" s="1324"/>
      <c r="AC4" s="1318"/>
      <c r="AD4" s="1318"/>
      <c r="AE4" s="1320"/>
      <c r="AF4" s="1318"/>
      <c r="AG4" s="16" t="s">
        <v>139</v>
      </c>
      <c r="AH4" s="16" t="s">
        <v>140</v>
      </c>
      <c r="AI4" s="16" t="s">
        <v>141</v>
      </c>
      <c r="AJ4" s="16" t="s">
        <v>142</v>
      </c>
      <c r="AK4" s="398" t="s">
        <v>2192</v>
      </c>
      <c r="AL4" s="398" t="s">
        <v>4582</v>
      </c>
      <c r="AM4" s="16" t="s">
        <v>4581</v>
      </c>
      <c r="AN4" s="398" t="s">
        <v>2193</v>
      </c>
      <c r="AO4" s="16" t="s">
        <v>2194</v>
      </c>
      <c r="AP4" s="24" t="s">
        <v>2197</v>
      </c>
    </row>
    <row r="5" spans="1:49" ht="15.75" customHeight="1" x14ac:dyDescent="0.25">
      <c r="A5" s="857" t="s">
        <v>6315</v>
      </c>
      <c r="B5" s="1336"/>
      <c r="C5" s="1336"/>
      <c r="D5" s="1336"/>
      <c r="E5" s="1336"/>
      <c r="F5" s="1336"/>
      <c r="G5" s="1336"/>
      <c r="H5" s="1337"/>
      <c r="N5" s="1309"/>
      <c r="O5" s="1309"/>
      <c r="AC5"/>
      <c r="AD5"/>
      <c r="AE5"/>
      <c r="AF5"/>
    </row>
    <row r="6" spans="1:49" ht="36" customHeight="1" x14ac:dyDescent="0.25">
      <c r="A6" s="894" t="s">
        <v>6292</v>
      </c>
      <c r="B6" s="854" t="s">
        <v>538</v>
      </c>
      <c r="C6" s="856" t="s">
        <v>539</v>
      </c>
      <c r="D6" s="854" t="str" cm="1">
        <f t="array" ref="D6">Fic</f>
        <v xml:space="preserve">Fichier ou base de données </v>
      </c>
      <c r="E6" s="788" t="str">
        <f>Disp</f>
        <v>Disparition</v>
      </c>
      <c r="F6" s="858" t="s">
        <v>3198</v>
      </c>
      <c r="G6" s="858" t="s">
        <v>4761</v>
      </c>
      <c r="H6" s="895" t="s">
        <v>6709</v>
      </c>
      <c r="I6" s="24">
        <v>1</v>
      </c>
      <c r="J6" s="83" t="str">
        <f t="shared" ref="J6:J24" si="0">VLOOKUP($F6,Tab_event,5)</f>
        <v>V</v>
      </c>
      <c r="K6" s="24" t="str">
        <f t="shared" ref="K6:K24" si="1">C6</f>
        <v>D</v>
      </c>
      <c r="L6" s="83">
        <f t="shared" ref="L6:L24" si="2">IF(VLOOKUP($B6,Tab_classif,8,FALSE)=1,VLOOKUP($B6,Tab_classif,IF(C6="D",4,IF(C6="I",5,IF(C6="C",6,7))),FALSE),1)</f>
        <v>3</v>
      </c>
      <c r="M6" s="83">
        <f t="shared" ref="M6:M24" si="3">VLOOKUP($F6,Tab_event,3,FALSE)</f>
        <v>3</v>
      </c>
      <c r="N6" s="1310"/>
      <c r="O6" s="1310"/>
      <c r="P6" s="169">
        <f t="shared" ref="P6:P24" si="4">IF(AND(NOT(L6=""),NOT(M6="")),INDEX(base_g,5-IF(N6="",L6,N6),IF(O6="",M6,O6)),"")</f>
        <v>3</v>
      </c>
      <c r="Q6" s="871">
        <f>MIN(S3A08,S4A11)</f>
        <v>1</v>
      </c>
      <c r="R6" s="221">
        <f>1</f>
        <v>1</v>
      </c>
      <c r="S6" s="221">
        <f>1</f>
        <v>1</v>
      </c>
      <c r="T6" s="221">
        <f>S4A03</f>
        <v>1</v>
      </c>
      <c r="U6" s="687"/>
      <c r="V6" s="1071"/>
      <c r="W6" s="1071"/>
      <c r="X6" s="83">
        <f t="shared" ref="X6:X24" si="5">IF(L6="","",IF(K6="D",INDEX(base_i,IF(U6=0,4,5-S6),T6+7*(IF(N6="",L6,N6)-1)),IF(K6="I",INDEX(base_i,IF(U6=0,15,16-S6),T6+7*(IF(N6="",L6,N6)-1)),IF(K6="C",INDEX(base_i,IF(U6=0,26,27-S6),T6+7*(IF(N6="",L6,N6)-1)),INDEX(base_i,38-S6,T6+7*(IF(N6="",L6,N6)-1))))))</f>
        <v>3</v>
      </c>
      <c r="Y6" s="83" cm="1">
        <f t="array" ref="Y6">IF(M6="","",IF(J6="A",INDEX(base_p,4,R6+7*(IF(O6="",M6,O6)-1)),IF(J6="E",INDEX(base_p,15,R6+7*(IF(O6="",M6,O6)-1)),INDEX(base_p,27-Q6,R6+7*(IF(O6="",M6,O6)-1)))))</f>
        <v>3</v>
      </c>
      <c r="Z6" s="83">
        <f t="shared" ref="Z6:Z24" si="6">IF(AO6=1,IF(IndG&gt;1,IF(AND(OR(NOT(X6=""),NOT(V6="")),OR(NOT(Y6=""),NOT(W6="")),I6=1),INDEX(base_g,5-IF(V6="",X6,V6),IF(W6="",Y6,W6)),""),P6),"")</f>
        <v>3</v>
      </c>
      <c r="AA6" s="1092" t="s">
        <v>572</v>
      </c>
      <c r="AB6" s="83" t="str">
        <f>IF(OR(AA6="A",AA6="a",AA6="E",AA6="e",AA6="T",AA6="t",Z6=""),"",Z6)</f>
        <v/>
      </c>
      <c r="AC6" s="196" t="s">
        <v>6570</v>
      </c>
      <c r="AD6" s="199"/>
      <c r="AE6" s="196"/>
      <c r="AF6" s="196" t="s">
        <v>622</v>
      </c>
      <c r="AG6" s="1" t="str">
        <f t="shared" ref="AG6:AG24" si="7">IF($AB6=1,$F6&amp;$AB6,"")</f>
        <v/>
      </c>
      <c r="AH6" s="1" t="str">
        <f t="shared" ref="AH6:AH24" si="8">IF($AB6=2,$F6&amp;$AB6,"")</f>
        <v/>
      </c>
      <c r="AI6" s="1" t="str">
        <f t="shared" ref="AI6:AI24" si="9">IF($AB6=3,$F6&amp;$AB6,"")</f>
        <v/>
      </c>
      <c r="AJ6" s="1" t="str">
        <f t="shared" ref="AJ6:AJ24" si="10">IF($AB6=4,$F6&amp;$AB6,"")</f>
        <v/>
      </c>
      <c r="AK6">
        <f t="shared" ref="AK6:AK24" si="11">VLOOKUP($B6,Tab_classif,8,FALSE)</f>
        <v>1</v>
      </c>
      <c r="AL6">
        <f t="shared" ref="AL6:AL24" si="12">VLOOKUP(D6,Tab_ActS,2,FALSE)</f>
        <v>1</v>
      </c>
      <c r="AM6">
        <f t="shared" ref="AM6:AM24" si="13">VLOOKUP(E6,Tab_SDom,3,FALSE)</f>
        <v>1</v>
      </c>
      <c r="AN6">
        <f t="shared" ref="AN6:AN24" si="14">VLOOKUP($F6,Tab_event,4,FALSE)</f>
        <v>1</v>
      </c>
      <c r="AO6">
        <f t="shared" ref="AO6:AO24" si="15">I6*AK6*AL6*AM6*AN6</f>
        <v>1</v>
      </c>
      <c r="AP6" t="str">
        <f t="shared" ref="AP6:AP37" si="16">IF(AND(AO6=1,AA6=""),IF(IndG=1,10*L6+M6,10*X6+Y6),"")</f>
        <v/>
      </c>
      <c r="AW6">
        <v>3</v>
      </c>
    </row>
    <row r="7" spans="1:49" ht="36" customHeight="1" x14ac:dyDescent="0.25">
      <c r="A7" s="894" t="s">
        <v>6293</v>
      </c>
      <c r="B7" s="854" t="s">
        <v>538</v>
      </c>
      <c r="C7" s="856" t="s">
        <v>539</v>
      </c>
      <c r="D7" s="854" t="str" cm="1">
        <f t="array" ref="D7">Fic</f>
        <v xml:space="preserve">Fichier ou base de données </v>
      </c>
      <c r="E7" s="788" t="str">
        <f>Disp</f>
        <v>Disparition</v>
      </c>
      <c r="F7" s="858" t="s">
        <v>3198</v>
      </c>
      <c r="G7" s="858" t="s">
        <v>4761</v>
      </c>
      <c r="H7" s="850" t="s">
        <v>4726</v>
      </c>
      <c r="I7" s="24">
        <v>1</v>
      </c>
      <c r="J7" s="83" t="str">
        <f t="shared" si="0"/>
        <v>V</v>
      </c>
      <c r="K7" s="24" t="str">
        <f t="shared" si="1"/>
        <v>D</v>
      </c>
      <c r="L7" s="83">
        <f t="shared" si="2"/>
        <v>3</v>
      </c>
      <c r="M7" s="83">
        <f t="shared" si="3"/>
        <v>3</v>
      </c>
      <c r="N7" s="1070"/>
      <c r="O7" s="1070"/>
      <c r="P7" s="169">
        <f t="shared" si="4"/>
        <v>3</v>
      </c>
      <c r="Q7" s="871">
        <f>1</f>
        <v>1</v>
      </c>
      <c r="R7" s="221">
        <f>MIN(S3A04,S3A07)</f>
        <v>1</v>
      </c>
      <c r="S7" s="221">
        <f>1</f>
        <v>1</v>
      </c>
      <c r="T7" s="221">
        <f>S4A03</f>
        <v>1</v>
      </c>
      <c r="U7" s="687"/>
      <c r="V7" s="1071"/>
      <c r="W7" s="1071"/>
      <c r="X7" s="83">
        <f t="shared" si="5"/>
        <v>3</v>
      </c>
      <c r="Y7" s="83" cm="1">
        <f t="array" ref="Y7">IF(M7="","",IF(J7="A",INDEX(base_p,4,R7+7*(IF(O7="",M7,O7)-1)),IF(J7="E",INDEX(base_p,15,R7+7*(IF(O7="",M7,O7)-1)),INDEX(base_p,27-Q7,R7+7*(IF(O7="",M7,O7)-1)))))</f>
        <v>3</v>
      </c>
      <c r="Z7" s="83">
        <f t="shared" si="6"/>
        <v>3</v>
      </c>
      <c r="AA7" s="1092"/>
      <c r="AB7" s="83">
        <f>IF(OR(AA7="A",AA7="a",AA7="E",AA7="e",AA7="T",AA7="t",Z7=""),"",Z7)</f>
        <v>3</v>
      </c>
      <c r="AC7" s="196"/>
      <c r="AD7" s="199" t="s">
        <v>2041</v>
      </c>
      <c r="AE7" s="380"/>
      <c r="AF7" s="196" t="s">
        <v>622</v>
      </c>
      <c r="AG7" s="1" t="str">
        <f t="shared" si="7"/>
        <v/>
      </c>
      <c r="AH7" s="1" t="str">
        <f t="shared" si="8"/>
        <v/>
      </c>
      <c r="AI7" s="1" t="str">
        <f t="shared" si="9"/>
        <v>AH.L.Del3</v>
      </c>
      <c r="AJ7" s="1" t="str">
        <f t="shared" si="10"/>
        <v/>
      </c>
      <c r="AK7">
        <f t="shared" si="11"/>
        <v>1</v>
      </c>
      <c r="AL7">
        <f t="shared" si="12"/>
        <v>1</v>
      </c>
      <c r="AM7">
        <f t="shared" si="13"/>
        <v>1</v>
      </c>
      <c r="AN7">
        <f t="shared" si="14"/>
        <v>1</v>
      </c>
      <c r="AO7">
        <f t="shared" si="15"/>
        <v>1</v>
      </c>
      <c r="AP7">
        <f t="shared" si="16"/>
        <v>33</v>
      </c>
      <c r="AS7" s="222"/>
    </row>
    <row r="8" spans="1:49" ht="36" customHeight="1" x14ac:dyDescent="0.25">
      <c r="A8" s="894" t="s">
        <v>6294</v>
      </c>
      <c r="B8" s="854" t="s">
        <v>538</v>
      </c>
      <c r="C8" s="856" t="s">
        <v>539</v>
      </c>
      <c r="D8" s="854" t="str" cm="1">
        <f t="array" ref="D8">Fic</f>
        <v xml:space="preserve">Fichier ou base de données </v>
      </c>
      <c r="E8" s="788" t="str">
        <f>Disp</f>
        <v>Disparition</v>
      </c>
      <c r="F8" s="858" t="s">
        <v>546</v>
      </c>
      <c r="G8" s="858" t="s">
        <v>4762</v>
      </c>
      <c r="H8" s="850"/>
      <c r="I8" s="24">
        <v>1</v>
      </c>
      <c r="J8" s="83" t="str">
        <f t="shared" si="0"/>
        <v>E</v>
      </c>
      <c r="K8" s="24" t="str">
        <f t="shared" si="1"/>
        <v>D</v>
      </c>
      <c r="L8" s="83">
        <f t="shared" si="2"/>
        <v>3</v>
      </c>
      <c r="M8" s="83">
        <f t="shared" si="3"/>
        <v>3</v>
      </c>
      <c r="N8" s="1070"/>
      <c r="O8" s="1070"/>
      <c r="P8" s="169">
        <f t="shared" si="4"/>
        <v>3</v>
      </c>
      <c r="Q8" s="871">
        <f>1</f>
        <v>1</v>
      </c>
      <c r="R8" s="221">
        <f>1</f>
        <v>1</v>
      </c>
      <c r="S8" s="221">
        <f>1</f>
        <v>1</v>
      </c>
      <c r="T8" s="221">
        <f>S4A03</f>
        <v>1</v>
      </c>
      <c r="U8" s="687"/>
      <c r="V8" s="1071"/>
      <c r="W8" s="1071"/>
      <c r="X8" s="83">
        <f t="shared" si="5"/>
        <v>3</v>
      </c>
      <c r="Y8" s="83" cm="1">
        <f t="array" ref="Y8">IF(M8="","",IF(J8="A",INDEX(base_p,4,R8+7*(IF(O8="",M8,O8)-1)),IF(J8="E",INDEX(base_p,15,R8+7*(IF(O8="",M8,O8)-1)),INDEX(base_p,27-Q8,R8+7*(IF(O8="",M8,O8)-1)))))</f>
        <v>3</v>
      </c>
      <c r="Z8" s="83">
        <f t="shared" si="6"/>
        <v>3</v>
      </c>
      <c r="AA8" s="1092"/>
      <c r="AB8" s="83">
        <f>IF(OR(AA8="A",AA8="a",AA8="E",AA8="e",AA8="T",AA8="t",Z8=""),"",Z8)</f>
        <v>3</v>
      </c>
      <c r="AC8" s="167"/>
      <c r="AD8" s="196"/>
      <c r="AE8" s="165"/>
      <c r="AF8" s="196" t="s">
        <v>622</v>
      </c>
      <c r="AG8" s="1" t="str">
        <f t="shared" si="7"/>
        <v/>
      </c>
      <c r="AH8" s="1" t="str">
        <f t="shared" si="8"/>
        <v/>
      </c>
      <c r="AI8" s="1" t="str">
        <f t="shared" si="9"/>
        <v>ER.P.Pro3</v>
      </c>
      <c r="AJ8" s="1" t="str">
        <f t="shared" si="10"/>
        <v/>
      </c>
      <c r="AK8">
        <f t="shared" si="11"/>
        <v>1</v>
      </c>
      <c r="AL8">
        <f t="shared" si="12"/>
        <v>1</v>
      </c>
      <c r="AM8">
        <f t="shared" si="13"/>
        <v>1</v>
      </c>
      <c r="AN8">
        <f t="shared" si="14"/>
        <v>1</v>
      </c>
      <c r="AO8">
        <f t="shared" si="15"/>
        <v>1</v>
      </c>
      <c r="AP8">
        <f t="shared" si="16"/>
        <v>33</v>
      </c>
      <c r="AS8" s="222"/>
    </row>
    <row r="9" spans="1:49" ht="39.75" customHeight="1" x14ac:dyDescent="0.25">
      <c r="A9" s="894" t="s">
        <v>6295</v>
      </c>
      <c r="B9" s="854" t="s">
        <v>538</v>
      </c>
      <c r="C9" s="856" t="s">
        <v>539</v>
      </c>
      <c r="D9" s="854" t="str" cm="1">
        <f t="array" ref="D9">Fic</f>
        <v xml:space="preserve">Fichier ou base de données </v>
      </c>
      <c r="E9" s="788" t="str">
        <f>Disp</f>
        <v>Disparition</v>
      </c>
      <c r="F9" s="858" t="s">
        <v>3219</v>
      </c>
      <c r="G9" s="858" t="s">
        <v>4763</v>
      </c>
      <c r="H9" s="859"/>
      <c r="I9" s="24">
        <v>1</v>
      </c>
      <c r="J9" s="83" t="str">
        <f t="shared" si="0"/>
        <v>V</v>
      </c>
      <c r="K9" s="24" t="str">
        <f t="shared" si="1"/>
        <v>D</v>
      </c>
      <c r="L9" s="83">
        <f t="shared" si="2"/>
        <v>3</v>
      </c>
      <c r="M9" s="83">
        <f t="shared" si="3"/>
        <v>2</v>
      </c>
      <c r="N9" s="1070"/>
      <c r="O9" s="1070"/>
      <c r="P9" s="169">
        <f t="shared" si="4"/>
        <v>3</v>
      </c>
      <c r="Q9" s="871">
        <f>S3A08</f>
        <v>1</v>
      </c>
      <c r="R9" s="221">
        <f>1</f>
        <v>1</v>
      </c>
      <c r="S9" s="221">
        <f>1</f>
        <v>1</v>
      </c>
      <c r="T9" s="221">
        <f>1</f>
        <v>1</v>
      </c>
      <c r="U9" s="687"/>
      <c r="V9" s="1071"/>
      <c r="W9" s="1071"/>
      <c r="X9" s="83">
        <f t="shared" si="5"/>
        <v>3</v>
      </c>
      <c r="Y9" s="83" cm="1">
        <f t="array" ref="Y9">IF(M9="","",IF(J9="A",INDEX(base_p,4,R9+7*(IF(O9="",M9,O9)-1)),IF(J9="E",INDEX(base_p,15,R9+7*(IF(O9="",M9,O9)-1)),INDEX(base_p,27-Q9,R9+7*(IF(O9="",M9,O9)-1)))))</f>
        <v>2</v>
      </c>
      <c r="Z9" s="83">
        <f t="shared" si="6"/>
        <v>3</v>
      </c>
      <c r="AA9" s="1092" t="s">
        <v>357</v>
      </c>
      <c r="AB9" s="83" t="str">
        <f t="shared" ref="AB9:AB67" si="17">IF(OR(AA9="A",AA9="a",AA9="E",AA9="e",AA9="T",AA9="t",Z9=""),"",Z9)</f>
        <v/>
      </c>
      <c r="AC9" s="199" t="s">
        <v>820</v>
      </c>
      <c r="AD9" s="199"/>
      <c r="AE9" s="165"/>
      <c r="AF9" s="196"/>
      <c r="AG9" s="1" t="str">
        <f t="shared" si="7"/>
        <v/>
      </c>
      <c r="AH9" s="1" t="str">
        <f t="shared" si="8"/>
        <v/>
      </c>
      <c r="AI9" s="1" t="str">
        <f t="shared" si="9"/>
        <v/>
      </c>
      <c r="AJ9" s="1" t="str">
        <f t="shared" si="10"/>
        <v/>
      </c>
      <c r="AK9">
        <f t="shared" si="11"/>
        <v>1</v>
      </c>
      <c r="AL9">
        <f t="shared" si="12"/>
        <v>1</v>
      </c>
      <c r="AM9">
        <f t="shared" si="13"/>
        <v>1</v>
      </c>
      <c r="AN9">
        <f t="shared" si="14"/>
        <v>1</v>
      </c>
      <c r="AO9">
        <f t="shared" si="15"/>
        <v>1</v>
      </c>
      <c r="AP9" t="str">
        <f t="shared" si="16"/>
        <v/>
      </c>
    </row>
    <row r="10" spans="1:49" ht="39.75" customHeight="1" x14ac:dyDescent="0.25">
      <c r="A10" s="894" t="s">
        <v>6296</v>
      </c>
      <c r="B10" s="854" t="s">
        <v>538</v>
      </c>
      <c r="C10" s="856" t="s">
        <v>539</v>
      </c>
      <c r="D10" s="854" t="str" cm="1">
        <f t="array" ref="D10">Fic</f>
        <v xml:space="preserve">Fichier ou base de données </v>
      </c>
      <c r="E10" s="788" t="str">
        <f>Inex</f>
        <v>Inexploitabilité</v>
      </c>
      <c r="F10" s="858" t="s">
        <v>3198</v>
      </c>
      <c r="G10" s="858" t="s">
        <v>3200</v>
      </c>
      <c r="H10" s="851"/>
      <c r="I10" s="24">
        <v>1</v>
      </c>
      <c r="J10" s="83" t="str">
        <f t="shared" si="0"/>
        <v>V</v>
      </c>
      <c r="K10" s="24" t="str">
        <f t="shared" si="1"/>
        <v>D</v>
      </c>
      <c r="L10" s="83">
        <f t="shared" si="2"/>
        <v>3</v>
      </c>
      <c r="M10" s="83">
        <f t="shared" si="3"/>
        <v>3</v>
      </c>
      <c r="N10" s="1070"/>
      <c r="O10" s="1070"/>
      <c r="P10" s="169">
        <f t="shared" si="4"/>
        <v>3</v>
      </c>
      <c r="Q10" s="871">
        <f>1</f>
        <v>1</v>
      </c>
      <c r="R10" s="221">
        <f>S5C01</f>
        <v>1</v>
      </c>
      <c r="S10" s="221">
        <f>1</f>
        <v>1</v>
      </c>
      <c r="T10" s="221">
        <f>1</f>
        <v>1</v>
      </c>
      <c r="U10" s="687"/>
      <c r="V10" s="1071"/>
      <c r="W10" s="1071"/>
      <c r="X10" s="83">
        <f t="shared" si="5"/>
        <v>3</v>
      </c>
      <c r="Y10" s="83" cm="1">
        <f t="array" ref="Y10">IF(M10="","",IF(J10="A",INDEX(base_p,4,R10+7*(IF(O10="",M10,O10)-1)),IF(J10="E",INDEX(base_p,15,R10+7*(IF(O10="",M10,O10)-1)),INDEX(base_p,27-Q10,R10+7*(IF(O10="",M10,O10)-1)))))</f>
        <v>3</v>
      </c>
      <c r="Z10" s="83">
        <f t="shared" si="6"/>
        <v>3</v>
      </c>
      <c r="AA10" s="1092"/>
      <c r="AB10" s="83">
        <f t="shared" si="17"/>
        <v>3</v>
      </c>
      <c r="AC10" s="199"/>
      <c r="AD10" s="196" t="s">
        <v>643</v>
      </c>
      <c r="AE10" s="196"/>
      <c r="AF10" s="196"/>
      <c r="AG10" s="1" t="str">
        <f t="shared" si="7"/>
        <v/>
      </c>
      <c r="AH10" s="1" t="str">
        <f t="shared" si="8"/>
        <v/>
      </c>
      <c r="AI10" s="1" t="str">
        <f t="shared" si="9"/>
        <v>AH.L.Del3</v>
      </c>
      <c r="AJ10" s="1" t="str">
        <f t="shared" si="10"/>
        <v/>
      </c>
      <c r="AK10">
        <f t="shared" si="11"/>
        <v>1</v>
      </c>
      <c r="AL10">
        <f t="shared" si="12"/>
        <v>1</v>
      </c>
      <c r="AM10">
        <f t="shared" si="13"/>
        <v>1</v>
      </c>
      <c r="AN10">
        <f t="shared" si="14"/>
        <v>1</v>
      </c>
      <c r="AO10">
        <f t="shared" si="15"/>
        <v>1</v>
      </c>
      <c r="AP10">
        <f t="shared" si="16"/>
        <v>33</v>
      </c>
    </row>
    <row r="11" spans="1:49" ht="39.75" customHeight="1" x14ac:dyDescent="0.25">
      <c r="A11" s="894" t="s">
        <v>6297</v>
      </c>
      <c r="B11" s="854" t="s">
        <v>538</v>
      </c>
      <c r="C11" s="856" t="s">
        <v>539</v>
      </c>
      <c r="D11" s="854" t="str" cm="1">
        <f t="array" ref="D11">Fic</f>
        <v xml:space="preserve">Fichier ou base de données </v>
      </c>
      <c r="E11" s="795" t="str">
        <f>Endl</f>
        <v>Endommagement logique</v>
      </c>
      <c r="F11" s="858" t="s">
        <v>546</v>
      </c>
      <c r="G11" s="895" t="s">
        <v>6534</v>
      </c>
      <c r="H11" s="850" t="s">
        <v>4727</v>
      </c>
      <c r="I11" s="24">
        <v>1</v>
      </c>
      <c r="J11" s="83" t="str">
        <f t="shared" si="0"/>
        <v>E</v>
      </c>
      <c r="K11" s="24" t="str">
        <f t="shared" si="1"/>
        <v>D</v>
      </c>
      <c r="L11" s="83">
        <f t="shared" si="2"/>
        <v>3</v>
      </c>
      <c r="M11" s="83">
        <f t="shared" si="3"/>
        <v>3</v>
      </c>
      <c r="N11" s="1070"/>
      <c r="O11" s="1070"/>
      <c r="P11" s="169">
        <f t="shared" si="4"/>
        <v>3</v>
      </c>
      <c r="Q11" s="871">
        <f>1</f>
        <v>1</v>
      </c>
      <c r="R11" s="221">
        <f>MIN(S4A09,S7B09)</f>
        <v>1</v>
      </c>
      <c r="S11" s="221">
        <f>1</f>
        <v>1</v>
      </c>
      <c r="T11" s="221">
        <f>S4A03</f>
        <v>1</v>
      </c>
      <c r="U11" s="687"/>
      <c r="V11" s="1071"/>
      <c r="W11" s="1071"/>
      <c r="X11" s="83">
        <f t="shared" si="5"/>
        <v>3</v>
      </c>
      <c r="Y11" s="83" cm="1">
        <f t="array" ref="Y11">IF(M11="","",IF(J11="A",INDEX(base_p,4,R11+7*(IF(O11="",M11,O11)-1)),IF(J11="E",INDEX(base_p,15,R11+7*(IF(O11="",M11,O11)-1)),INDEX(base_p,27-Q11,R11+7*(IF(O11="",M11,O11)-1)))))</f>
        <v>3</v>
      </c>
      <c r="Z11" s="83">
        <f t="shared" si="6"/>
        <v>3</v>
      </c>
      <c r="AA11" s="1092"/>
      <c r="AB11" s="83">
        <f t="shared" si="17"/>
        <v>3</v>
      </c>
      <c r="AC11" s="167"/>
      <c r="AD11" s="196" t="s">
        <v>6573</v>
      </c>
      <c r="AE11" s="197"/>
      <c r="AF11" s="196" t="s">
        <v>622</v>
      </c>
      <c r="AG11" s="1" t="str">
        <f t="shared" si="7"/>
        <v/>
      </c>
      <c r="AH11" s="1" t="str">
        <f t="shared" si="8"/>
        <v/>
      </c>
      <c r="AI11" s="1" t="str">
        <f t="shared" si="9"/>
        <v>ER.P.Pro3</v>
      </c>
      <c r="AJ11" s="1" t="str">
        <f t="shared" si="10"/>
        <v/>
      </c>
      <c r="AK11">
        <f t="shared" si="11"/>
        <v>1</v>
      </c>
      <c r="AL11">
        <f t="shared" si="12"/>
        <v>1</v>
      </c>
      <c r="AM11">
        <f t="shared" si="13"/>
        <v>1</v>
      </c>
      <c r="AN11">
        <f t="shared" si="14"/>
        <v>1</v>
      </c>
      <c r="AO11">
        <f t="shared" si="15"/>
        <v>1</v>
      </c>
      <c r="AP11">
        <f t="shared" si="16"/>
        <v>33</v>
      </c>
    </row>
    <row r="12" spans="1:49" ht="39.75" customHeight="1" x14ac:dyDescent="0.25">
      <c r="A12" s="894" t="s">
        <v>6298</v>
      </c>
      <c r="B12" s="854" t="s">
        <v>538</v>
      </c>
      <c r="C12" s="856" t="s">
        <v>539</v>
      </c>
      <c r="D12" s="854" t="str" cm="1">
        <f t="array" ref="D12">Fic</f>
        <v xml:space="preserve">Fichier ou base de données </v>
      </c>
      <c r="E12" s="795" t="str">
        <f>Endl</f>
        <v>Endommagement logique</v>
      </c>
      <c r="F12" s="858" t="s">
        <v>546</v>
      </c>
      <c r="G12" s="895" t="s">
        <v>6534</v>
      </c>
      <c r="H12" s="850" t="s">
        <v>4728</v>
      </c>
      <c r="I12" s="24">
        <v>1</v>
      </c>
      <c r="J12" s="83" t="str">
        <f t="shared" si="0"/>
        <v>E</v>
      </c>
      <c r="K12" s="24" t="str">
        <f t="shared" si="1"/>
        <v>D</v>
      </c>
      <c r="L12" s="83">
        <f t="shared" si="2"/>
        <v>3</v>
      </c>
      <c r="M12" s="83">
        <f t="shared" si="3"/>
        <v>3</v>
      </c>
      <c r="N12" s="1070"/>
      <c r="O12" s="1070"/>
      <c r="P12" s="169">
        <f t="shared" si="4"/>
        <v>3</v>
      </c>
      <c r="Q12" s="871">
        <f>1</f>
        <v>1</v>
      </c>
      <c r="R12" s="221">
        <f>S4C02</f>
        <v>1</v>
      </c>
      <c r="S12" s="221">
        <f>1</f>
        <v>1</v>
      </c>
      <c r="T12" s="221">
        <f>S4A03</f>
        <v>1</v>
      </c>
      <c r="U12" s="687"/>
      <c r="V12" s="1071"/>
      <c r="W12" s="1071"/>
      <c r="X12" s="83">
        <f t="shared" si="5"/>
        <v>3</v>
      </c>
      <c r="Y12" s="83" cm="1">
        <f t="array" ref="Y12">IF(M12="","",IF(J12="A",INDEX(base_p,4,R12+7*(IF(O12="",M12,O12)-1)),IF(J12="E",INDEX(base_p,15,R12+7*(IF(O12="",M12,O12)-1)),INDEX(base_p,27-Q12,R12+7*(IF(O12="",M12,O12)-1)))))</f>
        <v>3</v>
      </c>
      <c r="Z12" s="83">
        <f t="shared" si="6"/>
        <v>3</v>
      </c>
      <c r="AA12" s="1092"/>
      <c r="AB12" s="83">
        <f t="shared" si="17"/>
        <v>3</v>
      </c>
      <c r="AC12" s="167"/>
      <c r="AD12" s="196" t="s">
        <v>633</v>
      </c>
      <c r="AE12" s="196"/>
      <c r="AF12" s="196" t="s">
        <v>622</v>
      </c>
      <c r="AG12" s="1" t="str">
        <f t="shared" si="7"/>
        <v/>
      </c>
      <c r="AH12" s="1" t="str">
        <f t="shared" si="8"/>
        <v/>
      </c>
      <c r="AI12" s="1" t="str">
        <f t="shared" si="9"/>
        <v>ER.P.Pro3</v>
      </c>
      <c r="AJ12" s="1" t="str">
        <f t="shared" si="10"/>
        <v/>
      </c>
      <c r="AK12">
        <f t="shared" si="11"/>
        <v>1</v>
      </c>
      <c r="AL12">
        <f t="shared" si="12"/>
        <v>1</v>
      </c>
      <c r="AM12">
        <f t="shared" si="13"/>
        <v>1</v>
      </c>
      <c r="AN12">
        <f t="shared" si="14"/>
        <v>1</v>
      </c>
      <c r="AO12">
        <f t="shared" si="15"/>
        <v>1</v>
      </c>
      <c r="AP12">
        <f t="shared" si="16"/>
        <v>33</v>
      </c>
    </row>
    <row r="13" spans="1:49" ht="39.75" customHeight="1" x14ac:dyDescent="0.25">
      <c r="A13" s="894" t="s">
        <v>6299</v>
      </c>
      <c r="B13" s="854" t="s">
        <v>538</v>
      </c>
      <c r="C13" s="856" t="s">
        <v>539</v>
      </c>
      <c r="D13" s="854" t="str" cm="1">
        <f t="array" ref="D13">Fic</f>
        <v xml:space="preserve">Fichier ou base de données </v>
      </c>
      <c r="E13" s="795" t="str">
        <f>Endl</f>
        <v>Endommagement logique</v>
      </c>
      <c r="F13" s="858" t="s">
        <v>3211</v>
      </c>
      <c r="G13" s="858" t="s">
        <v>4764</v>
      </c>
      <c r="H13" s="895" t="s">
        <v>6305</v>
      </c>
      <c r="I13" s="24">
        <v>1</v>
      </c>
      <c r="J13" s="83" t="str">
        <f t="shared" si="0"/>
        <v>V</v>
      </c>
      <c r="K13" s="24" t="str">
        <f t="shared" si="1"/>
        <v>D</v>
      </c>
      <c r="L13" s="83">
        <f t="shared" si="2"/>
        <v>3</v>
      </c>
      <c r="M13" s="83">
        <f t="shared" si="3"/>
        <v>3</v>
      </c>
      <c r="N13" s="1070"/>
      <c r="O13" s="1070"/>
      <c r="P13" s="169">
        <f t="shared" si="4"/>
        <v>3</v>
      </c>
      <c r="Q13" s="871">
        <f>1</f>
        <v>1</v>
      </c>
      <c r="R13" s="221">
        <f>MIN(S4A09,S7B09)</f>
        <v>1</v>
      </c>
      <c r="S13" s="221">
        <f>1</f>
        <v>1</v>
      </c>
      <c r="T13" s="221">
        <f>S4A03</f>
        <v>1</v>
      </c>
      <c r="U13" s="687"/>
      <c r="V13" s="1071"/>
      <c r="W13" s="1071"/>
      <c r="X13" s="83">
        <f t="shared" si="5"/>
        <v>3</v>
      </c>
      <c r="Y13" s="83" cm="1">
        <f t="array" ref="Y13">IF(M13="","",IF(J13="A",INDEX(base_p,4,R13+7*(IF(O13="",M13,O13)-1)),IF(J13="E",INDEX(base_p,15,R13+7*(IF(O13="",M13,O13)-1)),INDEX(base_p,27-Q13,R13+7*(IF(O13="",M13,O13)-1)))))</f>
        <v>3</v>
      </c>
      <c r="Z13" s="83">
        <f t="shared" si="6"/>
        <v>3</v>
      </c>
      <c r="AA13" s="1092"/>
      <c r="AB13" s="83">
        <f t="shared" si="17"/>
        <v>3</v>
      </c>
      <c r="AC13" s="196"/>
      <c r="AD13" s="196" t="s">
        <v>6573</v>
      </c>
      <c r="AE13" s="197"/>
      <c r="AF13" s="196" t="s">
        <v>622</v>
      </c>
      <c r="AG13" s="1" t="str">
        <f t="shared" si="7"/>
        <v/>
      </c>
      <c r="AH13" s="1" t="str">
        <f t="shared" si="8"/>
        <v/>
      </c>
      <c r="AI13" s="1" t="str">
        <f t="shared" si="9"/>
        <v>AH.L.Fal3</v>
      </c>
      <c r="AJ13" s="1" t="str">
        <f t="shared" si="10"/>
        <v/>
      </c>
      <c r="AK13">
        <f t="shared" si="11"/>
        <v>1</v>
      </c>
      <c r="AL13">
        <f t="shared" si="12"/>
        <v>1</v>
      </c>
      <c r="AM13">
        <f t="shared" si="13"/>
        <v>1</v>
      </c>
      <c r="AN13">
        <f t="shared" si="14"/>
        <v>1</v>
      </c>
      <c r="AO13">
        <f t="shared" si="15"/>
        <v>1</v>
      </c>
      <c r="AP13">
        <f t="shared" si="16"/>
        <v>33</v>
      </c>
    </row>
    <row r="14" spans="1:49" ht="39.75" customHeight="1" x14ac:dyDescent="0.25">
      <c r="A14" s="894" t="s">
        <v>6300</v>
      </c>
      <c r="B14" s="854" t="s">
        <v>538</v>
      </c>
      <c r="C14" s="856" t="s">
        <v>539</v>
      </c>
      <c r="D14" s="854" t="str" cm="1">
        <f t="array" ref="D14">Fic</f>
        <v xml:space="preserve">Fichier ou base de données </v>
      </c>
      <c r="E14" s="795" t="str">
        <f>Endl</f>
        <v>Endommagement logique</v>
      </c>
      <c r="F14" s="858" t="s">
        <v>3211</v>
      </c>
      <c r="G14" s="858" t="s">
        <v>4764</v>
      </c>
      <c r="H14" s="895" t="s">
        <v>6710</v>
      </c>
      <c r="I14" s="24">
        <v>1</v>
      </c>
      <c r="J14" s="83" t="str">
        <f t="shared" si="0"/>
        <v>V</v>
      </c>
      <c r="K14" s="24" t="str">
        <f t="shared" si="1"/>
        <v>D</v>
      </c>
      <c r="L14" s="83">
        <f t="shared" si="2"/>
        <v>3</v>
      </c>
      <c r="M14" s="83">
        <f t="shared" si="3"/>
        <v>3</v>
      </c>
      <c r="N14" s="1070"/>
      <c r="O14" s="1070"/>
      <c r="P14" s="169">
        <f t="shared" si="4"/>
        <v>3</v>
      </c>
      <c r="Q14" s="871">
        <f>MIN(S3A08,S4A11)</f>
        <v>1</v>
      </c>
      <c r="R14" s="221">
        <f>1</f>
        <v>1</v>
      </c>
      <c r="S14" s="221">
        <f>1</f>
        <v>1</v>
      </c>
      <c r="T14" s="221">
        <f>S4A03</f>
        <v>1</v>
      </c>
      <c r="U14" s="687"/>
      <c r="V14" s="1071"/>
      <c r="W14" s="1071"/>
      <c r="X14" s="83">
        <f t="shared" si="5"/>
        <v>3</v>
      </c>
      <c r="Y14" s="83" cm="1">
        <f t="array" ref="Y14">IF(M14="","",IF(J14="A",INDEX(base_p,4,R14+7*(IF(O14="",M14,O14)-1)),IF(J14="E",INDEX(base_p,15,R14+7*(IF(O14="",M14,O14)-1)),INDEX(base_p,27-Q14,R14+7*(IF(O14="",M14,O14)-1)))))</f>
        <v>3</v>
      </c>
      <c r="Z14" s="83">
        <f t="shared" si="6"/>
        <v>3</v>
      </c>
      <c r="AA14" s="1092"/>
      <c r="AB14" s="83">
        <f t="shared" si="17"/>
        <v>3</v>
      </c>
      <c r="AC14" s="196" t="s">
        <v>6570</v>
      </c>
      <c r="AD14" s="196"/>
      <c r="AE14" s="197"/>
      <c r="AF14" s="196" t="s">
        <v>622</v>
      </c>
      <c r="AG14" s="1" t="str">
        <f t="shared" si="7"/>
        <v/>
      </c>
      <c r="AH14" s="1" t="str">
        <f t="shared" si="8"/>
        <v/>
      </c>
      <c r="AI14" s="1" t="str">
        <f t="shared" si="9"/>
        <v>AH.L.Fal3</v>
      </c>
      <c r="AJ14" s="1" t="str">
        <f t="shared" si="10"/>
        <v/>
      </c>
      <c r="AK14">
        <f t="shared" si="11"/>
        <v>1</v>
      </c>
      <c r="AL14">
        <f t="shared" si="12"/>
        <v>1</v>
      </c>
      <c r="AM14">
        <f t="shared" si="13"/>
        <v>1</v>
      </c>
      <c r="AN14">
        <f t="shared" si="14"/>
        <v>1</v>
      </c>
      <c r="AO14">
        <f t="shared" si="15"/>
        <v>1</v>
      </c>
      <c r="AP14">
        <f t="shared" si="16"/>
        <v>33</v>
      </c>
    </row>
    <row r="15" spans="1:49" ht="39.75" customHeight="1" x14ac:dyDescent="0.25">
      <c r="A15" s="894" t="s">
        <v>6301</v>
      </c>
      <c r="B15" s="854" t="s">
        <v>538</v>
      </c>
      <c r="C15" s="856" t="s">
        <v>539</v>
      </c>
      <c r="D15" s="854" t="str" cm="1">
        <f t="array" ref="D15">Fic</f>
        <v xml:space="preserve">Fichier ou base de données </v>
      </c>
      <c r="E15" s="795" t="str">
        <f>Endl</f>
        <v>Endommagement logique</v>
      </c>
      <c r="F15" s="858" t="s">
        <v>3211</v>
      </c>
      <c r="G15" s="858" t="s">
        <v>4764</v>
      </c>
      <c r="H15" s="850" t="s">
        <v>4729</v>
      </c>
      <c r="I15" s="24">
        <v>1</v>
      </c>
      <c r="J15" s="83" t="str">
        <f t="shared" si="0"/>
        <v>V</v>
      </c>
      <c r="K15" s="24" t="str">
        <f t="shared" si="1"/>
        <v>D</v>
      </c>
      <c r="L15" s="83">
        <f t="shared" si="2"/>
        <v>3</v>
      </c>
      <c r="M15" s="83">
        <f t="shared" si="3"/>
        <v>3</v>
      </c>
      <c r="N15" s="1070"/>
      <c r="O15" s="1070"/>
      <c r="P15" s="169">
        <f t="shared" si="4"/>
        <v>3</v>
      </c>
      <c r="Q15" s="871">
        <f>1</f>
        <v>1</v>
      </c>
      <c r="R15" s="221">
        <f>MIN(S3A04,S3A07)</f>
        <v>1</v>
      </c>
      <c r="S15" s="221">
        <f>1</f>
        <v>1</v>
      </c>
      <c r="T15" s="221">
        <f>S4A03</f>
        <v>1</v>
      </c>
      <c r="U15" s="687"/>
      <c r="V15" s="1071"/>
      <c r="W15" s="1071"/>
      <c r="X15" s="83">
        <f t="shared" si="5"/>
        <v>3</v>
      </c>
      <c r="Y15" s="83" cm="1">
        <f t="array" ref="Y15">IF(M15="","",IF(J15="A",INDEX(base_p,4,R15+7*(IF(O15="",M15,O15)-1)),IF(J15="E",INDEX(base_p,15,R15+7*(IF(O15="",M15,O15)-1)),INDEX(base_p,27-Q15,R15+7*(IF(O15="",M15,O15)-1)))))</f>
        <v>3</v>
      </c>
      <c r="Z15" s="83">
        <f t="shared" si="6"/>
        <v>3</v>
      </c>
      <c r="AA15" s="1092"/>
      <c r="AB15" s="83">
        <f t="shared" si="17"/>
        <v>3</v>
      </c>
      <c r="AC15" s="167"/>
      <c r="AD15" s="196" t="s">
        <v>2041</v>
      </c>
      <c r="AE15" s="165"/>
      <c r="AF15" s="196" t="s">
        <v>622</v>
      </c>
      <c r="AG15" s="1" t="str">
        <f t="shared" si="7"/>
        <v/>
      </c>
      <c r="AH15" s="1" t="str">
        <f t="shared" si="8"/>
        <v/>
      </c>
      <c r="AI15" s="1" t="str">
        <f t="shared" si="9"/>
        <v>AH.L.Fal3</v>
      </c>
      <c r="AJ15" s="1" t="str">
        <f t="shared" si="10"/>
        <v/>
      </c>
      <c r="AK15">
        <f t="shared" si="11"/>
        <v>1</v>
      </c>
      <c r="AL15">
        <f t="shared" si="12"/>
        <v>1</v>
      </c>
      <c r="AM15">
        <f t="shared" si="13"/>
        <v>1</v>
      </c>
      <c r="AN15">
        <f t="shared" si="14"/>
        <v>1</v>
      </c>
      <c r="AO15">
        <f t="shared" si="15"/>
        <v>1</v>
      </c>
      <c r="AP15">
        <f t="shared" si="16"/>
        <v>33</v>
      </c>
    </row>
    <row r="16" spans="1:49" ht="39.75" customHeight="1" x14ac:dyDescent="0.25">
      <c r="A16" s="894" t="s">
        <v>6302</v>
      </c>
      <c r="B16" s="854" t="s">
        <v>538</v>
      </c>
      <c r="C16" s="856" t="s">
        <v>539</v>
      </c>
      <c r="D16" s="854" t="str">
        <f>Det</f>
        <v>Données en transit</v>
      </c>
      <c r="E16" s="854" t="str">
        <f>Disp</f>
        <v>Disparition</v>
      </c>
      <c r="F16" s="905" t="s">
        <v>546</v>
      </c>
      <c r="G16" s="858" t="s">
        <v>4765</v>
      </c>
      <c r="H16" s="848"/>
      <c r="I16" s="24">
        <v>1</v>
      </c>
      <c r="J16" s="83" t="str">
        <f t="shared" si="0"/>
        <v>E</v>
      </c>
      <c r="K16" s="24" t="str">
        <f t="shared" si="1"/>
        <v>D</v>
      </c>
      <c r="L16" s="83">
        <f t="shared" si="2"/>
        <v>3</v>
      </c>
      <c r="M16" s="83">
        <f t="shared" si="3"/>
        <v>3</v>
      </c>
      <c r="N16" s="1070"/>
      <c r="O16" s="1070"/>
      <c r="P16" s="169">
        <f t="shared" si="4"/>
        <v>3</v>
      </c>
      <c r="Q16" s="871">
        <f>1</f>
        <v>1</v>
      </c>
      <c r="R16" s="221">
        <f>1</f>
        <v>1</v>
      </c>
      <c r="S16" s="221">
        <f>1</f>
        <v>1</v>
      </c>
      <c r="T16" s="221">
        <f>S5E04</f>
        <v>1</v>
      </c>
      <c r="U16" s="687"/>
      <c r="V16" s="1071"/>
      <c r="W16" s="1071"/>
      <c r="X16" s="83">
        <f t="shared" si="5"/>
        <v>3</v>
      </c>
      <c r="Y16" s="83" cm="1">
        <f t="array" ref="Y16">IF(M16="","",IF(J16="A",INDEX(base_p,4,R16+7*(IF(O16="",M16,O16)-1)),IF(J16="E",INDEX(base_p,15,R16+7*(IF(O16="",M16,O16)-1)),INDEX(base_p,27-Q16,R16+7*(IF(O16="",M16,O16)-1)))))</f>
        <v>3</v>
      </c>
      <c r="Z16" s="83">
        <f t="shared" si="6"/>
        <v>3</v>
      </c>
      <c r="AA16" s="1092"/>
      <c r="AB16" s="83">
        <f t="shared" si="17"/>
        <v>3</v>
      </c>
      <c r="AC16" s="199"/>
      <c r="AD16" s="196"/>
      <c r="AE16" s="165"/>
      <c r="AF16" s="199" t="s">
        <v>4591</v>
      </c>
      <c r="AG16" s="1" t="str">
        <f t="shared" si="7"/>
        <v/>
      </c>
      <c r="AH16" s="1" t="str">
        <f t="shared" si="8"/>
        <v/>
      </c>
      <c r="AI16" s="1" t="str">
        <f t="shared" si="9"/>
        <v>ER.P.Pro3</v>
      </c>
      <c r="AJ16" s="1" t="str">
        <f t="shared" si="10"/>
        <v/>
      </c>
      <c r="AK16">
        <f t="shared" si="11"/>
        <v>1</v>
      </c>
      <c r="AL16">
        <f t="shared" si="12"/>
        <v>1</v>
      </c>
      <c r="AM16">
        <f t="shared" si="13"/>
        <v>1</v>
      </c>
      <c r="AN16">
        <f t="shared" si="14"/>
        <v>1</v>
      </c>
      <c r="AO16">
        <f t="shared" si="15"/>
        <v>1</v>
      </c>
      <c r="AP16">
        <f t="shared" si="16"/>
        <v>33</v>
      </c>
    </row>
    <row r="17" spans="1:42" ht="39.75" customHeight="1" x14ac:dyDescent="0.25">
      <c r="A17" s="894" t="s">
        <v>6303</v>
      </c>
      <c r="B17" s="854" t="s">
        <v>538</v>
      </c>
      <c r="C17" s="856" t="s">
        <v>539</v>
      </c>
      <c r="D17" s="854" t="str">
        <f t="shared" ref="D17:D24" si="18">Med</f>
        <v>Media support de données</v>
      </c>
      <c r="E17" s="788" t="str">
        <f>Inac</f>
        <v>Inaccessibilité</v>
      </c>
      <c r="F17" s="858" t="s">
        <v>3198</v>
      </c>
      <c r="G17" s="858" t="s">
        <v>3201</v>
      </c>
      <c r="H17" s="850"/>
      <c r="I17" s="24">
        <v>1</v>
      </c>
      <c r="J17" s="83" t="str">
        <f t="shared" si="0"/>
        <v>V</v>
      </c>
      <c r="K17" s="24" t="str">
        <f t="shared" si="1"/>
        <v>D</v>
      </c>
      <c r="L17" s="83">
        <f t="shared" si="2"/>
        <v>3</v>
      </c>
      <c r="M17" s="83">
        <f t="shared" si="3"/>
        <v>3</v>
      </c>
      <c r="N17" s="1070"/>
      <c r="O17" s="1070"/>
      <c r="P17" s="169">
        <f t="shared" si="4"/>
        <v>3</v>
      </c>
      <c r="Q17" s="871">
        <f>1</f>
        <v>1</v>
      </c>
      <c r="R17" s="221">
        <f>S4E01</f>
        <v>1</v>
      </c>
      <c r="S17" s="221">
        <f>1</f>
        <v>1</v>
      </c>
      <c r="T17" s="221">
        <f>1</f>
        <v>1</v>
      </c>
      <c r="U17" s="687"/>
      <c r="V17" s="1071"/>
      <c r="W17" s="1071"/>
      <c r="X17" s="83">
        <f t="shared" si="5"/>
        <v>3</v>
      </c>
      <c r="Y17" s="83" cm="1">
        <f t="array" ref="Y17">IF(M17="","",IF(J17="A",INDEX(base_p,4,R17+7*(IF(O17="",M17,O17)-1)),IF(J17="E",INDEX(base_p,15,R17+7*(IF(O17="",M17,O17)-1)),INDEX(base_p,27-Q17,R17+7*(IF(O17="",M17,O17)-1)))))</f>
        <v>3</v>
      </c>
      <c r="Z17" s="83">
        <f t="shared" si="6"/>
        <v>3</v>
      </c>
      <c r="AA17" s="1092"/>
      <c r="AB17" s="83">
        <f t="shared" si="17"/>
        <v>3</v>
      </c>
      <c r="AC17" s="167"/>
      <c r="AD17" s="196" t="s">
        <v>651</v>
      </c>
      <c r="AE17" s="197"/>
      <c r="AF17" s="196"/>
      <c r="AG17" s="1" t="str">
        <f t="shared" si="7"/>
        <v/>
      </c>
      <c r="AH17" s="1" t="str">
        <f t="shared" si="8"/>
        <v/>
      </c>
      <c r="AI17" s="1" t="str">
        <f t="shared" si="9"/>
        <v>AH.L.Del3</v>
      </c>
      <c r="AJ17" s="1" t="str">
        <f t="shared" si="10"/>
        <v/>
      </c>
      <c r="AK17">
        <f t="shared" si="11"/>
        <v>1</v>
      </c>
      <c r="AL17">
        <f t="shared" si="12"/>
        <v>1</v>
      </c>
      <c r="AM17">
        <f t="shared" si="13"/>
        <v>1</v>
      </c>
      <c r="AN17">
        <f t="shared" si="14"/>
        <v>1</v>
      </c>
      <c r="AO17">
        <f t="shared" si="15"/>
        <v>1</v>
      </c>
      <c r="AP17">
        <f t="shared" si="16"/>
        <v>33</v>
      </c>
    </row>
    <row r="18" spans="1:42" ht="39.75" customHeight="1" x14ac:dyDescent="0.25">
      <c r="A18" s="894" t="s">
        <v>6304</v>
      </c>
      <c r="B18" s="854" t="s">
        <v>538</v>
      </c>
      <c r="C18" s="856" t="s">
        <v>539</v>
      </c>
      <c r="D18" s="854" t="str">
        <f t="shared" si="18"/>
        <v>Media support de données</v>
      </c>
      <c r="E18" s="860" t="str">
        <f>Disp</f>
        <v>Disparition</v>
      </c>
      <c r="F18" s="858" t="s">
        <v>455</v>
      </c>
      <c r="G18" s="896" t="s">
        <v>6306</v>
      </c>
      <c r="H18" s="861"/>
      <c r="I18" s="24">
        <v>1</v>
      </c>
      <c r="J18" s="83" t="str">
        <f t="shared" si="0"/>
        <v>E</v>
      </c>
      <c r="K18" s="24" t="str">
        <f t="shared" si="1"/>
        <v>D</v>
      </c>
      <c r="L18" s="83">
        <f t="shared" si="2"/>
        <v>3</v>
      </c>
      <c r="M18" s="83">
        <f t="shared" si="3"/>
        <v>3</v>
      </c>
      <c r="N18" s="1070"/>
      <c r="O18" s="1070"/>
      <c r="P18" s="169">
        <f t="shared" si="4"/>
        <v>3</v>
      </c>
      <c r="Q18" s="871">
        <f>1</f>
        <v>1</v>
      </c>
      <c r="R18" s="221">
        <f>1</f>
        <v>1</v>
      </c>
      <c r="S18" s="221">
        <f>1</f>
        <v>1</v>
      </c>
      <c r="T18" s="221">
        <f>S4A03</f>
        <v>1</v>
      </c>
      <c r="U18" s="687"/>
      <c r="V18" s="1071"/>
      <c r="W18" s="1071"/>
      <c r="X18" s="83">
        <f t="shared" si="5"/>
        <v>3</v>
      </c>
      <c r="Y18" s="83" cm="1">
        <f t="array" ref="Y18">IF(M18="","",IF(J18="A",INDEX(base_p,4,R18+7*(IF(O18="",M18,O18)-1)),IF(J18="E",INDEX(base_p,15,R18+7*(IF(O18="",M18,O18)-1)),INDEX(base_p,27-Q18,R18+7*(IF(O18="",M18,O18)-1)))))</f>
        <v>3</v>
      </c>
      <c r="Z18" s="83">
        <f t="shared" si="6"/>
        <v>3</v>
      </c>
      <c r="AA18" s="1092"/>
      <c r="AB18" s="83">
        <f t="shared" si="17"/>
        <v>3</v>
      </c>
      <c r="AC18" s="167"/>
      <c r="AD18" s="196"/>
      <c r="AE18" s="197"/>
      <c r="AF18" s="196" t="s">
        <v>622</v>
      </c>
      <c r="AG18" s="1" t="str">
        <f t="shared" si="7"/>
        <v/>
      </c>
      <c r="AH18" s="1" t="str">
        <f t="shared" si="8"/>
        <v/>
      </c>
      <c r="AI18" s="1" t="str">
        <f t="shared" si="9"/>
        <v>ER.P.Peo3</v>
      </c>
      <c r="AJ18" s="1" t="str">
        <f t="shared" si="10"/>
        <v/>
      </c>
      <c r="AK18">
        <f t="shared" si="11"/>
        <v>1</v>
      </c>
      <c r="AL18">
        <f t="shared" si="12"/>
        <v>1</v>
      </c>
      <c r="AM18">
        <f t="shared" si="13"/>
        <v>1</v>
      </c>
      <c r="AN18">
        <f t="shared" si="14"/>
        <v>1</v>
      </c>
      <c r="AO18">
        <f t="shared" si="15"/>
        <v>1</v>
      </c>
      <c r="AP18">
        <f t="shared" si="16"/>
        <v>33</v>
      </c>
    </row>
    <row r="19" spans="1:42" ht="39.75" customHeight="1" x14ac:dyDescent="0.25">
      <c r="A19" s="894" t="s">
        <v>6307</v>
      </c>
      <c r="B19" s="854" t="s">
        <v>538</v>
      </c>
      <c r="C19" s="856" t="s">
        <v>539</v>
      </c>
      <c r="D19" s="854" t="str">
        <f t="shared" si="18"/>
        <v>Media support de données</v>
      </c>
      <c r="E19" s="860" t="str">
        <f>Disp</f>
        <v>Disparition</v>
      </c>
      <c r="F19" s="858" t="s">
        <v>3224</v>
      </c>
      <c r="G19" s="896" t="s">
        <v>6309</v>
      </c>
      <c r="H19" s="895" t="s">
        <v>6711</v>
      </c>
      <c r="I19" s="24">
        <v>1</v>
      </c>
      <c r="J19" s="83" t="str">
        <f t="shared" si="0"/>
        <v>V</v>
      </c>
      <c r="K19" s="24" t="str">
        <f t="shared" si="1"/>
        <v>D</v>
      </c>
      <c r="L19" s="83">
        <f t="shared" si="2"/>
        <v>3</v>
      </c>
      <c r="M19" s="83">
        <f t="shared" si="3"/>
        <v>3</v>
      </c>
      <c r="N19" s="1070"/>
      <c r="O19" s="1070"/>
      <c r="P19" s="169">
        <f t="shared" si="4"/>
        <v>3</v>
      </c>
      <c r="Q19" s="871">
        <f>S2B03</f>
        <v>1</v>
      </c>
      <c r="R19" s="221">
        <f>1</f>
        <v>1</v>
      </c>
      <c r="S19" s="221">
        <f>1</f>
        <v>1</v>
      </c>
      <c r="T19" s="221">
        <f>S4A03</f>
        <v>1</v>
      </c>
      <c r="U19" s="687"/>
      <c r="V19" s="1071"/>
      <c r="W19" s="1071"/>
      <c r="X19" s="83">
        <f t="shared" si="5"/>
        <v>3</v>
      </c>
      <c r="Y19" s="83" cm="1">
        <f t="array" ref="Y19">IF(M19="","",IF(J19="A",INDEX(base_p,4,R19+7*(IF(O19="",M19,O19)-1)),IF(J19="E",INDEX(base_p,15,R19+7*(IF(O19="",M19,O19)-1)),INDEX(base_p,27-Q19,R19+7*(IF(O19="",M19,O19)-1)))))</f>
        <v>3</v>
      </c>
      <c r="Z19" s="83">
        <f t="shared" si="6"/>
        <v>3</v>
      </c>
      <c r="AA19" s="1092"/>
      <c r="AB19" s="83">
        <f t="shared" si="17"/>
        <v>3</v>
      </c>
      <c r="AC19" s="199" t="s">
        <v>618</v>
      </c>
      <c r="AD19" s="196"/>
      <c r="AE19" s="197"/>
      <c r="AF19" s="196" t="s">
        <v>622</v>
      </c>
      <c r="AG19" s="1" t="str">
        <f t="shared" si="7"/>
        <v/>
      </c>
      <c r="AH19" s="1" t="str">
        <f t="shared" si="8"/>
        <v/>
      </c>
      <c r="AI19" s="1" t="str">
        <f t="shared" si="9"/>
        <v>AH.P.Vol3</v>
      </c>
      <c r="AJ19" s="1" t="str">
        <f t="shared" si="10"/>
        <v/>
      </c>
      <c r="AK19">
        <f t="shared" si="11"/>
        <v>1</v>
      </c>
      <c r="AL19">
        <f t="shared" si="12"/>
        <v>1</v>
      </c>
      <c r="AM19">
        <f t="shared" si="13"/>
        <v>1</v>
      </c>
      <c r="AN19">
        <f t="shared" si="14"/>
        <v>1</v>
      </c>
      <c r="AO19">
        <f t="shared" si="15"/>
        <v>1</v>
      </c>
      <c r="AP19">
        <f t="shared" si="16"/>
        <v>33</v>
      </c>
    </row>
    <row r="20" spans="1:42" ht="39.75" customHeight="1" x14ac:dyDescent="0.25">
      <c r="A20" s="894" t="s">
        <v>6308</v>
      </c>
      <c r="B20" s="854" t="s">
        <v>538</v>
      </c>
      <c r="C20" s="856" t="s">
        <v>539</v>
      </c>
      <c r="D20" s="854" t="str">
        <f t="shared" si="18"/>
        <v>Media support de données</v>
      </c>
      <c r="E20" s="860" t="str">
        <f>Disp</f>
        <v>Disparition</v>
      </c>
      <c r="F20" s="858" t="s">
        <v>3224</v>
      </c>
      <c r="G20" s="896" t="s">
        <v>6309</v>
      </c>
      <c r="H20" s="895" t="s">
        <v>6310</v>
      </c>
      <c r="I20" s="24">
        <v>1</v>
      </c>
      <c r="J20" s="83" t="str">
        <f t="shared" si="0"/>
        <v>V</v>
      </c>
      <c r="K20" s="24" t="str">
        <f t="shared" si="1"/>
        <v>D</v>
      </c>
      <c r="L20" s="83">
        <f t="shared" si="2"/>
        <v>3</v>
      </c>
      <c r="M20" s="83">
        <f t="shared" si="3"/>
        <v>3</v>
      </c>
      <c r="N20" s="1070"/>
      <c r="O20" s="1070"/>
      <c r="P20" s="169">
        <f t="shared" si="4"/>
        <v>3</v>
      </c>
      <c r="Q20" s="871">
        <f>1</f>
        <v>1</v>
      </c>
      <c r="R20" s="221">
        <f>MIN(S2B01,S2B02)</f>
        <v>1</v>
      </c>
      <c r="S20" s="221">
        <f>1</f>
        <v>1</v>
      </c>
      <c r="T20" s="221">
        <f>S4A03</f>
        <v>1</v>
      </c>
      <c r="U20" s="687"/>
      <c r="V20" s="1071"/>
      <c r="W20" s="1071"/>
      <c r="X20" s="83">
        <f t="shared" si="5"/>
        <v>3</v>
      </c>
      <c r="Y20" s="83" cm="1">
        <f t="array" ref="Y20">IF(M20="","",IF(J20="A",INDEX(base_p,4,R20+7*(IF(O20="",M20,O20)-1)),IF(J20="E",INDEX(base_p,15,R20+7*(IF(O20="",M20,O20)-1)),INDEX(base_p,27-Q20,R20+7*(IF(O20="",M20,O20)-1)))))</f>
        <v>3</v>
      </c>
      <c r="Z20" s="83">
        <f t="shared" si="6"/>
        <v>3</v>
      </c>
      <c r="AA20" s="1092"/>
      <c r="AB20" s="83">
        <f t="shared" si="17"/>
        <v>3</v>
      </c>
      <c r="AC20" s="199"/>
      <c r="AD20" s="196" t="s">
        <v>2049</v>
      </c>
      <c r="AE20" s="197"/>
      <c r="AF20" s="196" t="s">
        <v>622</v>
      </c>
      <c r="AG20" s="1" t="str">
        <f t="shared" si="7"/>
        <v/>
      </c>
      <c r="AH20" s="1" t="str">
        <f t="shared" si="8"/>
        <v/>
      </c>
      <c r="AI20" s="1" t="str">
        <f t="shared" si="9"/>
        <v>AH.P.Vol3</v>
      </c>
      <c r="AJ20" s="1" t="str">
        <f t="shared" si="10"/>
        <v/>
      </c>
      <c r="AK20">
        <f t="shared" si="11"/>
        <v>1</v>
      </c>
      <c r="AL20">
        <f t="shared" si="12"/>
        <v>1</v>
      </c>
      <c r="AM20">
        <f t="shared" si="13"/>
        <v>1</v>
      </c>
      <c r="AN20">
        <f t="shared" si="14"/>
        <v>1</v>
      </c>
      <c r="AO20">
        <f t="shared" si="15"/>
        <v>1</v>
      </c>
      <c r="AP20">
        <f t="shared" si="16"/>
        <v>33</v>
      </c>
    </row>
    <row r="21" spans="1:42" ht="39.75" customHeight="1" x14ac:dyDescent="0.25">
      <c r="A21" s="894" t="s">
        <v>6311</v>
      </c>
      <c r="B21" s="854" t="s">
        <v>538</v>
      </c>
      <c r="C21" s="856" t="s">
        <v>539</v>
      </c>
      <c r="D21" s="854" t="str">
        <f t="shared" si="18"/>
        <v>Media support de données</v>
      </c>
      <c r="E21" s="862" t="str">
        <f>Endp</f>
        <v>Endommagement physique</v>
      </c>
      <c r="F21" s="858" t="s">
        <v>3203</v>
      </c>
      <c r="G21" s="858" t="s">
        <v>3202</v>
      </c>
      <c r="H21" s="863"/>
      <c r="I21" s="24">
        <v>1</v>
      </c>
      <c r="J21" s="83" t="str">
        <f t="shared" si="0"/>
        <v>A</v>
      </c>
      <c r="K21" s="24" t="str">
        <f t="shared" si="1"/>
        <v>D</v>
      </c>
      <c r="L21" s="83">
        <f t="shared" si="2"/>
        <v>3</v>
      </c>
      <c r="M21" s="83">
        <f t="shared" si="3"/>
        <v>2</v>
      </c>
      <c r="N21" s="1070"/>
      <c r="O21" s="1070"/>
      <c r="P21" s="169">
        <f t="shared" si="4"/>
        <v>3</v>
      </c>
      <c r="Q21" s="871">
        <f>1</f>
        <v>1</v>
      </c>
      <c r="R21" s="221">
        <f>S4E02</f>
        <v>1</v>
      </c>
      <c r="S21" s="221">
        <f>1</f>
        <v>1</v>
      </c>
      <c r="T21" s="221">
        <f>S4A03</f>
        <v>1</v>
      </c>
      <c r="U21" s="687"/>
      <c r="V21" s="1071"/>
      <c r="W21" s="1071"/>
      <c r="X21" s="83">
        <f t="shared" si="5"/>
        <v>3</v>
      </c>
      <c r="Y21" s="83" cm="1">
        <f t="array" ref="Y21">IF(M21="","",IF(J21="A",INDEX(base_p,4,R21+7*(IF(O21="",M21,O21)-1)),IF(J21="E",INDEX(base_p,15,R21+7*(IF(O21="",M21,O21)-1)),INDEX(base_p,27-Q21,R21+7*(IF(O21="",M21,O21)-1)))))</f>
        <v>2</v>
      </c>
      <c r="Z21" s="83">
        <f t="shared" si="6"/>
        <v>3</v>
      </c>
      <c r="AA21" s="1092"/>
      <c r="AB21" s="83">
        <f t="shared" si="17"/>
        <v>3</v>
      </c>
      <c r="AC21" s="167"/>
      <c r="AD21" s="196" t="s">
        <v>751</v>
      </c>
      <c r="AE21" s="197"/>
      <c r="AF21" s="196" t="s">
        <v>622</v>
      </c>
      <c r="AG21" s="1" t="str">
        <f t="shared" si="7"/>
        <v/>
      </c>
      <c r="AH21" s="1" t="str">
        <f t="shared" si="8"/>
        <v/>
      </c>
      <c r="AI21" s="1" t="str">
        <f t="shared" si="9"/>
        <v>IC.E.Div3</v>
      </c>
      <c r="AJ21" s="1" t="str">
        <f t="shared" si="10"/>
        <v/>
      </c>
      <c r="AK21">
        <f t="shared" si="11"/>
        <v>1</v>
      </c>
      <c r="AL21">
        <f t="shared" si="12"/>
        <v>1</v>
      </c>
      <c r="AM21">
        <f t="shared" si="13"/>
        <v>1</v>
      </c>
      <c r="AN21">
        <f t="shared" si="14"/>
        <v>1</v>
      </c>
      <c r="AO21">
        <f t="shared" si="15"/>
        <v>1</v>
      </c>
      <c r="AP21">
        <f t="shared" si="16"/>
        <v>32</v>
      </c>
    </row>
    <row r="22" spans="1:42" ht="39.75" customHeight="1" x14ac:dyDescent="0.25">
      <c r="A22" s="894" t="s">
        <v>6312</v>
      </c>
      <c r="B22" s="854" t="s">
        <v>538</v>
      </c>
      <c r="C22" s="856" t="s">
        <v>539</v>
      </c>
      <c r="D22" s="854" t="str">
        <f t="shared" si="18"/>
        <v>Media support de données</v>
      </c>
      <c r="E22" s="862" t="str">
        <f>Endp</f>
        <v>Endommagement physique</v>
      </c>
      <c r="F22" s="858" t="s">
        <v>3229</v>
      </c>
      <c r="G22" s="858" t="s">
        <v>3231</v>
      </c>
      <c r="H22" s="863"/>
      <c r="I22" s="24">
        <v>1</v>
      </c>
      <c r="J22" s="83" t="str">
        <f t="shared" si="0"/>
        <v>A</v>
      </c>
      <c r="K22" s="24" t="str">
        <f t="shared" si="1"/>
        <v>D</v>
      </c>
      <c r="L22" s="83">
        <f t="shared" si="2"/>
        <v>3</v>
      </c>
      <c r="M22" s="83">
        <f t="shared" si="3"/>
        <v>2</v>
      </c>
      <c r="N22" s="1070"/>
      <c r="O22" s="1070"/>
      <c r="P22" s="169">
        <f t="shared" si="4"/>
        <v>3</v>
      </c>
      <c r="Q22" s="871">
        <f>1</f>
        <v>1</v>
      </c>
      <c r="R22" s="221">
        <f>S4E02</f>
        <v>1</v>
      </c>
      <c r="S22" s="221">
        <f>S2A03</f>
        <v>1</v>
      </c>
      <c r="T22" s="221">
        <f>S4A03</f>
        <v>1</v>
      </c>
      <c r="U22" s="687"/>
      <c r="V22" s="1071"/>
      <c r="W22" s="1071"/>
      <c r="X22" s="83">
        <f t="shared" si="5"/>
        <v>3</v>
      </c>
      <c r="Y22" s="83" cm="1">
        <f t="array" ref="Y22">IF(M22="","",IF(J22="A",INDEX(base_p,4,R22+7*(IF(O22="",M22,O22)-1)),IF(J22="E",INDEX(base_p,15,R22+7*(IF(O22="",M22,O22)-1)),INDEX(base_p,27-Q22,R22+7*(IF(O22="",M22,O22)-1)))))</f>
        <v>2</v>
      </c>
      <c r="Z22" s="83">
        <f t="shared" si="6"/>
        <v>3</v>
      </c>
      <c r="AA22" s="1092"/>
      <c r="AB22" s="83">
        <f t="shared" si="17"/>
        <v>3</v>
      </c>
      <c r="AC22" s="167"/>
      <c r="AD22" s="196" t="s">
        <v>751</v>
      </c>
      <c r="AE22" s="197" t="s">
        <v>632</v>
      </c>
      <c r="AF22" s="196" t="s">
        <v>622</v>
      </c>
      <c r="AG22" s="1" t="str">
        <f t="shared" si="7"/>
        <v/>
      </c>
      <c r="AH22" s="1" t="str">
        <f t="shared" si="8"/>
        <v/>
      </c>
      <c r="AI22" s="1" t="str">
        <f t="shared" si="9"/>
        <v>AC.E.Evt3</v>
      </c>
      <c r="AJ22" s="1" t="str">
        <f t="shared" si="10"/>
        <v/>
      </c>
      <c r="AK22">
        <f t="shared" si="11"/>
        <v>1</v>
      </c>
      <c r="AL22">
        <f t="shared" si="12"/>
        <v>1</v>
      </c>
      <c r="AM22">
        <f t="shared" si="13"/>
        <v>1</v>
      </c>
      <c r="AN22">
        <f t="shared" si="14"/>
        <v>1</v>
      </c>
      <c r="AO22">
        <f t="shared" si="15"/>
        <v>1</v>
      </c>
      <c r="AP22">
        <f t="shared" si="16"/>
        <v>32</v>
      </c>
    </row>
    <row r="23" spans="1:42" ht="36" customHeight="1" x14ac:dyDescent="0.25">
      <c r="A23" s="894" t="s">
        <v>6313</v>
      </c>
      <c r="B23" s="854" t="s">
        <v>538</v>
      </c>
      <c r="C23" s="856" t="s">
        <v>539</v>
      </c>
      <c r="D23" s="854" t="str">
        <f t="shared" si="18"/>
        <v>Media support de données</v>
      </c>
      <c r="E23" s="860" t="str">
        <f>Inop</f>
        <v>Inopérabilité</v>
      </c>
      <c r="F23" s="858" t="s">
        <v>3205</v>
      </c>
      <c r="G23" s="858" t="s">
        <v>4494</v>
      </c>
      <c r="H23" s="864"/>
      <c r="I23" s="24">
        <v>1</v>
      </c>
      <c r="J23" s="83" t="str">
        <f t="shared" si="0"/>
        <v>A</v>
      </c>
      <c r="K23" s="24" t="str">
        <f t="shared" si="1"/>
        <v>D</v>
      </c>
      <c r="L23" s="83">
        <f t="shared" si="2"/>
        <v>3</v>
      </c>
      <c r="M23" s="83">
        <f t="shared" si="3"/>
        <v>2</v>
      </c>
      <c r="N23" s="1070"/>
      <c r="O23" s="1070"/>
      <c r="P23" s="169">
        <f t="shared" si="4"/>
        <v>3</v>
      </c>
      <c r="Q23" s="871">
        <f>1</f>
        <v>1</v>
      </c>
      <c r="R23" s="221">
        <f>S5C01</f>
        <v>1</v>
      </c>
      <c r="S23" s="221">
        <f>1</f>
        <v>1</v>
      </c>
      <c r="T23" s="221">
        <f>1</f>
        <v>1</v>
      </c>
      <c r="U23" s="687"/>
      <c r="V23" s="1071"/>
      <c r="W23" s="1071"/>
      <c r="X23" s="83">
        <f t="shared" si="5"/>
        <v>3</v>
      </c>
      <c r="Y23" s="83" cm="1">
        <f t="array" ref="Y23">IF(M23="","",IF(J23="A",INDEX(base_p,4,R23+7*(IF(O23="",M23,O23)-1)),IF(J23="E",INDEX(base_p,15,R23+7*(IF(O23="",M23,O23)-1)),INDEX(base_p,27-Q23,R23+7*(IF(O23="",M23,O23)-1)))))</f>
        <v>2</v>
      </c>
      <c r="Z23" s="83">
        <f t="shared" si="6"/>
        <v>3</v>
      </c>
      <c r="AA23" s="1092"/>
      <c r="AB23" s="83">
        <f t="shared" si="17"/>
        <v>3</v>
      </c>
      <c r="AC23" s="167"/>
      <c r="AD23" s="196" t="s">
        <v>643</v>
      </c>
      <c r="AE23" s="165"/>
      <c r="AF23" s="165"/>
      <c r="AG23" s="1" t="str">
        <f t="shared" si="7"/>
        <v/>
      </c>
      <c r="AH23" s="1" t="str">
        <f t="shared" si="8"/>
        <v/>
      </c>
      <c r="AI23" s="1" t="str">
        <f t="shared" si="9"/>
        <v>AB.S.Mat3</v>
      </c>
      <c r="AJ23" s="1" t="str">
        <f t="shared" si="10"/>
        <v/>
      </c>
      <c r="AK23">
        <f t="shared" si="11"/>
        <v>1</v>
      </c>
      <c r="AL23">
        <f t="shared" si="12"/>
        <v>1</v>
      </c>
      <c r="AM23">
        <f t="shared" si="13"/>
        <v>1</v>
      </c>
      <c r="AN23">
        <f t="shared" si="14"/>
        <v>1</v>
      </c>
      <c r="AO23">
        <f t="shared" si="15"/>
        <v>1</v>
      </c>
      <c r="AP23">
        <f t="shared" si="16"/>
        <v>32</v>
      </c>
    </row>
    <row r="24" spans="1:42" ht="36" customHeight="1" x14ac:dyDescent="0.25">
      <c r="A24" s="894" t="s">
        <v>6314</v>
      </c>
      <c r="B24" s="854" t="s">
        <v>538</v>
      </c>
      <c r="C24" s="856" t="s">
        <v>539</v>
      </c>
      <c r="D24" s="854" t="str">
        <f t="shared" si="18"/>
        <v>Media support de données</v>
      </c>
      <c r="E24" s="860" t="str">
        <f>Inex</f>
        <v>Inexploitabilité</v>
      </c>
      <c r="F24" s="858" t="s">
        <v>455</v>
      </c>
      <c r="G24" s="858" t="s">
        <v>3233</v>
      </c>
      <c r="H24" s="865"/>
      <c r="I24" s="24">
        <v>1</v>
      </c>
      <c r="J24" s="83" t="str">
        <f t="shared" si="0"/>
        <v>E</v>
      </c>
      <c r="K24" s="24" t="str">
        <f t="shared" si="1"/>
        <v>D</v>
      </c>
      <c r="L24" s="83">
        <f t="shared" si="2"/>
        <v>3</v>
      </c>
      <c r="M24" s="83">
        <f t="shared" si="3"/>
        <v>3</v>
      </c>
      <c r="N24" s="1070"/>
      <c r="O24" s="1070"/>
      <c r="P24" s="169">
        <f t="shared" si="4"/>
        <v>3</v>
      </c>
      <c r="Q24" s="871">
        <f>1</f>
        <v>1</v>
      </c>
      <c r="R24" s="221">
        <f>S5C01</f>
        <v>1</v>
      </c>
      <c r="S24" s="221">
        <f>1</f>
        <v>1</v>
      </c>
      <c r="T24" s="221">
        <f>1</f>
        <v>1</v>
      </c>
      <c r="U24" s="687"/>
      <c r="V24" s="1071"/>
      <c r="W24" s="1071"/>
      <c r="X24" s="83">
        <f t="shared" si="5"/>
        <v>3</v>
      </c>
      <c r="Y24" s="83" cm="1">
        <f t="array" ref="Y24">IF(M24="","",IF(J24="A",INDEX(base_p,4,R24+7*(IF(O24="",M24,O24)-1)),IF(J24="E",INDEX(base_p,15,R24+7*(IF(O24="",M24,O24)-1)),INDEX(base_p,27-Q24,R24+7*(IF(O24="",M24,O24)-1)))))</f>
        <v>3</v>
      </c>
      <c r="Z24" s="83">
        <f t="shared" si="6"/>
        <v>3</v>
      </c>
      <c r="AA24" s="1092"/>
      <c r="AB24" s="83">
        <f t="shared" si="17"/>
        <v>3</v>
      </c>
      <c r="AC24" s="167"/>
      <c r="AD24" s="196" t="s">
        <v>643</v>
      </c>
      <c r="AE24" s="165"/>
      <c r="AF24" s="166"/>
      <c r="AG24" s="1" t="str">
        <f t="shared" si="7"/>
        <v/>
      </c>
      <c r="AH24" s="1" t="str">
        <f t="shared" si="8"/>
        <v/>
      </c>
      <c r="AI24" s="1" t="str">
        <f t="shared" si="9"/>
        <v>ER.P.Peo3</v>
      </c>
      <c r="AJ24" s="1" t="str">
        <f t="shared" si="10"/>
        <v/>
      </c>
      <c r="AK24">
        <f t="shared" si="11"/>
        <v>1</v>
      </c>
      <c r="AL24">
        <f t="shared" si="12"/>
        <v>1</v>
      </c>
      <c r="AM24">
        <f t="shared" si="13"/>
        <v>1</v>
      </c>
      <c r="AN24">
        <f t="shared" si="14"/>
        <v>1</v>
      </c>
      <c r="AO24">
        <f t="shared" si="15"/>
        <v>1</v>
      </c>
      <c r="AP24">
        <f t="shared" si="16"/>
        <v>33</v>
      </c>
    </row>
    <row r="25" spans="1:42" ht="15" customHeight="1" x14ac:dyDescent="0.25">
      <c r="A25" s="866" t="s">
        <v>6316</v>
      </c>
      <c r="B25" s="1325"/>
      <c r="C25" s="1325"/>
      <c r="D25" s="1325"/>
      <c r="E25" s="1325"/>
      <c r="F25" s="1325"/>
      <c r="G25" s="1325"/>
      <c r="H25" s="1325"/>
      <c r="I25" s="24"/>
      <c r="J25" s="83"/>
      <c r="K25" s="24"/>
      <c r="L25" s="83"/>
      <c r="M25" s="83"/>
      <c r="N25" s="1070"/>
      <c r="O25" s="1070"/>
      <c r="P25" s="169"/>
      <c r="Q25" s="871"/>
      <c r="R25" s="221"/>
      <c r="S25" s="221"/>
      <c r="T25" s="221"/>
      <c r="U25" s="687">
        <f>1</f>
        <v>1</v>
      </c>
      <c r="V25" s="1071"/>
      <c r="W25" s="1071"/>
      <c r="X25" s="83"/>
      <c r="Y25" s="83"/>
      <c r="Z25" s="83"/>
      <c r="AA25" s="1092"/>
      <c r="AB25" s="83"/>
      <c r="AC25" s="1"/>
      <c r="AD25" s="1"/>
      <c r="AE25" s="1"/>
      <c r="AF25" s="1"/>
      <c r="AG25" s="1"/>
      <c r="AH25" s="1"/>
      <c r="AI25" s="1"/>
      <c r="AJ25" s="1"/>
      <c r="AP25" t="str">
        <f t="shared" si="16"/>
        <v/>
      </c>
    </row>
    <row r="26" spans="1:42" ht="39" customHeight="1" x14ac:dyDescent="0.25">
      <c r="A26" s="894" t="s">
        <v>6317</v>
      </c>
      <c r="B26" s="854" t="s">
        <v>538</v>
      </c>
      <c r="C26" s="856" t="s">
        <v>268</v>
      </c>
      <c r="D26" s="854" t="str">
        <f>Fic</f>
        <v xml:space="preserve">Fichier ou base de données </v>
      </c>
      <c r="E26" s="788" t="str">
        <f>Altd</f>
        <v>Altération (non détectée) de donnée</v>
      </c>
      <c r="F26" s="858" t="s">
        <v>3211</v>
      </c>
      <c r="G26" s="858" t="s">
        <v>4766</v>
      </c>
      <c r="H26" s="865" t="s">
        <v>6712</v>
      </c>
      <c r="I26" s="24">
        <v>1</v>
      </c>
      <c r="J26" s="83" t="str">
        <f t="shared" ref="J26:J35" si="19">VLOOKUP($F26,Tab_event,5)</f>
        <v>V</v>
      </c>
      <c r="K26" s="24" t="str">
        <f t="shared" ref="K26:K35" si="20">C26</f>
        <v>I</v>
      </c>
      <c r="L26" s="83">
        <f t="shared" ref="L26:L35" si="21">IF(VLOOKUP($B26,Tab_classif,8,FALSE)=1,VLOOKUP($B26,Tab_classif,IF(C26="D",4,IF(C26="I",5,IF(C26="C",6,7))),FALSE),1)</f>
        <v>3</v>
      </c>
      <c r="M26" s="83">
        <f t="shared" ref="M26:M35" si="22">VLOOKUP($F26,Tab_event,3,FALSE)</f>
        <v>3</v>
      </c>
      <c r="N26" s="1070"/>
      <c r="O26" s="1070"/>
      <c r="P26" s="169">
        <f t="shared" ref="P26:P35" si="23">IF(AND(NOT(L26=""),NOT(M26="")),INDEX(base_g,5-IF(N26="",L26,N26),IF(O26="",M26,O26)),"")</f>
        <v>3</v>
      </c>
      <c r="Q26" s="871">
        <f>1</f>
        <v>1</v>
      </c>
      <c r="R26" s="221">
        <f>MAX(MIN(S3A04,S3A07),S5A02,S5B02)</f>
        <v>1</v>
      </c>
      <c r="S26" s="221">
        <f>S5A03</f>
        <v>1</v>
      </c>
      <c r="T26" s="221">
        <f>1</f>
        <v>1</v>
      </c>
      <c r="U26" s="687"/>
      <c r="V26" s="1071"/>
      <c r="W26" s="1071"/>
      <c r="X26" s="83">
        <f t="shared" ref="X26:X35" si="24">IF(L26="","",IF(K26="D",INDEX(base_i,IF(U26=0,4,5-S26),T26+7*(IF(N26="",L26,N26)-1)),IF(K26="I",INDEX(base_i,IF(U26=0,15,16-S26),T26+7*(IF(N26="",L26,N26)-1)),IF(K26="C",INDEX(base_i,IF(U26=0,26,27-S26),T26+7*(IF(N26="",L26,N26)-1)),INDEX(base_i,38-S26,T26+7*(IF(N26="",L26,N26)-1))))))</f>
        <v>3</v>
      </c>
      <c r="Y26" s="83" cm="1">
        <f t="array" ref="Y26">IF(M26="","",IF(J26="A",INDEX(base_p,4,R26+7*(IF(O26="",M26,O26)-1)),IF(J26="E",INDEX(base_p,15,R26+7*(IF(O26="",M26,O26)-1)),INDEX(base_p,27-Q26,R26+7*(IF(O26="",M26,O26)-1)))))</f>
        <v>3</v>
      </c>
      <c r="Z26" s="83">
        <f t="shared" ref="Z26:Z35" si="25">IF(AO26=1,IF(IndG&gt;1,IF(AND(OR(NOT(X26=""),NOT(V26="")),OR(NOT(Y26=""),NOT(W26="")),I26=1),INDEX(base_g,5-IF(V26="",X26,V26),IF(W26="",Y26,W26)),""),P26),"")</f>
        <v>3</v>
      </c>
      <c r="AA26" s="1092"/>
      <c r="AB26" s="83">
        <f t="shared" si="17"/>
        <v>3</v>
      </c>
      <c r="AC26" s="196"/>
      <c r="AD26" s="196" t="s">
        <v>2042</v>
      </c>
      <c r="AE26" s="197" t="s">
        <v>638</v>
      </c>
      <c r="AF26" s="166"/>
      <c r="AG26" s="1" t="str">
        <f t="shared" ref="AG26:AG35" si="26">IF($AB26=1,$F26&amp;$AB26,"")</f>
        <v/>
      </c>
      <c r="AH26" s="1" t="str">
        <f t="shared" ref="AH26:AH35" si="27">IF($AB26=2,$F26&amp;$AB26,"")</f>
        <v/>
      </c>
      <c r="AI26" s="1" t="str">
        <f t="shared" ref="AI26:AI35" si="28">IF($AB26=3,$F26&amp;$AB26,"")</f>
        <v>AH.L.Fal3</v>
      </c>
      <c r="AJ26" s="1" t="str">
        <f t="shared" ref="AJ26:AJ35" si="29">IF($AB26=4,$F26&amp;$AB26,"")</f>
        <v/>
      </c>
      <c r="AK26">
        <f t="shared" ref="AK26:AK35" si="30">VLOOKUP($B26,Tab_classif,8,FALSE)</f>
        <v>1</v>
      </c>
      <c r="AL26">
        <f t="shared" ref="AL26:AL35" si="31">VLOOKUP(D26,Tab_ActS,2,FALSE)</f>
        <v>1</v>
      </c>
      <c r="AM26">
        <f t="shared" ref="AM26:AM35" si="32">VLOOKUP(E26,Tab_SDom,3,FALSE)</f>
        <v>1</v>
      </c>
      <c r="AN26">
        <f t="shared" ref="AN26:AN35" si="33">VLOOKUP($F26,Tab_event,4,FALSE)</f>
        <v>1</v>
      </c>
      <c r="AO26">
        <f t="shared" ref="AO26:AO35" si="34">I26*AK26*AL26*AM26*AN26</f>
        <v>1</v>
      </c>
      <c r="AP26">
        <f t="shared" si="16"/>
        <v>33</v>
      </c>
    </row>
    <row r="27" spans="1:42" ht="37.5" customHeight="1" x14ac:dyDescent="0.25">
      <c r="A27" s="894" t="s">
        <v>6318</v>
      </c>
      <c r="B27" s="854" t="s">
        <v>538</v>
      </c>
      <c r="C27" s="856" t="s">
        <v>268</v>
      </c>
      <c r="D27" s="854" t="str">
        <f>Fic</f>
        <v xml:space="preserve">Fichier ou base de données </v>
      </c>
      <c r="E27" s="788" t="str">
        <f>Altd</f>
        <v>Altération (non détectée) de donnée</v>
      </c>
      <c r="F27" s="858" t="s">
        <v>3211</v>
      </c>
      <c r="G27" s="858" t="s">
        <v>4766</v>
      </c>
      <c r="H27" s="895" t="s">
        <v>6713</v>
      </c>
      <c r="I27" s="24">
        <v>1</v>
      </c>
      <c r="J27" s="83" t="str">
        <f t="shared" si="19"/>
        <v>V</v>
      </c>
      <c r="K27" s="24" t="str">
        <f t="shared" si="20"/>
        <v>I</v>
      </c>
      <c r="L27" s="83">
        <f t="shared" si="21"/>
        <v>3</v>
      </c>
      <c r="M27" s="83">
        <f t="shared" si="22"/>
        <v>3</v>
      </c>
      <c r="N27" s="1070"/>
      <c r="O27" s="1070"/>
      <c r="P27" s="169">
        <f t="shared" si="23"/>
        <v>3</v>
      </c>
      <c r="Q27" s="871">
        <f>MIN(S3A08,S4A11)</f>
        <v>1</v>
      </c>
      <c r="R27" s="221">
        <f>S5A02</f>
        <v>1</v>
      </c>
      <c r="S27" s="221">
        <f>S5A03</f>
        <v>1</v>
      </c>
      <c r="T27" s="221">
        <f>1</f>
        <v>1</v>
      </c>
      <c r="U27" s="687"/>
      <c r="V27" s="1071"/>
      <c r="W27" s="1071"/>
      <c r="X27" s="83">
        <f t="shared" si="24"/>
        <v>3</v>
      </c>
      <c r="Y27" s="83" cm="1">
        <f t="array" ref="Y27">IF(M27="","",IF(J27="A",INDEX(base_p,4,R27+7*(IF(O27="",M27,O27)-1)),IF(J27="E",INDEX(base_p,15,R27+7*(IF(O27="",M27,O27)-1)),INDEX(base_p,27-Q27,R27+7*(IF(O27="",M27,O27)-1)))))</f>
        <v>3</v>
      </c>
      <c r="Z27" s="83">
        <f t="shared" si="25"/>
        <v>3</v>
      </c>
      <c r="AA27" s="1092"/>
      <c r="AB27" s="83">
        <f t="shared" si="17"/>
        <v>3</v>
      </c>
      <c r="AC27" s="196" t="s">
        <v>6570</v>
      </c>
      <c r="AD27" s="196" t="s">
        <v>763</v>
      </c>
      <c r="AE27" s="197" t="s">
        <v>638</v>
      </c>
      <c r="AF27" s="166"/>
      <c r="AG27" s="1" t="str">
        <f t="shared" si="26"/>
        <v/>
      </c>
      <c r="AH27" s="1" t="str">
        <f t="shared" si="27"/>
        <v/>
      </c>
      <c r="AI27" s="1" t="str">
        <f t="shared" si="28"/>
        <v>AH.L.Fal3</v>
      </c>
      <c r="AJ27" s="1" t="str">
        <f t="shared" si="29"/>
        <v/>
      </c>
      <c r="AK27">
        <f t="shared" si="30"/>
        <v>1</v>
      </c>
      <c r="AL27">
        <f t="shared" si="31"/>
        <v>1</v>
      </c>
      <c r="AM27">
        <f t="shared" si="32"/>
        <v>1</v>
      </c>
      <c r="AN27">
        <f t="shared" si="33"/>
        <v>1</v>
      </c>
      <c r="AO27">
        <f t="shared" si="34"/>
        <v>1</v>
      </c>
      <c r="AP27">
        <f t="shared" si="16"/>
        <v>33</v>
      </c>
    </row>
    <row r="28" spans="1:42" ht="41.25" customHeight="1" x14ac:dyDescent="0.25">
      <c r="A28" s="894" t="s">
        <v>6319</v>
      </c>
      <c r="B28" s="854" t="s">
        <v>538</v>
      </c>
      <c r="C28" s="856" t="s">
        <v>268</v>
      </c>
      <c r="D28" s="854" t="str">
        <f>Fic</f>
        <v xml:space="preserve">Fichier ou base de données </v>
      </c>
      <c r="E28" s="788" t="str">
        <f>Inco</f>
        <v>Incohérence (non détectée) de données</v>
      </c>
      <c r="F28" s="858" t="s">
        <v>546</v>
      </c>
      <c r="G28" s="858" t="s">
        <v>4767</v>
      </c>
      <c r="H28" s="895" t="s">
        <v>6321</v>
      </c>
      <c r="I28" s="24">
        <v>1</v>
      </c>
      <c r="J28" s="83" t="str">
        <f t="shared" si="19"/>
        <v>E</v>
      </c>
      <c r="K28" s="24" t="str">
        <f t="shared" si="20"/>
        <v>I</v>
      </c>
      <c r="L28" s="83">
        <f t="shared" si="21"/>
        <v>3</v>
      </c>
      <c r="M28" s="83">
        <f t="shared" si="22"/>
        <v>3</v>
      </c>
      <c r="N28" s="1070"/>
      <c r="O28" s="1070"/>
      <c r="P28" s="169">
        <f t="shared" si="23"/>
        <v>3</v>
      </c>
      <c r="Q28" s="871">
        <f>1</f>
        <v>1</v>
      </c>
      <c r="R28" s="221">
        <f>MIN(S4A09,S7B09)</f>
        <v>1</v>
      </c>
      <c r="S28" s="221">
        <f>S5A03</f>
        <v>1</v>
      </c>
      <c r="T28" s="221">
        <f>1</f>
        <v>1</v>
      </c>
      <c r="U28" s="687"/>
      <c r="V28" s="1071"/>
      <c r="W28" s="1071"/>
      <c r="X28" s="83">
        <f t="shared" si="24"/>
        <v>3</v>
      </c>
      <c r="Y28" s="83" cm="1">
        <f t="array" ref="Y28">IF(M28="","",IF(J28="A",INDEX(base_p,4,R28+7*(IF(O28="",M28,O28)-1)),IF(J28="E",INDEX(base_p,15,R28+7*(IF(O28="",M28,O28)-1)),INDEX(base_p,27-Q28,R28+7*(IF(O28="",M28,O28)-1)))))</f>
        <v>3</v>
      </c>
      <c r="Z28" s="83">
        <f t="shared" si="25"/>
        <v>3</v>
      </c>
      <c r="AA28" s="1092"/>
      <c r="AB28" s="83">
        <f t="shared" si="17"/>
        <v>3</v>
      </c>
      <c r="AC28" s="167"/>
      <c r="AD28" s="196" t="s">
        <v>6573</v>
      </c>
      <c r="AE28" s="197" t="s">
        <v>638</v>
      </c>
      <c r="AF28" s="166"/>
      <c r="AG28" s="1" t="str">
        <f t="shared" si="26"/>
        <v/>
      </c>
      <c r="AH28" s="1" t="str">
        <f t="shared" si="27"/>
        <v/>
      </c>
      <c r="AI28" s="1" t="str">
        <f t="shared" si="28"/>
        <v>ER.P.Pro3</v>
      </c>
      <c r="AJ28" s="1" t="str">
        <f t="shared" si="29"/>
        <v/>
      </c>
      <c r="AK28">
        <f t="shared" si="30"/>
        <v>1</v>
      </c>
      <c r="AL28">
        <f t="shared" si="31"/>
        <v>1</v>
      </c>
      <c r="AM28">
        <f t="shared" si="32"/>
        <v>1</v>
      </c>
      <c r="AN28">
        <f t="shared" si="33"/>
        <v>1</v>
      </c>
      <c r="AO28">
        <f t="shared" si="34"/>
        <v>1</v>
      </c>
      <c r="AP28">
        <f t="shared" si="16"/>
        <v>33</v>
      </c>
    </row>
    <row r="29" spans="1:42" ht="39" customHeight="1" x14ac:dyDescent="0.25">
      <c r="A29" s="894" t="s">
        <v>6320</v>
      </c>
      <c r="B29" s="854" t="s">
        <v>538</v>
      </c>
      <c r="C29" s="856" t="s">
        <v>268</v>
      </c>
      <c r="D29" s="854" t="str">
        <f>Fic</f>
        <v xml:space="preserve">Fichier ou base de données </v>
      </c>
      <c r="E29" s="788" t="str">
        <f>Inco</f>
        <v>Incohérence (non détectée) de données</v>
      </c>
      <c r="F29" s="858" t="s">
        <v>546</v>
      </c>
      <c r="G29" s="858" t="s">
        <v>4767</v>
      </c>
      <c r="H29" s="865" t="s">
        <v>4730</v>
      </c>
      <c r="I29" s="24">
        <v>1</v>
      </c>
      <c r="J29" s="83" t="str">
        <f t="shared" si="19"/>
        <v>E</v>
      </c>
      <c r="K29" s="24" t="str">
        <f t="shared" si="20"/>
        <v>I</v>
      </c>
      <c r="L29" s="83">
        <f t="shared" si="21"/>
        <v>3</v>
      </c>
      <c r="M29" s="83">
        <f t="shared" si="22"/>
        <v>3</v>
      </c>
      <c r="N29" s="1070"/>
      <c r="O29" s="1070"/>
      <c r="P29" s="169">
        <f t="shared" si="23"/>
        <v>3</v>
      </c>
      <c r="Q29" s="871">
        <f>1</f>
        <v>1</v>
      </c>
      <c r="R29" s="221">
        <f>S5A02</f>
        <v>1</v>
      </c>
      <c r="S29" s="221">
        <f>S5A03</f>
        <v>1</v>
      </c>
      <c r="T29" s="221">
        <f>1</f>
        <v>1</v>
      </c>
      <c r="U29" s="687"/>
      <c r="V29" s="1071"/>
      <c r="W29" s="1071"/>
      <c r="X29" s="83">
        <f t="shared" si="24"/>
        <v>3</v>
      </c>
      <c r="Y29" s="83" cm="1">
        <f t="array" ref="Y29">IF(M29="","",IF(J29="A",INDEX(base_p,4,R29+7*(IF(O29="",M29,O29)-1)),IF(J29="E",INDEX(base_p,15,R29+7*(IF(O29="",M29,O29)-1)),INDEX(base_p,27-Q29,R29+7*(IF(O29="",M29,O29)-1)))))</f>
        <v>3</v>
      </c>
      <c r="Z29" s="83">
        <f t="shared" si="25"/>
        <v>3</v>
      </c>
      <c r="AA29" s="1092"/>
      <c r="AB29" s="83">
        <f t="shared" si="17"/>
        <v>3</v>
      </c>
      <c r="AC29" s="167"/>
      <c r="AD29" s="196" t="s">
        <v>763</v>
      </c>
      <c r="AE29" s="197" t="s">
        <v>638</v>
      </c>
      <c r="AF29" s="166"/>
      <c r="AG29" s="1" t="str">
        <f t="shared" si="26"/>
        <v/>
      </c>
      <c r="AH29" s="1" t="str">
        <f t="shared" si="27"/>
        <v/>
      </c>
      <c r="AI29" s="1" t="str">
        <f t="shared" si="28"/>
        <v>ER.P.Pro3</v>
      </c>
      <c r="AJ29" s="1" t="str">
        <f t="shared" si="29"/>
        <v/>
      </c>
      <c r="AK29">
        <f t="shared" si="30"/>
        <v>1</v>
      </c>
      <c r="AL29">
        <f t="shared" si="31"/>
        <v>1</v>
      </c>
      <c r="AM29">
        <f t="shared" si="32"/>
        <v>1</v>
      </c>
      <c r="AN29">
        <f t="shared" si="33"/>
        <v>1</v>
      </c>
      <c r="AO29">
        <f t="shared" si="34"/>
        <v>1</v>
      </c>
      <c r="AP29">
        <f t="shared" si="16"/>
        <v>33</v>
      </c>
    </row>
    <row r="30" spans="1:42" ht="37.5" customHeight="1" x14ac:dyDescent="0.25">
      <c r="A30" s="894" t="s">
        <v>6322</v>
      </c>
      <c r="B30" s="854" t="s">
        <v>538</v>
      </c>
      <c r="C30" s="856" t="s">
        <v>268</v>
      </c>
      <c r="D30" s="854" t="str">
        <f>Mes</f>
        <v>Données en transit</v>
      </c>
      <c r="E30" s="788" t="str">
        <f>Altd</f>
        <v>Altération (non détectée) de donnée</v>
      </c>
      <c r="F30" s="858" t="s">
        <v>3211</v>
      </c>
      <c r="G30" s="858" t="s">
        <v>4768</v>
      </c>
      <c r="H30" s="848" t="s">
        <v>6244</v>
      </c>
      <c r="I30" s="24">
        <v>1</v>
      </c>
      <c r="J30" s="83" t="str">
        <f t="shared" si="19"/>
        <v>V</v>
      </c>
      <c r="K30" s="24" t="str">
        <f t="shared" si="20"/>
        <v>I</v>
      </c>
      <c r="L30" s="83">
        <f t="shared" si="21"/>
        <v>3</v>
      </c>
      <c r="M30" s="83">
        <f t="shared" si="22"/>
        <v>3</v>
      </c>
      <c r="N30" s="1070"/>
      <c r="O30" s="1070"/>
      <c r="P30" s="169">
        <f t="shared" si="23"/>
        <v>3</v>
      </c>
      <c r="Q30" s="871">
        <f>1</f>
        <v>1</v>
      </c>
      <c r="R30" s="221">
        <f>MAX(S5A01,S5B01)</f>
        <v>1</v>
      </c>
      <c r="S30" s="221">
        <f>1</f>
        <v>1</v>
      </c>
      <c r="T30" s="221">
        <f>S5E04</f>
        <v>1</v>
      </c>
      <c r="U30" s="687"/>
      <c r="V30" s="1071"/>
      <c r="W30" s="1071"/>
      <c r="X30" s="83">
        <f t="shared" si="24"/>
        <v>3</v>
      </c>
      <c r="Y30" s="83" cm="1">
        <f t="array" ref="Y30">IF(M30="","",IF(J30="A",INDEX(base_p,4,R30+7*(IF(O30="",M30,O30)-1)),IF(J30="E",INDEX(base_p,15,R30+7*(IF(O30="",M30,O30)-1)),INDEX(base_p,27-Q30,R30+7*(IF(O30="",M30,O30)-1)))))</f>
        <v>3</v>
      </c>
      <c r="Z30" s="83">
        <f t="shared" si="25"/>
        <v>3</v>
      </c>
      <c r="AA30" s="1092"/>
      <c r="AB30" s="83">
        <f t="shared" si="17"/>
        <v>3</v>
      </c>
      <c r="AC30" s="196"/>
      <c r="AD30" s="196" t="s">
        <v>2047</v>
      </c>
      <c r="AE30" s="165"/>
      <c r="AF30" s="789" t="s">
        <v>4591</v>
      </c>
      <c r="AG30" s="1" t="str">
        <f t="shared" si="26"/>
        <v/>
      </c>
      <c r="AH30" s="1" t="str">
        <f t="shared" si="27"/>
        <v/>
      </c>
      <c r="AI30" s="1" t="str">
        <f t="shared" si="28"/>
        <v>AH.L.Fal3</v>
      </c>
      <c r="AJ30" s="1" t="str">
        <f t="shared" si="29"/>
        <v/>
      </c>
      <c r="AK30">
        <f t="shared" si="30"/>
        <v>1</v>
      </c>
      <c r="AL30">
        <f t="shared" si="31"/>
        <v>1</v>
      </c>
      <c r="AM30">
        <f t="shared" si="32"/>
        <v>1</v>
      </c>
      <c r="AN30">
        <f t="shared" si="33"/>
        <v>1</v>
      </c>
      <c r="AO30">
        <f t="shared" si="34"/>
        <v>1</v>
      </c>
      <c r="AP30">
        <f t="shared" si="16"/>
        <v>33</v>
      </c>
    </row>
    <row r="31" spans="1:42" ht="41.25" customHeight="1" x14ac:dyDescent="0.25">
      <c r="A31" s="894" t="s">
        <v>6323</v>
      </c>
      <c r="B31" s="854" t="s">
        <v>538</v>
      </c>
      <c r="C31" s="856" t="s">
        <v>268</v>
      </c>
      <c r="D31" s="854" t="str">
        <f>Mes</f>
        <v>Données en transit</v>
      </c>
      <c r="E31" s="788" t="str">
        <f>Altd</f>
        <v>Altération (non détectée) de donnée</v>
      </c>
      <c r="F31" s="858" t="s">
        <v>3211</v>
      </c>
      <c r="G31" s="858" t="s">
        <v>4768</v>
      </c>
      <c r="H31" s="848" t="s">
        <v>4731</v>
      </c>
      <c r="I31" s="24">
        <v>1</v>
      </c>
      <c r="J31" s="83" t="str">
        <f t="shared" si="19"/>
        <v>V</v>
      </c>
      <c r="K31" s="24" t="str">
        <f t="shared" si="20"/>
        <v>I</v>
      </c>
      <c r="L31" s="83">
        <f t="shared" si="21"/>
        <v>3</v>
      </c>
      <c r="M31" s="83">
        <f t="shared" si="22"/>
        <v>3</v>
      </c>
      <c r="N31" s="1070"/>
      <c r="O31" s="1070"/>
      <c r="P31" s="169">
        <f t="shared" si="23"/>
        <v>3</v>
      </c>
      <c r="Q31" s="871">
        <f>S3A08</f>
        <v>1</v>
      </c>
      <c r="R31" s="221">
        <f>MAX(S5A01,S5B01)</f>
        <v>1</v>
      </c>
      <c r="S31" s="221">
        <f>1</f>
        <v>1</v>
      </c>
      <c r="T31" s="221">
        <f>S5E04</f>
        <v>1</v>
      </c>
      <c r="U31" s="687"/>
      <c r="V31" s="1071"/>
      <c r="W31" s="1071"/>
      <c r="X31" s="83">
        <f t="shared" si="24"/>
        <v>3</v>
      </c>
      <c r="Y31" s="83" cm="1">
        <f t="array" ref="Y31">IF(M31="","",IF(J31="A",INDEX(base_p,4,R31+7*(IF(O31="",M31,O31)-1)),IF(J31="E",INDEX(base_p,15,R31+7*(IF(O31="",M31,O31)-1)),INDEX(base_p,27-Q31,R31+7*(IF(O31="",M31,O31)-1)))))</f>
        <v>3</v>
      </c>
      <c r="Z31" s="83">
        <f t="shared" si="25"/>
        <v>3</v>
      </c>
      <c r="AA31" s="1092"/>
      <c r="AB31" s="83">
        <f t="shared" si="17"/>
        <v>3</v>
      </c>
      <c r="AC31" s="167" t="s">
        <v>820</v>
      </c>
      <c r="AD31" s="196" t="s">
        <v>2047</v>
      </c>
      <c r="AE31" s="165"/>
      <c r="AF31" s="789" t="s">
        <v>4591</v>
      </c>
      <c r="AG31" s="1" t="str">
        <f t="shared" si="26"/>
        <v/>
      </c>
      <c r="AH31" s="1" t="str">
        <f t="shared" si="27"/>
        <v/>
      </c>
      <c r="AI31" s="1" t="str">
        <f t="shared" si="28"/>
        <v>AH.L.Fal3</v>
      </c>
      <c r="AJ31" s="1" t="str">
        <f t="shared" si="29"/>
        <v/>
      </c>
      <c r="AK31">
        <f t="shared" si="30"/>
        <v>1</v>
      </c>
      <c r="AL31">
        <f t="shared" si="31"/>
        <v>1</v>
      </c>
      <c r="AM31">
        <f t="shared" si="32"/>
        <v>1</v>
      </c>
      <c r="AN31">
        <f t="shared" si="33"/>
        <v>1</v>
      </c>
      <c r="AO31">
        <f t="shared" si="34"/>
        <v>1</v>
      </c>
      <c r="AP31">
        <f t="shared" si="16"/>
        <v>33</v>
      </c>
    </row>
    <row r="32" spans="1:42" ht="37.5" customHeight="1" x14ac:dyDescent="0.25">
      <c r="A32" s="894" t="s">
        <v>6324</v>
      </c>
      <c r="B32" s="854" t="s">
        <v>538</v>
      </c>
      <c r="C32" s="856" t="s">
        <v>268</v>
      </c>
      <c r="D32" s="854" t="str">
        <f>Mes</f>
        <v>Données en transit</v>
      </c>
      <c r="E32" s="788" t="str">
        <f>Altd</f>
        <v>Altération (non détectée) de donnée</v>
      </c>
      <c r="F32" s="858" t="s">
        <v>3211</v>
      </c>
      <c r="G32" s="858" t="s">
        <v>4768</v>
      </c>
      <c r="H32" s="848" t="s">
        <v>4732</v>
      </c>
      <c r="I32" s="24">
        <v>1</v>
      </c>
      <c r="J32" s="83" t="str">
        <f t="shared" si="19"/>
        <v>V</v>
      </c>
      <c r="K32" s="24" t="str">
        <f t="shared" si="20"/>
        <v>I</v>
      </c>
      <c r="L32" s="83">
        <f t="shared" si="21"/>
        <v>3</v>
      </c>
      <c r="M32" s="83">
        <f t="shared" si="22"/>
        <v>3</v>
      </c>
      <c r="N32" s="1070"/>
      <c r="O32" s="1070"/>
      <c r="P32" s="169">
        <f t="shared" si="23"/>
        <v>3</v>
      </c>
      <c r="Q32" s="871">
        <f>1</f>
        <v>1</v>
      </c>
      <c r="R32" s="221">
        <f>S5E02</f>
        <v>1</v>
      </c>
      <c r="S32" s="221">
        <f>1</f>
        <v>1</v>
      </c>
      <c r="T32" s="221">
        <f>1</f>
        <v>1</v>
      </c>
      <c r="U32" s="687"/>
      <c r="V32" s="1071"/>
      <c r="W32" s="1071"/>
      <c r="X32" s="83">
        <f t="shared" si="24"/>
        <v>3</v>
      </c>
      <c r="Y32" s="83" cm="1">
        <f t="array" ref="Y32">IF(M32="","",IF(J32="A",INDEX(base_p,4,R32+7*(IF(O32="",M32,O32)-1)),IF(J32="E",INDEX(base_p,15,R32+7*(IF(O32="",M32,O32)-1)),INDEX(base_p,27-Q32,R32+7*(IF(O32="",M32,O32)-1)))))</f>
        <v>3</v>
      </c>
      <c r="Z32" s="83">
        <f t="shared" si="25"/>
        <v>3</v>
      </c>
      <c r="AA32" s="1092"/>
      <c r="AB32" s="83">
        <f t="shared" si="17"/>
        <v>3</v>
      </c>
      <c r="AC32" s="165"/>
      <c r="AD32" s="196" t="s">
        <v>770</v>
      </c>
      <c r="AE32" s="165"/>
      <c r="AF32" s="165"/>
      <c r="AG32" s="1" t="str">
        <f t="shared" si="26"/>
        <v/>
      </c>
      <c r="AH32" s="1" t="str">
        <f t="shared" si="27"/>
        <v/>
      </c>
      <c r="AI32" s="1" t="str">
        <f t="shared" si="28"/>
        <v>AH.L.Fal3</v>
      </c>
      <c r="AJ32" s="1" t="str">
        <f t="shared" si="29"/>
        <v/>
      </c>
      <c r="AK32">
        <f t="shared" si="30"/>
        <v>1</v>
      </c>
      <c r="AL32">
        <f t="shared" si="31"/>
        <v>1</v>
      </c>
      <c r="AM32">
        <f t="shared" si="32"/>
        <v>1</v>
      </c>
      <c r="AN32">
        <f t="shared" si="33"/>
        <v>1</v>
      </c>
      <c r="AO32">
        <f t="shared" si="34"/>
        <v>1</v>
      </c>
      <c r="AP32">
        <f t="shared" si="16"/>
        <v>33</v>
      </c>
    </row>
    <row r="33" spans="1:49" ht="37.5" customHeight="1" x14ac:dyDescent="0.25">
      <c r="A33" s="894" t="s">
        <v>6325</v>
      </c>
      <c r="B33" s="854" t="s">
        <v>538</v>
      </c>
      <c r="C33" s="856" t="s">
        <v>268</v>
      </c>
      <c r="D33" s="854" t="str">
        <f>Mes</f>
        <v>Données en transit</v>
      </c>
      <c r="E33" s="788" t="str">
        <f>Altd</f>
        <v>Altération (non détectée) de donnée</v>
      </c>
      <c r="F33" s="858" t="s">
        <v>456</v>
      </c>
      <c r="G33" s="858" t="s">
        <v>406</v>
      </c>
      <c r="H33" s="850" t="s">
        <v>4733</v>
      </c>
      <c r="I33" s="24">
        <v>1</v>
      </c>
      <c r="J33" s="83" t="str">
        <f t="shared" si="19"/>
        <v>E</v>
      </c>
      <c r="K33" s="24" t="str">
        <f t="shared" si="20"/>
        <v>I</v>
      </c>
      <c r="L33" s="83">
        <f t="shared" si="21"/>
        <v>3</v>
      </c>
      <c r="M33" s="83">
        <f t="shared" si="22"/>
        <v>3</v>
      </c>
      <c r="N33" s="1070"/>
      <c r="O33" s="1070"/>
      <c r="P33" s="169">
        <f t="shared" si="23"/>
        <v>3</v>
      </c>
      <c r="Q33" s="871">
        <f>1</f>
        <v>1</v>
      </c>
      <c r="R33" s="221">
        <f>S5A04</f>
        <v>1</v>
      </c>
      <c r="S33" s="221">
        <f>S5A03</f>
        <v>1</v>
      </c>
      <c r="T33" s="221">
        <f>1</f>
        <v>1</v>
      </c>
      <c r="U33" s="687"/>
      <c r="V33" s="1071"/>
      <c r="W33" s="1071"/>
      <c r="X33" s="83">
        <f t="shared" si="24"/>
        <v>3</v>
      </c>
      <c r="Y33" s="83" cm="1">
        <f t="array" ref="Y33">IF(M33="","",IF(J33="A",INDEX(base_p,4,R33+7*(IF(O33="",M33,O33)-1)),IF(J33="E",INDEX(base_p,15,R33+7*(IF(O33="",M33,O33)-1)),INDEX(base_p,27-Q33,R33+7*(IF(O33="",M33,O33)-1)))))</f>
        <v>3</v>
      </c>
      <c r="Z33" s="83">
        <f t="shared" si="25"/>
        <v>3</v>
      </c>
      <c r="AA33" s="1092"/>
      <c r="AB33" s="83">
        <f t="shared" si="17"/>
        <v>3</v>
      </c>
      <c r="AC33" s="167"/>
      <c r="AD33" s="196" t="s">
        <v>639</v>
      </c>
      <c r="AE33" s="197" t="s">
        <v>638</v>
      </c>
      <c r="AF33" s="198"/>
      <c r="AG33" s="1" t="str">
        <f t="shared" si="26"/>
        <v/>
      </c>
      <c r="AH33" s="1" t="str">
        <f t="shared" si="27"/>
        <v/>
      </c>
      <c r="AI33" s="1" t="str">
        <f t="shared" si="28"/>
        <v>ER.P.Prs3</v>
      </c>
      <c r="AJ33" s="1" t="str">
        <f t="shared" si="29"/>
        <v/>
      </c>
      <c r="AK33">
        <f t="shared" si="30"/>
        <v>1</v>
      </c>
      <c r="AL33">
        <f t="shared" si="31"/>
        <v>1</v>
      </c>
      <c r="AM33">
        <f t="shared" si="32"/>
        <v>1</v>
      </c>
      <c r="AN33">
        <f t="shared" si="33"/>
        <v>1</v>
      </c>
      <c r="AO33">
        <f t="shared" si="34"/>
        <v>1</v>
      </c>
      <c r="AP33">
        <f t="shared" si="16"/>
        <v>33</v>
      </c>
    </row>
    <row r="34" spans="1:49" ht="37.5" customHeight="1" x14ac:dyDescent="0.25">
      <c r="A34" s="894" t="s">
        <v>6326</v>
      </c>
      <c r="B34" s="854" t="s">
        <v>538</v>
      </c>
      <c r="C34" s="856" t="s">
        <v>268</v>
      </c>
      <c r="D34" s="854" t="str">
        <f>Med</f>
        <v>Media support de données</v>
      </c>
      <c r="E34" s="788" t="s">
        <v>3244</v>
      </c>
      <c r="F34" s="858" t="s">
        <v>3224</v>
      </c>
      <c r="G34" s="858" t="s">
        <v>4769</v>
      </c>
      <c r="H34" s="897" t="s">
        <v>6714</v>
      </c>
      <c r="I34" s="24">
        <v>1</v>
      </c>
      <c r="J34" s="83" t="str">
        <f>VLOOKUP($F34,Tab_event,5)</f>
        <v>V</v>
      </c>
      <c r="K34" s="24" t="str">
        <f t="shared" si="20"/>
        <v>I</v>
      </c>
      <c r="L34" s="83">
        <f t="shared" si="21"/>
        <v>3</v>
      </c>
      <c r="M34" s="83">
        <f>VLOOKUP($F34,Tab_event,3,FALSE)</f>
        <v>3</v>
      </c>
      <c r="N34" s="1070"/>
      <c r="O34" s="1070"/>
      <c r="P34" s="169">
        <f t="shared" si="23"/>
        <v>3</v>
      </c>
      <c r="Q34" s="871">
        <f>S2B03</f>
        <v>1</v>
      </c>
      <c r="R34" s="221">
        <f>MAX(S5A02,S5B02)</f>
        <v>1</v>
      </c>
      <c r="S34" s="221">
        <f>S5A03</f>
        <v>1</v>
      </c>
      <c r="T34" s="221">
        <f>1</f>
        <v>1</v>
      </c>
      <c r="U34" s="687"/>
      <c r="V34" s="1071"/>
      <c r="W34" s="1071"/>
      <c r="X34" s="83">
        <f t="shared" si="24"/>
        <v>3</v>
      </c>
      <c r="Y34" s="83" cm="1">
        <f t="array" ref="Y34">IF(M34="","",IF(J34="A",INDEX(base_p,4,R34+7*(IF(O34="",M34,O34)-1)),IF(J34="E",INDEX(base_p,15,R34+7*(IF(O34="",M34,O34)-1)),INDEX(base_p,27-Q34,R34+7*(IF(O34="",M34,O34)-1)))))</f>
        <v>3</v>
      </c>
      <c r="Z34" s="83">
        <f t="shared" si="25"/>
        <v>3</v>
      </c>
      <c r="AA34" s="1092"/>
      <c r="AB34" s="83">
        <f>IF(OR(AA34="A",AA34="a",AA34="E",AA34="e",AA34="T",AA34="t",Z34=""),"",Z34)</f>
        <v>3</v>
      </c>
      <c r="AC34" s="199" t="s">
        <v>618</v>
      </c>
      <c r="AD34" s="196" t="s">
        <v>6572</v>
      </c>
      <c r="AE34" s="197" t="s">
        <v>638</v>
      </c>
      <c r="AF34" s="166"/>
      <c r="AG34" s="1" t="str">
        <f t="shared" si="26"/>
        <v/>
      </c>
      <c r="AH34" s="1" t="str">
        <f t="shared" si="27"/>
        <v/>
      </c>
      <c r="AI34" s="1" t="str">
        <f t="shared" si="28"/>
        <v>AH.P.Vol3</v>
      </c>
      <c r="AJ34" s="1" t="str">
        <f t="shared" si="29"/>
        <v/>
      </c>
      <c r="AK34">
        <f t="shared" si="30"/>
        <v>1</v>
      </c>
      <c r="AL34">
        <f t="shared" si="31"/>
        <v>1</v>
      </c>
      <c r="AM34">
        <f t="shared" si="32"/>
        <v>1</v>
      </c>
      <c r="AN34">
        <f>VLOOKUP($F34,Tab_event,4,FALSE)</f>
        <v>1</v>
      </c>
      <c r="AO34">
        <f t="shared" si="34"/>
        <v>1</v>
      </c>
      <c r="AP34">
        <f t="shared" si="16"/>
        <v>33</v>
      </c>
    </row>
    <row r="35" spans="1:49" ht="39.75" customHeight="1" x14ac:dyDescent="0.25">
      <c r="A35" s="894" t="s">
        <v>6327</v>
      </c>
      <c r="B35" s="854" t="s">
        <v>538</v>
      </c>
      <c r="C35" s="856" t="s">
        <v>268</v>
      </c>
      <c r="D35" s="854" t="str">
        <f>Med</f>
        <v>Media support de données</v>
      </c>
      <c r="E35" s="788" t="s">
        <v>3244</v>
      </c>
      <c r="F35" s="858" t="s">
        <v>3224</v>
      </c>
      <c r="G35" s="858" t="s">
        <v>4769</v>
      </c>
      <c r="H35" s="848" t="s">
        <v>6715</v>
      </c>
      <c r="I35" s="24">
        <v>1</v>
      </c>
      <c r="J35" s="83" t="str">
        <f t="shared" si="19"/>
        <v>V</v>
      </c>
      <c r="K35" s="24" t="str">
        <f t="shared" si="20"/>
        <v>I</v>
      </c>
      <c r="L35" s="83">
        <f t="shared" si="21"/>
        <v>3</v>
      </c>
      <c r="M35" s="83">
        <f t="shared" si="22"/>
        <v>3</v>
      </c>
      <c r="N35" s="1070"/>
      <c r="O35" s="1070"/>
      <c r="P35" s="169">
        <f t="shared" si="23"/>
        <v>3</v>
      </c>
      <c r="Q35" s="871">
        <f>S2B03</f>
        <v>1</v>
      </c>
      <c r="R35" s="221">
        <f>MAX(S2B01,S5A02,S5B02)</f>
        <v>1</v>
      </c>
      <c r="S35" s="221">
        <f>S5A03</f>
        <v>1</v>
      </c>
      <c r="T35" s="221">
        <f>1</f>
        <v>1</v>
      </c>
      <c r="U35" s="687"/>
      <c r="V35" s="1071"/>
      <c r="W35" s="1071"/>
      <c r="X35" s="83">
        <f t="shared" si="24"/>
        <v>3</v>
      </c>
      <c r="Y35" s="83" cm="1">
        <f t="array" ref="Y35">IF(M35="","",IF(J35="A",INDEX(base_p,4,R35+7*(IF(O35="",M35,O35)-1)),IF(J35="E",INDEX(base_p,15,R35+7*(IF(O35="",M35,O35)-1)),INDEX(base_p,27-Q35,R35+7*(IF(O35="",M35,O35)-1)))))</f>
        <v>3</v>
      </c>
      <c r="Z35" s="83">
        <f t="shared" si="25"/>
        <v>3</v>
      </c>
      <c r="AA35" s="1092"/>
      <c r="AB35" s="83">
        <f t="shared" si="17"/>
        <v>3</v>
      </c>
      <c r="AC35" s="199" t="s">
        <v>618</v>
      </c>
      <c r="AD35" s="196" t="s">
        <v>6574</v>
      </c>
      <c r="AE35" s="197" t="s">
        <v>638</v>
      </c>
      <c r="AF35" s="166"/>
      <c r="AG35" s="1" t="str">
        <f t="shared" si="26"/>
        <v/>
      </c>
      <c r="AH35" s="1" t="str">
        <f t="shared" si="27"/>
        <v/>
      </c>
      <c r="AI35" s="1" t="str">
        <f t="shared" si="28"/>
        <v>AH.P.Vol3</v>
      </c>
      <c r="AJ35" s="1" t="str">
        <f t="shared" si="29"/>
        <v/>
      </c>
      <c r="AK35">
        <f t="shared" si="30"/>
        <v>1</v>
      </c>
      <c r="AL35">
        <f t="shared" si="31"/>
        <v>1</v>
      </c>
      <c r="AM35">
        <f t="shared" si="32"/>
        <v>1</v>
      </c>
      <c r="AN35">
        <f t="shared" si="33"/>
        <v>1</v>
      </c>
      <c r="AO35">
        <f t="shared" si="34"/>
        <v>1</v>
      </c>
      <c r="AP35">
        <f t="shared" si="16"/>
        <v>33</v>
      </c>
    </row>
    <row r="36" spans="1:49" ht="15.75" customHeight="1" x14ac:dyDescent="0.25">
      <c r="A36" s="866" t="s">
        <v>6336</v>
      </c>
      <c r="B36" s="1325"/>
      <c r="C36" s="1325"/>
      <c r="D36" s="1325"/>
      <c r="E36" s="1325"/>
      <c r="F36" s="1325"/>
      <c r="G36" s="1325"/>
      <c r="H36" s="1325"/>
      <c r="I36" s="24"/>
      <c r="J36" s="83"/>
      <c r="K36" s="24"/>
      <c r="L36" s="83"/>
      <c r="M36" s="83"/>
      <c r="N36" s="1070"/>
      <c r="O36" s="1070"/>
      <c r="P36" s="169"/>
      <c r="Q36" s="871"/>
      <c r="R36" s="221"/>
      <c r="S36" s="221"/>
      <c r="T36" s="221"/>
      <c r="U36" s="687">
        <f>1</f>
        <v>1</v>
      </c>
      <c r="V36" s="1071"/>
      <c r="W36" s="1071"/>
      <c r="X36" s="83"/>
      <c r="Y36" s="83"/>
      <c r="Z36" s="83"/>
      <c r="AA36" s="1092"/>
      <c r="AB36" s="83"/>
      <c r="AC36" s="1"/>
      <c r="AD36" s="1"/>
      <c r="AE36" s="1"/>
      <c r="AF36" s="1"/>
      <c r="AG36" s="1"/>
      <c r="AH36" s="1"/>
      <c r="AI36" s="1"/>
      <c r="AJ36" s="1"/>
      <c r="AP36" t="str">
        <f t="shared" si="16"/>
        <v/>
      </c>
    </row>
    <row r="37" spans="1:49" ht="27" customHeight="1" x14ac:dyDescent="0.25">
      <c r="A37" s="894" t="s">
        <v>6328</v>
      </c>
      <c r="B37" s="854" t="s">
        <v>538</v>
      </c>
      <c r="C37" s="856" t="s">
        <v>309</v>
      </c>
      <c r="D37" s="854" t="str">
        <f>Fic</f>
        <v xml:space="preserve">Fichier ou base de données </v>
      </c>
      <c r="E37" s="788" t="str">
        <f t="shared" ref="E37:E44" si="35">Dive</f>
        <v>Divulgation de données</v>
      </c>
      <c r="F37" s="858" t="s">
        <v>3220</v>
      </c>
      <c r="G37" s="858" t="s">
        <v>4770</v>
      </c>
      <c r="H37" s="898" t="s">
        <v>6716</v>
      </c>
      <c r="I37" s="24">
        <v>1</v>
      </c>
      <c r="J37" s="83" t="str">
        <f t="shared" ref="J37:J44" si="36">VLOOKUP($F37,Tab_event,5)</f>
        <v>V</v>
      </c>
      <c r="K37" s="24" t="str">
        <f t="shared" ref="K37:K44" si="37">C37</f>
        <v>C</v>
      </c>
      <c r="L37" s="83">
        <f t="shared" ref="L37:L44" si="38">IF(VLOOKUP($B37,Tab_classif,8,FALSE)=1,VLOOKUP($B37,Tab_classif,IF(C37="D",4,IF(C37="I",5,IF(C37="C",6,7))),FALSE),1)</f>
        <v>3</v>
      </c>
      <c r="M37" s="83">
        <f t="shared" ref="M37:M44" si="39">VLOOKUP($F37,Tab_event,3,FALSE)</f>
        <v>3</v>
      </c>
      <c r="N37" s="1070"/>
      <c r="O37" s="1070"/>
      <c r="P37" s="169">
        <f t="shared" ref="P37:P44" si="40">IF(AND(NOT(L37=""),NOT(M37="")),INDEX(base_g,5-IF(N37="",L37,N37),IF(O37="",M37,O37)),"")</f>
        <v>3</v>
      </c>
      <c r="Q37" s="871">
        <f>MIN(S3A08,S4A11)</f>
        <v>1</v>
      </c>
      <c r="R37" s="221">
        <f>1</f>
        <v>1</v>
      </c>
      <c r="S37" s="221">
        <f>1</f>
        <v>1</v>
      </c>
      <c r="T37" s="221">
        <f>1</f>
        <v>1</v>
      </c>
      <c r="U37" s="687"/>
      <c r="V37" s="1071"/>
      <c r="W37" s="1071"/>
      <c r="X37" s="83">
        <f t="shared" ref="X37:X44" si="41">IF(L37="","",IF(K37="D",INDEX(base_i,IF(U37=0,4,5-S37),T37+7*(IF(N37="",L37,N37)-1)),IF(K37="I",INDEX(base_i,IF(U37=0,15,16-S37),T37+7*(IF(N37="",L37,N37)-1)),IF(K37="C",INDEX(base_i,IF(U37=0,26,27-S37),T37+7*(IF(N37="",L37,N37)-1)),INDEX(base_i,38-S37,T37+7*(IF(N37="",L37,N37)-1))))))</f>
        <v>3</v>
      </c>
      <c r="Y37" s="83" cm="1">
        <f t="array" ref="Y37">IF(M37="","",IF(J37="A",INDEX(base_p,4,R37+7*(IF(O37="",M37,O37)-1)),IF(J37="E",INDEX(base_p,15,R37+7*(IF(O37="",M37,O37)-1)),INDEX(base_p,27-Q37,R37+7*(IF(O37="",M37,O37)-1)))))</f>
        <v>3</v>
      </c>
      <c r="Z37" s="83">
        <f t="shared" ref="Z37:Z44" si="42">IF(AO37=1,IF(IndG&gt;1,IF(AND(OR(NOT(X37=""),NOT(V37="")),OR(NOT(Y37=""),NOT(W37="")),I37=1),INDEX(base_g,5-IF(V37="",X37,V37),IF(W37="",Y37,W37)),""),P37),"")</f>
        <v>3</v>
      </c>
      <c r="AA37" s="1092"/>
      <c r="AB37" s="83">
        <f t="shared" si="17"/>
        <v>3</v>
      </c>
      <c r="AC37" s="196" t="s">
        <v>6570</v>
      </c>
      <c r="AD37" s="196"/>
      <c r="AE37" s="165"/>
      <c r="AF37" s="165"/>
      <c r="AG37" s="1" t="str">
        <f t="shared" ref="AG37:AG44" si="43">IF($AB37=1,$F37&amp;$AB37,"")</f>
        <v/>
      </c>
      <c r="AH37" s="1" t="str">
        <f t="shared" ref="AH37:AH44" si="44">IF($AB37=2,$F37&amp;$AB37,"")</f>
        <v/>
      </c>
      <c r="AI37" s="1" t="str">
        <f t="shared" ref="AI37:AI44" si="45">IF($AB37=3,$F37&amp;$AB37,"")</f>
        <v>AH.L.Vol3</v>
      </c>
      <c r="AJ37" s="1" t="str">
        <f t="shared" ref="AJ37:AJ44" si="46">IF($AB37=4,$F37&amp;$AB37,"")</f>
        <v/>
      </c>
      <c r="AK37">
        <f t="shared" ref="AK37:AK44" si="47">VLOOKUP($B37,Tab_classif,8,FALSE)</f>
        <v>1</v>
      </c>
      <c r="AL37">
        <f t="shared" ref="AL37:AL44" si="48">VLOOKUP(D37,Tab_ActS,2,FALSE)</f>
        <v>1</v>
      </c>
      <c r="AM37">
        <f t="shared" ref="AM37:AM44" si="49">VLOOKUP(E37,Tab_SDom,3,FALSE)</f>
        <v>1</v>
      </c>
      <c r="AN37">
        <f t="shared" ref="AN37:AN44" si="50">VLOOKUP($F37,Tab_event,4,FALSE)</f>
        <v>1</v>
      </c>
      <c r="AO37">
        <f t="shared" ref="AO37:AO44" si="51">I37*AK37*AL37*AM37*AN37</f>
        <v>1</v>
      </c>
      <c r="AP37">
        <f t="shared" si="16"/>
        <v>33</v>
      </c>
    </row>
    <row r="38" spans="1:49" ht="32.25" customHeight="1" x14ac:dyDescent="0.25">
      <c r="A38" s="894" t="s">
        <v>6329</v>
      </c>
      <c r="B38" s="854" t="s">
        <v>538</v>
      </c>
      <c r="C38" s="856" t="s">
        <v>309</v>
      </c>
      <c r="D38" s="854" t="str">
        <f>Fic</f>
        <v xml:space="preserve">Fichier ou base de données </v>
      </c>
      <c r="E38" s="788" t="str">
        <f t="shared" si="35"/>
        <v>Divulgation de données</v>
      </c>
      <c r="F38" s="858" t="s">
        <v>3220</v>
      </c>
      <c r="G38" s="858" t="s">
        <v>4770</v>
      </c>
      <c r="H38" s="851" t="s">
        <v>4734</v>
      </c>
      <c r="I38" s="24">
        <v>1</v>
      </c>
      <c r="J38" s="83" t="str">
        <f t="shared" si="36"/>
        <v>V</v>
      </c>
      <c r="K38" s="24" t="str">
        <f t="shared" si="37"/>
        <v>C</v>
      </c>
      <c r="L38" s="83">
        <f t="shared" si="38"/>
        <v>3</v>
      </c>
      <c r="M38" s="83">
        <f t="shared" si="39"/>
        <v>3</v>
      </c>
      <c r="N38" s="1070"/>
      <c r="O38" s="1070"/>
      <c r="P38" s="169">
        <f t="shared" si="40"/>
        <v>3</v>
      </c>
      <c r="Q38" s="871">
        <f>1</f>
        <v>1</v>
      </c>
      <c r="R38" s="221">
        <f>MAX(MIN(S3A04,S3A07),S5B02)</f>
        <v>1</v>
      </c>
      <c r="S38" s="221">
        <f>1</f>
        <v>1</v>
      </c>
      <c r="T38" s="221">
        <f>1</f>
        <v>1</v>
      </c>
      <c r="U38" s="687"/>
      <c r="V38" s="1071"/>
      <c r="W38" s="1071"/>
      <c r="X38" s="83">
        <f t="shared" si="41"/>
        <v>3</v>
      </c>
      <c r="Y38" s="83" cm="1">
        <f t="array" ref="Y38">IF(M38="","",IF(J38="A",INDEX(base_p,4,R38+7*(IF(O38="",M38,O38)-1)),IF(J38="E",INDEX(base_p,15,R38+7*(IF(O38="",M38,O38)-1)),INDEX(base_p,27-Q38,R38+7*(IF(O38="",M38,O38)-1)))))</f>
        <v>3</v>
      </c>
      <c r="Z38" s="83">
        <f t="shared" si="42"/>
        <v>3</v>
      </c>
      <c r="AA38" s="1092"/>
      <c r="AB38" s="83">
        <f t="shared" si="17"/>
        <v>3</v>
      </c>
      <c r="AC38" s="196"/>
      <c r="AD38" s="196" t="s">
        <v>3236</v>
      </c>
      <c r="AE38" s="165"/>
      <c r="AF38" s="165"/>
      <c r="AG38" s="1" t="str">
        <f t="shared" si="43"/>
        <v/>
      </c>
      <c r="AH38" s="1" t="str">
        <f t="shared" si="44"/>
        <v/>
      </c>
      <c r="AI38" s="1" t="str">
        <f t="shared" si="45"/>
        <v>AH.L.Vol3</v>
      </c>
      <c r="AJ38" s="1" t="str">
        <f t="shared" si="46"/>
        <v/>
      </c>
      <c r="AK38">
        <f t="shared" si="47"/>
        <v>1</v>
      </c>
      <c r="AL38">
        <f t="shared" si="48"/>
        <v>1</v>
      </c>
      <c r="AM38">
        <f t="shared" si="49"/>
        <v>1</v>
      </c>
      <c r="AN38">
        <f t="shared" si="50"/>
        <v>1</v>
      </c>
      <c r="AO38">
        <f t="shared" si="51"/>
        <v>1</v>
      </c>
      <c r="AP38">
        <f t="shared" ref="AP38:AP69" si="52">IF(AND(AO38=1,AA38=""),IF(IndG=1,10*L38+M38,10*X38+Y38),"")</f>
        <v>33</v>
      </c>
    </row>
    <row r="39" spans="1:49" ht="40.5" customHeight="1" x14ac:dyDescent="0.25">
      <c r="A39" s="894" t="s">
        <v>6330</v>
      </c>
      <c r="B39" s="854" t="s">
        <v>538</v>
      </c>
      <c r="C39" s="856" t="s">
        <v>309</v>
      </c>
      <c r="D39" s="854" t="str">
        <f>Fic</f>
        <v xml:space="preserve">Fichier ou base de données </v>
      </c>
      <c r="E39" s="788" t="str">
        <f t="shared" si="35"/>
        <v>Divulgation de données</v>
      </c>
      <c r="F39" s="858" t="s">
        <v>3220</v>
      </c>
      <c r="G39" s="858" t="s">
        <v>4770</v>
      </c>
      <c r="H39" s="851" t="s">
        <v>2151</v>
      </c>
      <c r="I39" s="24">
        <v>1</v>
      </c>
      <c r="J39" s="83" t="str">
        <f t="shared" si="36"/>
        <v>V</v>
      </c>
      <c r="K39" s="24" t="str">
        <f t="shared" si="37"/>
        <v>C</v>
      </c>
      <c r="L39" s="83">
        <f t="shared" si="38"/>
        <v>3</v>
      </c>
      <c r="M39" s="83">
        <f t="shared" si="39"/>
        <v>3</v>
      </c>
      <c r="N39" s="1070"/>
      <c r="O39" s="1070"/>
      <c r="P39" s="169">
        <f t="shared" si="40"/>
        <v>3</v>
      </c>
      <c r="Q39" s="871">
        <f>1</f>
        <v>1</v>
      </c>
      <c r="R39" s="221">
        <f>MAX(S4A09,S5B02)</f>
        <v>1</v>
      </c>
      <c r="S39" s="221">
        <f>1</f>
        <v>1</v>
      </c>
      <c r="T39" s="221">
        <f>1</f>
        <v>1</v>
      </c>
      <c r="U39" s="687"/>
      <c r="V39" s="1071"/>
      <c r="W39" s="1071"/>
      <c r="X39" s="83">
        <f t="shared" si="41"/>
        <v>3</v>
      </c>
      <c r="Y39" s="83" cm="1">
        <f t="array" ref="Y39">IF(M39="","",IF(J39="A",INDEX(base_p,4,R39+7*(IF(O39="",M39,O39)-1)),IF(J39="E",INDEX(base_p,15,R39+7*(IF(O39="",M39,O39)-1)),INDEX(base_p,27-Q39,R39+7*(IF(O39="",M39,O39)-1)))))</f>
        <v>3</v>
      </c>
      <c r="Z39" s="83">
        <f t="shared" si="42"/>
        <v>3</v>
      </c>
      <c r="AA39" s="1092"/>
      <c r="AB39" s="83">
        <f t="shared" si="17"/>
        <v>3</v>
      </c>
      <c r="AC39" s="165"/>
      <c r="AD39" s="196" t="s">
        <v>2046</v>
      </c>
      <c r="AE39" s="165"/>
      <c r="AF39" s="165"/>
      <c r="AG39" s="1" t="str">
        <f t="shared" si="43"/>
        <v/>
      </c>
      <c r="AH39" s="1" t="str">
        <f t="shared" si="44"/>
        <v/>
      </c>
      <c r="AI39" s="1" t="str">
        <f t="shared" si="45"/>
        <v>AH.L.Vol3</v>
      </c>
      <c r="AJ39" s="1" t="str">
        <f t="shared" si="46"/>
        <v/>
      </c>
      <c r="AK39">
        <f t="shared" si="47"/>
        <v>1</v>
      </c>
      <c r="AL39">
        <f t="shared" si="48"/>
        <v>1</v>
      </c>
      <c r="AM39">
        <f t="shared" si="49"/>
        <v>1</v>
      </c>
      <c r="AN39">
        <f t="shared" si="50"/>
        <v>1</v>
      </c>
      <c r="AO39">
        <f t="shared" si="51"/>
        <v>1</v>
      </c>
      <c r="AP39">
        <f t="shared" si="52"/>
        <v>33</v>
      </c>
    </row>
    <row r="40" spans="1:49" ht="51" customHeight="1" x14ac:dyDescent="0.25">
      <c r="A40" s="894" t="s">
        <v>6331</v>
      </c>
      <c r="B40" s="854" t="s">
        <v>538</v>
      </c>
      <c r="C40" s="856" t="s">
        <v>309</v>
      </c>
      <c r="D40" s="854" t="str" cm="1">
        <f t="array" ref="D40">Det</f>
        <v>Données en transit</v>
      </c>
      <c r="E40" s="788" t="str">
        <f t="shared" si="35"/>
        <v>Divulgation de données</v>
      </c>
      <c r="F40" s="858" t="s">
        <v>3208</v>
      </c>
      <c r="G40" s="895" t="s">
        <v>6717</v>
      </c>
      <c r="H40" s="850" t="s">
        <v>6718</v>
      </c>
      <c r="I40" s="24">
        <v>1</v>
      </c>
      <c r="J40" s="83" t="str">
        <f t="shared" si="36"/>
        <v>V</v>
      </c>
      <c r="K40" s="24" t="str">
        <f t="shared" si="37"/>
        <v>C</v>
      </c>
      <c r="L40" s="83">
        <f t="shared" si="38"/>
        <v>3</v>
      </c>
      <c r="M40" s="83">
        <f t="shared" si="39"/>
        <v>2</v>
      </c>
      <c r="N40" s="1070"/>
      <c r="O40" s="1070"/>
      <c r="P40" s="169">
        <f t="shared" si="40"/>
        <v>3</v>
      </c>
      <c r="Q40" s="871">
        <f>1</f>
        <v>1</v>
      </c>
      <c r="R40" s="221">
        <f>S5B01</f>
        <v>1</v>
      </c>
      <c r="S40" s="221">
        <f>1</f>
        <v>1</v>
      </c>
      <c r="T40" s="221">
        <f>1</f>
        <v>1</v>
      </c>
      <c r="U40" s="687"/>
      <c r="V40" s="1071"/>
      <c r="W40" s="1071"/>
      <c r="X40" s="83">
        <f t="shared" si="41"/>
        <v>3</v>
      </c>
      <c r="Y40" s="83" cm="1">
        <f t="array" ref="Y40">IF(M40="","",IF(J40="A",INDEX(base_p,4,R40+7*(IF(O40="",M40,O40)-1)),IF(J40="E",INDEX(base_p,15,R40+7*(IF(O40="",M40,O40)-1)),INDEX(base_p,27-Q40,R40+7*(IF(O40="",M40,O40)-1)))))</f>
        <v>2</v>
      </c>
      <c r="Z40" s="83">
        <f t="shared" si="42"/>
        <v>3</v>
      </c>
      <c r="AA40" s="1092"/>
      <c r="AB40" s="83">
        <f t="shared" si="17"/>
        <v>3</v>
      </c>
      <c r="AC40" s="167"/>
      <c r="AD40" s="196" t="s">
        <v>640</v>
      </c>
      <c r="AE40" s="197"/>
      <c r="AF40" s="198"/>
      <c r="AG40" s="1" t="str">
        <f t="shared" si="43"/>
        <v/>
      </c>
      <c r="AH40" s="1" t="str">
        <f t="shared" si="44"/>
        <v/>
      </c>
      <c r="AI40" s="1" t="str">
        <f t="shared" si="45"/>
        <v>AH.L.Cap3</v>
      </c>
      <c r="AJ40" s="1" t="str">
        <f t="shared" si="46"/>
        <v/>
      </c>
      <c r="AK40">
        <f t="shared" si="47"/>
        <v>1</v>
      </c>
      <c r="AL40">
        <f t="shared" si="48"/>
        <v>1</v>
      </c>
      <c r="AM40">
        <f t="shared" si="49"/>
        <v>1</v>
      </c>
      <c r="AN40">
        <f t="shared" si="50"/>
        <v>1</v>
      </c>
      <c r="AO40">
        <f t="shared" si="51"/>
        <v>1</v>
      </c>
      <c r="AP40">
        <f t="shared" si="52"/>
        <v>32</v>
      </c>
    </row>
    <row r="41" spans="1:49" ht="51" customHeight="1" x14ac:dyDescent="0.25">
      <c r="A41" s="894" t="s">
        <v>6332</v>
      </c>
      <c r="B41" s="854" t="s">
        <v>538</v>
      </c>
      <c r="C41" s="856" t="s">
        <v>309</v>
      </c>
      <c r="D41" s="854" t="str" cm="1">
        <f t="array" ref="D41">Det</f>
        <v>Données en transit</v>
      </c>
      <c r="E41" s="788" t="str">
        <f t="shared" si="35"/>
        <v>Divulgation de données</v>
      </c>
      <c r="F41" s="858" t="s">
        <v>4804</v>
      </c>
      <c r="G41" s="895" t="s">
        <v>4771</v>
      </c>
      <c r="H41" s="850" t="s">
        <v>4736</v>
      </c>
      <c r="I41" s="24">
        <v>1</v>
      </c>
      <c r="J41" s="83" t="str">
        <f t="shared" si="36"/>
        <v>V</v>
      </c>
      <c r="K41" s="24" t="str">
        <f t="shared" si="37"/>
        <v>C</v>
      </c>
      <c r="L41" s="83">
        <f t="shared" si="38"/>
        <v>3</v>
      </c>
      <c r="M41" s="83">
        <f t="shared" si="39"/>
        <v>3</v>
      </c>
      <c r="N41" s="1070"/>
      <c r="O41" s="1070"/>
      <c r="P41" s="169">
        <f t="shared" si="40"/>
        <v>3</v>
      </c>
      <c r="Q41" s="871">
        <f>1</f>
        <v>1</v>
      </c>
      <c r="R41" s="221">
        <f>S2D05</f>
        <v>1</v>
      </c>
      <c r="S41" s="221">
        <f>1</f>
        <v>1</v>
      </c>
      <c r="T41" s="221">
        <f>1</f>
        <v>1</v>
      </c>
      <c r="U41" s="687"/>
      <c r="V41" s="1071"/>
      <c r="W41" s="1071"/>
      <c r="X41" s="83">
        <f t="shared" si="41"/>
        <v>3</v>
      </c>
      <c r="Y41" s="83" cm="1">
        <f t="array" ref="Y41">IF(M41="","",IF(J41="A",INDEX(base_p,4,R41+7*(IF(O41="",M41,O41)-1)),IF(J41="E",INDEX(base_p,15,R41+7*(IF(O41="",M41,O41)-1)),INDEX(base_p,27-Q41,R41+7*(IF(O41="",M41,O41)-1)))))</f>
        <v>3</v>
      </c>
      <c r="Z41" s="83">
        <f t="shared" si="42"/>
        <v>3</v>
      </c>
      <c r="AA41" s="1092"/>
      <c r="AB41" s="83">
        <f t="shared" si="17"/>
        <v>3</v>
      </c>
      <c r="AC41" s="167"/>
      <c r="AD41" s="196" t="s">
        <v>4459</v>
      </c>
      <c r="AE41" s="197"/>
      <c r="AF41" s="198"/>
      <c r="AG41" s="1" t="str">
        <f t="shared" si="43"/>
        <v/>
      </c>
      <c r="AH41" s="1" t="str">
        <f t="shared" si="44"/>
        <v/>
      </c>
      <c r="AI41" s="1" t="str">
        <f t="shared" si="45"/>
        <v>AH.L.Cav3</v>
      </c>
      <c r="AJ41" s="1" t="str">
        <f t="shared" si="46"/>
        <v/>
      </c>
      <c r="AK41">
        <f t="shared" si="47"/>
        <v>1</v>
      </c>
      <c r="AL41">
        <f t="shared" si="48"/>
        <v>1</v>
      </c>
      <c r="AM41">
        <f t="shared" si="49"/>
        <v>1</v>
      </c>
      <c r="AN41">
        <f t="shared" si="50"/>
        <v>1</v>
      </c>
      <c r="AO41">
        <f t="shared" si="51"/>
        <v>1</v>
      </c>
      <c r="AP41">
        <f t="shared" si="52"/>
        <v>33</v>
      </c>
    </row>
    <row r="42" spans="1:49" ht="28.5" customHeight="1" x14ac:dyDescent="0.25">
      <c r="A42" s="894" t="s">
        <v>6333</v>
      </c>
      <c r="B42" s="854" t="s">
        <v>538</v>
      </c>
      <c r="C42" s="856" t="s">
        <v>309</v>
      </c>
      <c r="D42" s="854" t="str">
        <f>Med</f>
        <v>Media support de données</v>
      </c>
      <c r="E42" s="788" t="str">
        <f t="shared" si="35"/>
        <v>Divulgation de données</v>
      </c>
      <c r="F42" s="858" t="s">
        <v>3224</v>
      </c>
      <c r="G42" s="858" t="s">
        <v>4772</v>
      </c>
      <c r="H42" s="897" t="s">
        <v>6719</v>
      </c>
      <c r="I42" s="24">
        <v>1</v>
      </c>
      <c r="J42" s="83" t="str">
        <f t="shared" si="36"/>
        <v>V</v>
      </c>
      <c r="K42" s="24" t="str">
        <f t="shared" si="37"/>
        <v>C</v>
      </c>
      <c r="L42" s="83">
        <f t="shared" si="38"/>
        <v>3</v>
      </c>
      <c r="M42" s="83">
        <f t="shared" si="39"/>
        <v>3</v>
      </c>
      <c r="N42" s="1070"/>
      <c r="O42" s="1070"/>
      <c r="P42" s="169">
        <f t="shared" si="40"/>
        <v>3</v>
      </c>
      <c r="Q42" s="871">
        <f>S2B03</f>
        <v>1</v>
      </c>
      <c r="R42" s="221">
        <f>S5B02</f>
        <v>1</v>
      </c>
      <c r="S42" s="221">
        <f>1</f>
        <v>1</v>
      </c>
      <c r="T42" s="221">
        <f>1</f>
        <v>1</v>
      </c>
      <c r="U42" s="687"/>
      <c r="V42" s="1071"/>
      <c r="W42" s="1071"/>
      <c r="X42" s="83">
        <f t="shared" si="41"/>
        <v>3</v>
      </c>
      <c r="Y42" s="83" cm="1">
        <f t="array" ref="Y42">IF(M42="","",IF(J42="A",INDEX(base_p,4,R42+7*(IF(O42="",M42,O42)-1)),IF(J42="E",INDEX(base_p,15,R42+7*(IF(O42="",M42,O42)-1)),INDEX(base_p,27-Q42,R42+7*(IF(O42="",M42,O42)-1)))))</f>
        <v>3</v>
      </c>
      <c r="Z42" s="83">
        <f t="shared" si="42"/>
        <v>3</v>
      </c>
      <c r="AA42" s="1092"/>
      <c r="AB42" s="83">
        <f t="shared" si="17"/>
        <v>3</v>
      </c>
      <c r="AC42" s="199" t="s">
        <v>618</v>
      </c>
      <c r="AD42" s="196" t="s">
        <v>641</v>
      </c>
      <c r="AE42" s="165"/>
      <c r="AF42" s="165"/>
      <c r="AG42" s="1" t="str">
        <f t="shared" si="43"/>
        <v/>
      </c>
      <c r="AH42" s="1" t="str">
        <f t="shared" si="44"/>
        <v/>
      </c>
      <c r="AI42" s="1" t="str">
        <f t="shared" si="45"/>
        <v>AH.P.Vol3</v>
      </c>
      <c r="AJ42" s="1" t="str">
        <f t="shared" si="46"/>
        <v/>
      </c>
      <c r="AK42">
        <f t="shared" si="47"/>
        <v>1</v>
      </c>
      <c r="AL42">
        <f t="shared" si="48"/>
        <v>1</v>
      </c>
      <c r="AM42">
        <f t="shared" si="49"/>
        <v>1</v>
      </c>
      <c r="AN42">
        <f t="shared" si="50"/>
        <v>1</v>
      </c>
      <c r="AO42">
        <f t="shared" si="51"/>
        <v>1</v>
      </c>
      <c r="AP42">
        <f t="shared" si="52"/>
        <v>33</v>
      </c>
    </row>
    <row r="43" spans="1:49" ht="27" customHeight="1" x14ac:dyDescent="0.25">
      <c r="A43" s="894" t="s">
        <v>6334</v>
      </c>
      <c r="B43" s="854" t="s">
        <v>538</v>
      </c>
      <c r="C43" s="856" t="s">
        <v>309</v>
      </c>
      <c r="D43" s="854" t="str">
        <f>Med</f>
        <v>Media support de données</v>
      </c>
      <c r="E43" s="788" t="str">
        <f t="shared" si="35"/>
        <v>Divulgation de données</v>
      </c>
      <c r="F43" s="858" t="s">
        <v>3224</v>
      </c>
      <c r="G43" s="858" t="s">
        <v>4772</v>
      </c>
      <c r="H43" s="848" t="s">
        <v>4737</v>
      </c>
      <c r="I43" s="24">
        <v>1</v>
      </c>
      <c r="J43" s="83" t="str">
        <f t="shared" si="36"/>
        <v>V</v>
      </c>
      <c r="K43" s="24" t="str">
        <f t="shared" si="37"/>
        <v>C</v>
      </c>
      <c r="L43" s="83">
        <f t="shared" si="38"/>
        <v>3</v>
      </c>
      <c r="M43" s="83">
        <f t="shared" si="39"/>
        <v>3</v>
      </c>
      <c r="N43" s="1070"/>
      <c r="O43" s="1070"/>
      <c r="P43" s="169">
        <f t="shared" si="40"/>
        <v>3</v>
      </c>
      <c r="Q43" s="871">
        <f>1</f>
        <v>1</v>
      </c>
      <c r="R43" s="221">
        <f>MAX(MIN(S2B01,S2B02),S5B02)</f>
        <v>1</v>
      </c>
      <c r="S43" s="221">
        <f>1</f>
        <v>1</v>
      </c>
      <c r="T43" s="221">
        <f>1</f>
        <v>1</v>
      </c>
      <c r="U43" s="687"/>
      <c r="V43" s="1071"/>
      <c r="W43" s="1071"/>
      <c r="X43" s="83">
        <f t="shared" si="41"/>
        <v>3</v>
      </c>
      <c r="Y43" s="83" cm="1">
        <f t="array" ref="Y43">IF(M43="","",IF(J43="A",INDEX(base_p,4,R43+7*(IF(O43="",M43,O43)-1)),IF(J43="E",INDEX(base_p,15,R43+7*(IF(O43="",M43,O43)-1)),INDEX(base_p,27-Q43,R43+7*(IF(O43="",M43,O43)-1)))))</f>
        <v>3</v>
      </c>
      <c r="Z43" s="83">
        <f t="shared" si="42"/>
        <v>3</v>
      </c>
      <c r="AA43" s="1092"/>
      <c r="AB43" s="83">
        <f t="shared" si="17"/>
        <v>3</v>
      </c>
      <c r="AC43" s="199"/>
      <c r="AD43" s="196" t="s">
        <v>2051</v>
      </c>
      <c r="AE43" s="165"/>
      <c r="AF43" s="165"/>
      <c r="AG43" s="1" t="str">
        <f t="shared" si="43"/>
        <v/>
      </c>
      <c r="AH43" s="1" t="str">
        <f t="shared" si="44"/>
        <v/>
      </c>
      <c r="AI43" s="1" t="str">
        <f t="shared" si="45"/>
        <v>AH.P.Vol3</v>
      </c>
      <c r="AJ43" s="1" t="str">
        <f t="shared" si="46"/>
        <v/>
      </c>
      <c r="AK43">
        <f t="shared" si="47"/>
        <v>1</v>
      </c>
      <c r="AL43">
        <f t="shared" si="48"/>
        <v>1</v>
      </c>
      <c r="AM43">
        <f t="shared" si="49"/>
        <v>1</v>
      </c>
      <c r="AN43">
        <f t="shared" si="50"/>
        <v>1</v>
      </c>
      <c r="AO43">
        <f t="shared" si="51"/>
        <v>1</v>
      </c>
      <c r="AP43">
        <f t="shared" si="52"/>
        <v>33</v>
      </c>
    </row>
    <row r="44" spans="1:49" ht="39.75" customHeight="1" x14ac:dyDescent="0.25">
      <c r="A44" s="894" t="s">
        <v>6335</v>
      </c>
      <c r="B44" s="854" t="s">
        <v>538</v>
      </c>
      <c r="C44" s="856" t="s">
        <v>309</v>
      </c>
      <c r="D44" s="854" t="str">
        <f>Med</f>
        <v>Media support de données</v>
      </c>
      <c r="E44" s="788" t="str">
        <f t="shared" si="35"/>
        <v>Divulgation de données</v>
      </c>
      <c r="F44" s="858" t="s">
        <v>546</v>
      </c>
      <c r="G44" s="895" t="s">
        <v>6535</v>
      </c>
      <c r="H44" s="848"/>
      <c r="I44" s="24">
        <v>1</v>
      </c>
      <c r="J44" s="83" t="str">
        <f t="shared" si="36"/>
        <v>E</v>
      </c>
      <c r="K44" s="24" t="str">
        <f t="shared" si="37"/>
        <v>C</v>
      </c>
      <c r="L44" s="83">
        <f t="shared" si="38"/>
        <v>3</v>
      </c>
      <c r="M44" s="83">
        <f t="shared" si="39"/>
        <v>3</v>
      </c>
      <c r="N44" s="1070"/>
      <c r="O44" s="1070"/>
      <c r="P44" s="169">
        <f t="shared" si="40"/>
        <v>3</v>
      </c>
      <c r="Q44" s="871">
        <f>1</f>
        <v>1</v>
      </c>
      <c r="R44" s="221">
        <f>MAX(S4E03,S5B02)</f>
        <v>1</v>
      </c>
      <c r="S44" s="221">
        <f>1</f>
        <v>1</v>
      </c>
      <c r="T44" s="221">
        <f>1</f>
        <v>1</v>
      </c>
      <c r="U44" s="687"/>
      <c r="V44" s="1071"/>
      <c r="W44" s="1071"/>
      <c r="X44" s="83">
        <f t="shared" si="41"/>
        <v>3</v>
      </c>
      <c r="Y44" s="83" cm="1">
        <f t="array" ref="Y44">IF(M44="","",IF(J44="A",INDEX(base_p,4,R44+7*(IF(O44="",M44,O44)-1)),IF(J44="E",INDEX(base_p,15,R44+7*(IF(O44="",M44,O44)-1)),INDEX(base_p,27-Q44,R44+7*(IF(O44="",M44,O44)-1)))))</f>
        <v>3</v>
      </c>
      <c r="Z44" s="83">
        <f t="shared" si="42"/>
        <v>3</v>
      </c>
      <c r="AA44" s="1092" t="s">
        <v>572</v>
      </c>
      <c r="AB44" s="83" t="str">
        <f t="shared" si="17"/>
        <v/>
      </c>
      <c r="AC44" s="199"/>
      <c r="AD44" s="196" t="s">
        <v>2106</v>
      </c>
      <c r="AE44" s="165"/>
      <c r="AF44" s="165"/>
      <c r="AG44" s="1" t="str">
        <f t="shared" si="43"/>
        <v/>
      </c>
      <c r="AH44" s="1" t="str">
        <f t="shared" si="44"/>
        <v/>
      </c>
      <c r="AI44" s="1" t="str">
        <f t="shared" si="45"/>
        <v/>
      </c>
      <c r="AJ44" s="1" t="str">
        <f t="shared" si="46"/>
        <v/>
      </c>
      <c r="AK44">
        <f t="shared" si="47"/>
        <v>1</v>
      </c>
      <c r="AL44">
        <f t="shared" si="48"/>
        <v>1</v>
      </c>
      <c r="AM44">
        <f t="shared" si="49"/>
        <v>1</v>
      </c>
      <c r="AN44">
        <f t="shared" si="50"/>
        <v>1</v>
      </c>
      <c r="AO44">
        <f t="shared" si="51"/>
        <v>1</v>
      </c>
      <c r="AP44" t="str">
        <f t="shared" si="52"/>
        <v/>
      </c>
    </row>
    <row r="45" spans="1:49" ht="15.75" customHeight="1" x14ac:dyDescent="0.25">
      <c r="A45" s="866" t="s">
        <v>6337</v>
      </c>
      <c r="B45" s="1326"/>
      <c r="C45" s="1326"/>
      <c r="D45" s="1326"/>
      <c r="E45" s="1326"/>
      <c r="F45" s="1326"/>
      <c r="G45" s="1326"/>
      <c r="H45" s="1326"/>
      <c r="I45" s="24"/>
      <c r="J45" s="83"/>
      <c r="K45" s="24"/>
      <c r="L45" s="83"/>
      <c r="M45" s="83"/>
      <c r="N45" s="1070"/>
      <c r="O45" s="1070"/>
      <c r="P45" s="169"/>
      <c r="Q45" s="871"/>
      <c r="R45" s="221"/>
      <c r="S45" s="221"/>
      <c r="T45" s="221"/>
      <c r="U45" s="687">
        <f>1</f>
        <v>1</v>
      </c>
      <c r="V45" s="1071"/>
      <c r="W45" s="1071"/>
      <c r="X45" s="83"/>
      <c r="Y45" s="83"/>
      <c r="Z45" s="83"/>
      <c r="AA45" s="1092"/>
      <c r="AB45" s="83"/>
      <c r="AC45"/>
      <c r="AD45"/>
      <c r="AE45"/>
      <c r="AF45"/>
      <c r="AG45" s="1"/>
      <c r="AH45" s="1"/>
      <c r="AI45" s="1"/>
      <c r="AJ45" s="1"/>
      <c r="AP45" t="str">
        <f t="shared" si="52"/>
        <v/>
      </c>
    </row>
    <row r="46" spans="1:49" ht="36" customHeight="1" x14ac:dyDescent="0.25">
      <c r="A46" s="894" t="s">
        <v>6338</v>
      </c>
      <c r="B46" s="854" t="s">
        <v>346</v>
      </c>
      <c r="C46" s="856" t="s">
        <v>539</v>
      </c>
      <c r="D46" s="854" t="str">
        <f t="shared" ref="D46:D53" si="53">Fic</f>
        <v xml:space="preserve">Fichier ou base de données </v>
      </c>
      <c r="E46" s="788" t="str">
        <f t="shared" ref="E46:E51" si="54">Disp</f>
        <v>Disparition</v>
      </c>
      <c r="F46" s="858" t="s">
        <v>3198</v>
      </c>
      <c r="G46" s="858" t="s">
        <v>4773</v>
      </c>
      <c r="H46" s="876" t="s">
        <v>6716</v>
      </c>
      <c r="I46" s="24">
        <v>1</v>
      </c>
      <c r="J46" s="83" t="str">
        <f t="shared" ref="J46:J62" si="55">VLOOKUP($F46,Tab_event,5)</f>
        <v>V</v>
      </c>
      <c r="K46" s="24" t="str">
        <f t="shared" ref="K46:K62" si="56">C46</f>
        <v>D</v>
      </c>
      <c r="L46" s="83">
        <f t="shared" ref="L46:L62" si="57">IF(VLOOKUP($B46,Tab_classif,8,FALSE)=1,VLOOKUP($B46,Tab_classif,IF(C46="D",4,IF(C46="I",5,IF(C46="C",6,7))),FALSE),1)</f>
        <v>2</v>
      </c>
      <c r="M46" s="83">
        <f t="shared" ref="M46:M62" si="58">VLOOKUP($F46,Tab_event,3,FALSE)</f>
        <v>3</v>
      </c>
      <c r="N46" s="1070"/>
      <c r="O46" s="1070"/>
      <c r="P46" s="169">
        <f t="shared" ref="P46:P62" si="59">IF(AND(NOT(L46=""),NOT(M46="")),INDEX(base_g,5-IF(N46="",L46,N46),IF(O46="",M46,O46)),"")</f>
        <v>2</v>
      </c>
      <c r="Q46" s="871">
        <f>MIN(S3A08,S4A11)</f>
        <v>1</v>
      </c>
      <c r="R46" s="221">
        <f>1</f>
        <v>1</v>
      </c>
      <c r="S46" s="221">
        <f>1</f>
        <v>1</v>
      </c>
      <c r="T46" s="221">
        <f>S6B04</f>
        <v>1</v>
      </c>
      <c r="U46" s="687"/>
      <c r="V46" s="1071"/>
      <c r="W46" s="1071"/>
      <c r="X46" s="83">
        <f t="shared" ref="X46:X62" si="60">IF(L46="","",IF(K46="D",INDEX(base_i,IF(U46=0,4,5-S46),T46+7*(IF(N46="",L46,N46)-1)),IF(K46="I",INDEX(base_i,IF(U46=0,15,16-S46),T46+7*(IF(N46="",L46,N46)-1)),IF(K46="C",INDEX(base_i,IF(U46=0,26,27-S46),T46+7*(IF(N46="",L46,N46)-1)),INDEX(base_i,38-S46,T46+7*(IF(N46="",L46,N46)-1))))))</f>
        <v>2</v>
      </c>
      <c r="Y46" s="83" cm="1">
        <f t="array" ref="Y46">IF(M46="","",IF(J46="A",INDEX(base_p,4,R46+7*(IF(O46="",M46,O46)-1)),IF(J46="E",INDEX(base_p,15,R46+7*(IF(O46="",M46,O46)-1)),INDEX(base_p,27-Q46,R46+7*(IF(O46="",M46,O46)-1)))))</f>
        <v>3</v>
      </c>
      <c r="Z46" s="83">
        <f t="shared" ref="Z46:Z62" si="61">IF(AO46=1,IF(IndG&gt;1,IF(AND(OR(NOT(X46=""),NOT(V46="")),OR(NOT(Y46=""),NOT(W46="")),I46=1),INDEX(base_g,5-IF(V46="",X46,V46),IF(W46="",Y46,W46)),""),P46),"")</f>
        <v>2</v>
      </c>
      <c r="AA46" s="1092"/>
      <c r="AB46" s="83">
        <f t="shared" si="17"/>
        <v>2</v>
      </c>
      <c r="AC46" s="196" t="s">
        <v>6570</v>
      </c>
      <c r="AD46" s="199"/>
      <c r="AE46" s="196"/>
      <c r="AF46" s="165" t="s">
        <v>649</v>
      </c>
      <c r="AG46" s="1" t="str">
        <f t="shared" ref="AG46:AG58" si="62">IF($AB46=1,$F46&amp;$AB46,"")</f>
        <v/>
      </c>
      <c r="AH46" s="1" t="str">
        <f t="shared" ref="AH46:AH58" si="63">IF($AB46=2,$F46&amp;$AB46,"")</f>
        <v>AH.L.Del2</v>
      </c>
      <c r="AI46" s="1" t="str">
        <f t="shared" ref="AI46:AI58" si="64">IF($AB46=3,$F46&amp;$AB46,"")</f>
        <v/>
      </c>
      <c r="AJ46" s="1" t="str">
        <f t="shared" ref="AJ46:AJ58" si="65">IF($AB46=4,$F46&amp;$AB46,"")</f>
        <v/>
      </c>
      <c r="AK46">
        <f t="shared" ref="AK46:AK62" si="66">VLOOKUP($B46,Tab_classif,8,FALSE)</f>
        <v>1</v>
      </c>
      <c r="AL46">
        <f t="shared" ref="AL46:AL62" si="67">VLOOKUP(D46,Tab_ActS,2,FALSE)</f>
        <v>1</v>
      </c>
      <c r="AM46">
        <f t="shared" ref="AM46:AM62" si="68">VLOOKUP(E46,Tab_SDom,3,FALSE)</f>
        <v>1</v>
      </c>
      <c r="AN46">
        <f t="shared" ref="AN46:AN62" si="69">VLOOKUP($F46,Tab_event,4,FALSE)</f>
        <v>1</v>
      </c>
      <c r="AO46">
        <f t="shared" ref="AO46:AO62" si="70">I46*AK46*AL46*AM46*AN46</f>
        <v>1</v>
      </c>
      <c r="AP46">
        <f t="shared" si="52"/>
        <v>23</v>
      </c>
      <c r="AW46">
        <v>3</v>
      </c>
    </row>
    <row r="47" spans="1:49" ht="36" customHeight="1" x14ac:dyDescent="0.25">
      <c r="A47" s="894" t="s">
        <v>6339</v>
      </c>
      <c r="B47" s="854" t="s">
        <v>346</v>
      </c>
      <c r="C47" s="856" t="s">
        <v>539</v>
      </c>
      <c r="D47" s="854" t="str">
        <f t="shared" si="53"/>
        <v xml:space="preserve">Fichier ou base de données </v>
      </c>
      <c r="E47" s="788" t="str">
        <f t="shared" si="54"/>
        <v>Disparition</v>
      </c>
      <c r="F47" s="858" t="s">
        <v>3198</v>
      </c>
      <c r="G47" s="858" t="s">
        <v>4773</v>
      </c>
      <c r="H47" s="850" t="s">
        <v>4740</v>
      </c>
      <c r="I47" s="24">
        <v>1</v>
      </c>
      <c r="J47" s="83" t="str">
        <f t="shared" si="55"/>
        <v>V</v>
      </c>
      <c r="K47" s="24" t="str">
        <f t="shared" si="56"/>
        <v>D</v>
      </c>
      <c r="L47" s="83">
        <f t="shared" si="57"/>
        <v>2</v>
      </c>
      <c r="M47" s="83">
        <f t="shared" si="58"/>
        <v>3</v>
      </c>
      <c r="N47" s="1070"/>
      <c r="O47" s="1070"/>
      <c r="P47" s="169">
        <f t="shared" si="59"/>
        <v>2</v>
      </c>
      <c r="Q47" s="871">
        <f>1</f>
        <v>1</v>
      </c>
      <c r="R47" s="221">
        <f>MIN(S3A04,S3A07)</f>
        <v>1</v>
      </c>
      <c r="S47" s="221">
        <f>1</f>
        <v>1</v>
      </c>
      <c r="T47" s="221">
        <f>S4A03</f>
        <v>1</v>
      </c>
      <c r="U47" s="687"/>
      <c r="V47" s="1071"/>
      <c r="W47" s="1071"/>
      <c r="X47" s="83">
        <f t="shared" si="60"/>
        <v>2</v>
      </c>
      <c r="Y47" s="83" cm="1">
        <f t="array" ref="Y47">IF(M47="","",IF(J47="A",INDEX(base_p,4,R47+7*(IF(O47="",M47,O47)-1)),IF(J47="E",INDEX(base_p,15,R47+7*(IF(O47="",M47,O47)-1)),INDEX(base_p,27-Q47,R47+7*(IF(O47="",M47,O47)-1)))))</f>
        <v>3</v>
      </c>
      <c r="Z47" s="83">
        <f t="shared" si="61"/>
        <v>2</v>
      </c>
      <c r="AA47" s="1092"/>
      <c r="AB47" s="83">
        <f t="shared" si="17"/>
        <v>2</v>
      </c>
      <c r="AC47" s="196"/>
      <c r="AD47" s="196" t="s">
        <v>2041</v>
      </c>
      <c r="AE47" s="380"/>
      <c r="AF47" s="165" t="s">
        <v>622</v>
      </c>
      <c r="AG47" s="1" t="str">
        <f t="shared" si="62"/>
        <v/>
      </c>
      <c r="AH47" s="1" t="str">
        <f t="shared" si="63"/>
        <v>AH.L.Del2</v>
      </c>
      <c r="AI47" s="1" t="str">
        <f t="shared" si="64"/>
        <v/>
      </c>
      <c r="AJ47" s="1" t="str">
        <f t="shared" si="65"/>
        <v/>
      </c>
      <c r="AK47">
        <f t="shared" si="66"/>
        <v>1</v>
      </c>
      <c r="AL47">
        <f t="shared" si="67"/>
        <v>1</v>
      </c>
      <c r="AM47">
        <f t="shared" si="68"/>
        <v>1</v>
      </c>
      <c r="AN47">
        <f t="shared" si="69"/>
        <v>1</v>
      </c>
      <c r="AO47">
        <f t="shared" si="70"/>
        <v>1</v>
      </c>
      <c r="AP47">
        <f t="shared" si="52"/>
        <v>23</v>
      </c>
    </row>
    <row r="48" spans="1:49" ht="36" customHeight="1" x14ac:dyDescent="0.25">
      <c r="A48" s="894" t="s">
        <v>6340</v>
      </c>
      <c r="B48" s="854" t="s">
        <v>346</v>
      </c>
      <c r="C48" s="856" t="s">
        <v>539</v>
      </c>
      <c r="D48" s="854" t="str">
        <f t="shared" si="53"/>
        <v xml:space="preserve">Fichier ou base de données </v>
      </c>
      <c r="E48" s="788" t="str">
        <f t="shared" si="54"/>
        <v>Disparition</v>
      </c>
      <c r="F48" s="858" t="s">
        <v>3198</v>
      </c>
      <c r="G48" s="858" t="s">
        <v>4773</v>
      </c>
      <c r="H48" s="850" t="s">
        <v>4739</v>
      </c>
      <c r="I48" s="24">
        <v>1</v>
      </c>
      <c r="J48" s="83" t="str">
        <f t="shared" si="55"/>
        <v>V</v>
      </c>
      <c r="K48" s="24" t="str">
        <f t="shared" si="56"/>
        <v>D</v>
      </c>
      <c r="L48" s="83">
        <f t="shared" si="57"/>
        <v>2</v>
      </c>
      <c r="M48" s="83">
        <f t="shared" si="58"/>
        <v>3</v>
      </c>
      <c r="N48" s="1070"/>
      <c r="O48" s="1070"/>
      <c r="P48" s="169">
        <f t="shared" si="59"/>
        <v>2</v>
      </c>
      <c r="Q48" s="871">
        <f>S2D03</f>
        <v>1</v>
      </c>
      <c r="R48" s="221">
        <f>S6A01</f>
        <v>1</v>
      </c>
      <c r="S48" s="221">
        <f>1</f>
        <v>1</v>
      </c>
      <c r="T48" s="221">
        <f>S6B04</f>
        <v>1</v>
      </c>
      <c r="U48" s="687"/>
      <c r="V48" s="1071"/>
      <c r="W48" s="1071"/>
      <c r="X48" s="83">
        <f t="shared" si="60"/>
        <v>2</v>
      </c>
      <c r="Y48" s="83" cm="1">
        <f t="array" ref="Y48">IF(M48="","",IF(J48="A",INDEX(base_p,4,R48+7*(IF(O48="",M48,O48)-1)),IF(J48="E",INDEX(base_p,15,R48+7*(IF(O48="",M48,O48)-1)),INDEX(base_p,27-Q48,R48+7*(IF(O48="",M48,O48)-1)))))</f>
        <v>3</v>
      </c>
      <c r="Z48" s="83">
        <f t="shared" si="61"/>
        <v>2</v>
      </c>
      <c r="AA48" s="1092" t="s">
        <v>6816</v>
      </c>
      <c r="AB48" s="83" t="str">
        <f t="shared" si="17"/>
        <v/>
      </c>
      <c r="AC48" s="196" t="s">
        <v>614</v>
      </c>
      <c r="AD48" s="199" t="s">
        <v>644</v>
      </c>
      <c r="AE48" s="380"/>
      <c r="AF48" s="165" t="s">
        <v>649</v>
      </c>
      <c r="AG48" s="1" t="str">
        <f t="shared" si="62"/>
        <v/>
      </c>
      <c r="AH48" s="1" t="str">
        <f t="shared" si="63"/>
        <v/>
      </c>
      <c r="AI48" s="1" t="str">
        <f t="shared" si="64"/>
        <v/>
      </c>
      <c r="AJ48" s="1" t="str">
        <f t="shared" si="65"/>
        <v/>
      </c>
      <c r="AK48">
        <f t="shared" si="66"/>
        <v>1</v>
      </c>
      <c r="AL48">
        <f t="shared" si="67"/>
        <v>1</v>
      </c>
      <c r="AM48">
        <f t="shared" si="68"/>
        <v>1</v>
      </c>
      <c r="AN48">
        <f t="shared" si="69"/>
        <v>1</v>
      </c>
      <c r="AO48">
        <f t="shared" si="70"/>
        <v>1</v>
      </c>
      <c r="AP48" t="str">
        <f t="shared" si="52"/>
        <v/>
      </c>
    </row>
    <row r="49" spans="1:42" ht="40.5" customHeight="1" x14ac:dyDescent="0.25">
      <c r="A49" s="894" t="s">
        <v>6344</v>
      </c>
      <c r="B49" s="854" t="s">
        <v>346</v>
      </c>
      <c r="C49" s="856" t="s">
        <v>539</v>
      </c>
      <c r="D49" s="854" t="str">
        <f t="shared" si="53"/>
        <v xml:space="preserve">Fichier ou base de données </v>
      </c>
      <c r="E49" s="788" t="str">
        <f t="shared" si="54"/>
        <v>Disparition</v>
      </c>
      <c r="F49" s="858" t="s">
        <v>546</v>
      </c>
      <c r="G49" s="876" t="s">
        <v>6341</v>
      </c>
      <c r="H49" s="850"/>
      <c r="I49" s="24">
        <v>1</v>
      </c>
      <c r="J49" s="83" t="str">
        <f t="shared" si="55"/>
        <v>E</v>
      </c>
      <c r="K49" s="24" t="str">
        <f t="shared" si="56"/>
        <v>D</v>
      </c>
      <c r="L49" s="83">
        <f t="shared" si="57"/>
        <v>2</v>
      </c>
      <c r="M49" s="83">
        <f t="shared" si="58"/>
        <v>3</v>
      </c>
      <c r="N49" s="1070"/>
      <c r="O49" s="1070"/>
      <c r="P49" s="169">
        <f t="shared" si="59"/>
        <v>2</v>
      </c>
      <c r="Q49" s="871">
        <f>1</f>
        <v>1</v>
      </c>
      <c r="R49" s="221">
        <f>1</f>
        <v>1</v>
      </c>
      <c r="S49" s="221">
        <f>1</f>
        <v>1</v>
      </c>
      <c r="T49" s="221">
        <f>MIN(S4A03,S6B04)</f>
        <v>1</v>
      </c>
      <c r="U49" s="687"/>
      <c r="V49" s="1071"/>
      <c r="W49" s="1071"/>
      <c r="X49" s="83">
        <f t="shared" si="60"/>
        <v>2</v>
      </c>
      <c r="Y49" s="83" cm="1">
        <f t="array" ref="Y49">IF(M49="","",IF(J49="A",INDEX(base_p,4,R49+7*(IF(O49="",M49,O49)-1)),IF(J49="E",INDEX(base_p,15,R49+7*(IF(O49="",M49,O49)-1)),INDEX(base_p,27-Q49,R49+7*(IF(O49="",M49,O49)-1)))))</f>
        <v>3</v>
      </c>
      <c r="Z49" s="83">
        <f t="shared" si="61"/>
        <v>2</v>
      </c>
      <c r="AA49" s="1092"/>
      <c r="AB49" s="83">
        <f>IF(OR(AA49="A",AA49="a",AA49="E",AA49="e",AA49="T",AA49="t",Z49=""),"",Z49)</f>
        <v>2</v>
      </c>
      <c r="AC49" s="167"/>
      <c r="AD49" s="196"/>
      <c r="AE49" s="165"/>
      <c r="AF49" s="165" t="s">
        <v>6342</v>
      </c>
      <c r="AG49" s="1" t="str">
        <f t="shared" si="62"/>
        <v/>
      </c>
      <c r="AH49" s="1" t="str">
        <f t="shared" si="63"/>
        <v>ER.P.Pro2</v>
      </c>
      <c r="AI49" s="1" t="str">
        <f t="shared" si="64"/>
        <v/>
      </c>
      <c r="AJ49" s="1" t="str">
        <f t="shared" si="65"/>
        <v/>
      </c>
      <c r="AK49">
        <f t="shared" si="66"/>
        <v>1</v>
      </c>
      <c r="AL49">
        <f t="shared" si="67"/>
        <v>1</v>
      </c>
      <c r="AM49">
        <f t="shared" si="68"/>
        <v>1</v>
      </c>
      <c r="AN49">
        <f t="shared" si="69"/>
        <v>1</v>
      </c>
      <c r="AO49">
        <f t="shared" si="70"/>
        <v>1</v>
      </c>
      <c r="AP49">
        <f t="shared" si="52"/>
        <v>23</v>
      </c>
    </row>
    <row r="50" spans="1:42" ht="39.75" customHeight="1" x14ac:dyDescent="0.25">
      <c r="A50" s="894" t="s">
        <v>6345</v>
      </c>
      <c r="B50" s="854" t="s">
        <v>346</v>
      </c>
      <c r="C50" s="856" t="s">
        <v>539</v>
      </c>
      <c r="D50" s="854" t="str">
        <f t="shared" si="53"/>
        <v xml:space="preserve">Fichier ou base de données </v>
      </c>
      <c r="E50" s="788" t="str">
        <f t="shared" si="54"/>
        <v>Disparition</v>
      </c>
      <c r="F50" s="858" t="s">
        <v>424</v>
      </c>
      <c r="G50" s="877" t="s">
        <v>6343</v>
      </c>
      <c r="H50" s="850"/>
      <c r="I50" s="24">
        <v>1</v>
      </c>
      <c r="J50" s="83" t="str">
        <f t="shared" si="55"/>
        <v>A</v>
      </c>
      <c r="K50" s="24" t="str">
        <f t="shared" si="56"/>
        <v>D</v>
      </c>
      <c r="L50" s="83">
        <f t="shared" si="57"/>
        <v>2</v>
      </c>
      <c r="M50" s="83">
        <f t="shared" si="58"/>
        <v>4</v>
      </c>
      <c r="N50" s="1070"/>
      <c r="O50" s="1070"/>
      <c r="P50" s="169">
        <f t="shared" si="59"/>
        <v>3</v>
      </c>
      <c r="Q50" s="871">
        <f>1</f>
        <v>1</v>
      </c>
      <c r="R50" s="221">
        <f>S4A02</f>
        <v>1</v>
      </c>
      <c r="S50" s="221">
        <f>1</f>
        <v>1</v>
      </c>
      <c r="T50" s="221">
        <f>MIN(S4A03,S6B04)</f>
        <v>1</v>
      </c>
      <c r="U50" s="687"/>
      <c r="V50" s="1071"/>
      <c r="W50" s="1071"/>
      <c r="X50" s="83">
        <f t="shared" si="60"/>
        <v>2</v>
      </c>
      <c r="Y50" s="83" cm="1">
        <f t="array" ref="Y50">IF(M50="","",IF(J50="A",INDEX(base_p,4,R50+7*(IF(O50="",M50,O50)-1)),IF(J50="E",INDEX(base_p,15,R50+7*(IF(O50="",M50,O50)-1)),INDEX(base_p,27-Q50,R50+7*(IF(O50="",M50,O50)-1)))))</f>
        <v>4</v>
      </c>
      <c r="Z50" s="83">
        <f t="shared" si="61"/>
        <v>3</v>
      </c>
      <c r="AA50" s="1092"/>
      <c r="AB50" s="83">
        <f t="shared" si="17"/>
        <v>3</v>
      </c>
      <c r="AC50" s="199"/>
      <c r="AD50" s="196" t="s">
        <v>650</v>
      </c>
      <c r="AE50" s="197"/>
      <c r="AF50" s="165" t="s">
        <v>6342</v>
      </c>
      <c r="AG50" s="1" t="str">
        <f t="shared" si="62"/>
        <v/>
      </c>
      <c r="AH50" s="1" t="str">
        <f t="shared" si="63"/>
        <v/>
      </c>
      <c r="AI50" s="1" t="str">
        <f t="shared" si="64"/>
        <v>IF.L.Vir3</v>
      </c>
      <c r="AJ50" s="1" t="str">
        <f t="shared" si="65"/>
        <v/>
      </c>
      <c r="AK50">
        <f t="shared" si="66"/>
        <v>1</v>
      </c>
      <c r="AL50">
        <f t="shared" si="67"/>
        <v>1</v>
      </c>
      <c r="AM50">
        <f t="shared" si="68"/>
        <v>1</v>
      </c>
      <c r="AN50">
        <f t="shared" si="69"/>
        <v>1</v>
      </c>
      <c r="AO50">
        <f t="shared" si="70"/>
        <v>1</v>
      </c>
      <c r="AP50">
        <f t="shared" si="52"/>
        <v>24</v>
      </c>
    </row>
    <row r="51" spans="1:42" ht="39.75" customHeight="1" x14ac:dyDescent="0.25">
      <c r="A51" s="894" t="s">
        <v>6346</v>
      </c>
      <c r="B51" s="854" t="s">
        <v>346</v>
      </c>
      <c r="C51" s="856" t="s">
        <v>539</v>
      </c>
      <c r="D51" s="854" t="str">
        <f t="shared" si="53"/>
        <v xml:space="preserve">Fichier ou base de données </v>
      </c>
      <c r="E51" s="788" t="str">
        <f t="shared" si="54"/>
        <v>Disparition</v>
      </c>
      <c r="F51" s="905" t="s">
        <v>3219</v>
      </c>
      <c r="G51" s="858" t="s">
        <v>6575</v>
      </c>
      <c r="H51" s="859"/>
      <c r="I51" s="24">
        <v>1</v>
      </c>
      <c r="J51" s="83" t="str">
        <f t="shared" si="55"/>
        <v>V</v>
      </c>
      <c r="K51" s="24" t="str">
        <f t="shared" si="56"/>
        <v>D</v>
      </c>
      <c r="L51" s="83">
        <f t="shared" si="57"/>
        <v>2</v>
      </c>
      <c r="M51" s="83">
        <f t="shared" si="58"/>
        <v>2</v>
      </c>
      <c r="N51" s="1070"/>
      <c r="O51" s="1070"/>
      <c r="P51" s="169">
        <f t="shared" si="59"/>
        <v>2</v>
      </c>
      <c r="Q51" s="871">
        <f>S3A08</f>
        <v>1</v>
      </c>
      <c r="R51" s="221">
        <f>1</f>
        <v>1</v>
      </c>
      <c r="S51" s="221">
        <f>1</f>
        <v>1</v>
      </c>
      <c r="T51" s="221">
        <f>1</f>
        <v>1</v>
      </c>
      <c r="U51" s="687"/>
      <c r="V51" s="1071"/>
      <c r="W51" s="1071"/>
      <c r="X51" s="83">
        <f t="shared" si="60"/>
        <v>2</v>
      </c>
      <c r="Y51" s="83" cm="1">
        <f t="array" ref="Y51">IF(M51="","",IF(J51="A",INDEX(base_p,4,R51+7*(IF(O51="",M51,O51)-1)),IF(J51="E",INDEX(base_p,15,R51+7*(IF(O51="",M51,O51)-1)),INDEX(base_p,27-Q51,R51+7*(IF(O51="",M51,O51)-1)))))</f>
        <v>2</v>
      </c>
      <c r="Z51" s="83">
        <f t="shared" si="61"/>
        <v>2</v>
      </c>
      <c r="AA51" s="1092"/>
      <c r="AB51" s="83">
        <f t="shared" si="17"/>
        <v>2</v>
      </c>
      <c r="AC51" s="199" t="s">
        <v>820</v>
      </c>
      <c r="AD51" s="199"/>
      <c r="AE51" s="165"/>
      <c r="AF51" s="196"/>
      <c r="AG51" s="1" t="str">
        <f t="shared" si="62"/>
        <v/>
      </c>
      <c r="AH51" s="1" t="str">
        <f t="shared" si="63"/>
        <v>AH.L.Tot2</v>
      </c>
      <c r="AI51" s="1" t="str">
        <f t="shared" si="64"/>
        <v/>
      </c>
      <c r="AJ51" s="1" t="str">
        <f t="shared" si="65"/>
        <v/>
      </c>
      <c r="AK51">
        <f t="shared" si="66"/>
        <v>1</v>
      </c>
      <c r="AL51">
        <f t="shared" si="67"/>
        <v>1</v>
      </c>
      <c r="AM51">
        <f t="shared" si="68"/>
        <v>1</v>
      </c>
      <c r="AN51">
        <f t="shared" si="69"/>
        <v>1</v>
      </c>
      <c r="AO51">
        <f t="shared" si="70"/>
        <v>1</v>
      </c>
      <c r="AP51">
        <f t="shared" si="52"/>
        <v>22</v>
      </c>
    </row>
    <row r="52" spans="1:42" ht="39.75" customHeight="1" x14ac:dyDescent="0.25">
      <c r="A52" s="894" t="s">
        <v>6347</v>
      </c>
      <c r="B52" s="854" t="s">
        <v>346</v>
      </c>
      <c r="C52" s="856" t="s">
        <v>539</v>
      </c>
      <c r="D52" s="854" t="str">
        <f t="shared" si="53"/>
        <v xml:space="preserve">Fichier ou base de données </v>
      </c>
      <c r="E52" s="788" t="str">
        <f>Inex</f>
        <v>Inexploitabilité</v>
      </c>
      <c r="F52" s="858" t="s">
        <v>3198</v>
      </c>
      <c r="G52" s="858" t="s">
        <v>3200</v>
      </c>
      <c r="H52" s="851"/>
      <c r="I52" s="24">
        <v>1</v>
      </c>
      <c r="J52" s="83" t="str">
        <f t="shared" si="55"/>
        <v>V</v>
      </c>
      <c r="K52" s="24" t="str">
        <f t="shared" si="56"/>
        <v>D</v>
      </c>
      <c r="L52" s="83">
        <f t="shared" si="57"/>
        <v>2</v>
      </c>
      <c r="M52" s="83">
        <f t="shared" si="58"/>
        <v>3</v>
      </c>
      <c r="N52" s="1070"/>
      <c r="O52" s="1070"/>
      <c r="P52" s="169">
        <f t="shared" si="59"/>
        <v>2</v>
      </c>
      <c r="Q52" s="871">
        <f>1</f>
        <v>1</v>
      </c>
      <c r="R52" s="221">
        <f>1</f>
        <v>1</v>
      </c>
      <c r="S52" s="221">
        <f>1</f>
        <v>1</v>
      </c>
      <c r="T52" s="221">
        <f>S5C01</f>
        <v>1</v>
      </c>
      <c r="U52" s="687"/>
      <c r="V52" s="1071"/>
      <c r="W52" s="1071"/>
      <c r="X52" s="83">
        <f t="shared" si="60"/>
        <v>2</v>
      </c>
      <c r="Y52" s="83" cm="1">
        <f t="array" ref="Y52">IF(M52="","",IF(J52="A",INDEX(base_p,4,R52+7*(IF(O52="",M52,O52)-1)),IF(J52="E",INDEX(base_p,15,R52+7*(IF(O52="",M52,O52)-1)),INDEX(base_p,27-Q52,R52+7*(IF(O52="",M52,O52)-1)))))</f>
        <v>3</v>
      </c>
      <c r="Z52" s="83">
        <f t="shared" si="61"/>
        <v>2</v>
      </c>
      <c r="AA52" s="1092"/>
      <c r="AB52" s="83">
        <f t="shared" si="17"/>
        <v>2</v>
      </c>
      <c r="AC52" s="199"/>
      <c r="AD52" s="199"/>
      <c r="AE52" s="165"/>
      <c r="AF52" s="196" t="s">
        <v>643</v>
      </c>
      <c r="AG52" s="1" t="str">
        <f t="shared" si="62"/>
        <v/>
      </c>
      <c r="AH52" s="1" t="str">
        <f t="shared" si="63"/>
        <v>AH.L.Del2</v>
      </c>
      <c r="AI52" s="1" t="str">
        <f t="shared" si="64"/>
        <v/>
      </c>
      <c r="AJ52" s="1" t="str">
        <f t="shared" si="65"/>
        <v/>
      </c>
      <c r="AK52">
        <f t="shared" si="66"/>
        <v>1</v>
      </c>
      <c r="AL52">
        <f t="shared" si="67"/>
        <v>1</v>
      </c>
      <c r="AM52">
        <f t="shared" si="68"/>
        <v>1</v>
      </c>
      <c r="AN52">
        <f t="shared" si="69"/>
        <v>1</v>
      </c>
      <c r="AO52">
        <f t="shared" si="70"/>
        <v>1</v>
      </c>
      <c r="AP52">
        <f t="shared" si="52"/>
        <v>23</v>
      </c>
    </row>
    <row r="53" spans="1:42" ht="54.75" customHeight="1" x14ac:dyDescent="0.25">
      <c r="A53" s="894" t="s">
        <v>6349</v>
      </c>
      <c r="B53" s="854" t="s">
        <v>346</v>
      </c>
      <c r="C53" s="856" t="s">
        <v>539</v>
      </c>
      <c r="D53" s="854" t="str">
        <f t="shared" si="53"/>
        <v xml:space="preserve">Fichier ou base de données </v>
      </c>
      <c r="E53" s="795" t="str">
        <f>Endl</f>
        <v>Endommagement logique</v>
      </c>
      <c r="F53" s="858" t="s">
        <v>546</v>
      </c>
      <c r="G53" s="876" t="s">
        <v>6348</v>
      </c>
      <c r="H53" s="850"/>
      <c r="I53" s="24">
        <v>1</v>
      </c>
      <c r="J53" s="83" t="str">
        <f t="shared" si="55"/>
        <v>E</v>
      </c>
      <c r="K53" s="24" t="str">
        <f t="shared" si="56"/>
        <v>D</v>
      </c>
      <c r="L53" s="83">
        <f t="shared" si="57"/>
        <v>2</v>
      </c>
      <c r="M53" s="83">
        <f t="shared" si="58"/>
        <v>3</v>
      </c>
      <c r="N53" s="1070"/>
      <c r="O53" s="1070"/>
      <c r="P53" s="169">
        <f t="shared" si="59"/>
        <v>2</v>
      </c>
      <c r="Q53" s="871">
        <f>1</f>
        <v>1</v>
      </c>
      <c r="R53" s="221">
        <f>1</f>
        <v>1</v>
      </c>
      <c r="S53" s="221">
        <f>1</f>
        <v>1</v>
      </c>
      <c r="T53" s="221">
        <f>MIN(S4A03,S6B04)</f>
        <v>1</v>
      </c>
      <c r="U53" s="687"/>
      <c r="V53" s="1071"/>
      <c r="W53" s="1071"/>
      <c r="X53" s="83">
        <f t="shared" si="60"/>
        <v>2</v>
      </c>
      <c r="Y53" s="83" cm="1">
        <f t="array" ref="Y53">IF(M53="","",IF(J53="A",INDEX(base_p,4,R53+7*(IF(O53="",M53,O53)-1)),IF(J53="E",INDEX(base_p,15,R53+7*(IF(O53="",M53,O53)-1)),INDEX(base_p,27-Q53,R53+7*(IF(O53="",M53,O53)-1)))))</f>
        <v>3</v>
      </c>
      <c r="Z53" s="83">
        <f t="shared" si="61"/>
        <v>2</v>
      </c>
      <c r="AA53" s="1092"/>
      <c r="AB53" s="83">
        <f t="shared" si="17"/>
        <v>2</v>
      </c>
      <c r="AC53" s="167"/>
      <c r="AD53" s="196"/>
      <c r="AE53" s="196"/>
      <c r="AF53" s="165" t="s">
        <v>6342</v>
      </c>
      <c r="AG53" s="1" t="str">
        <f t="shared" si="62"/>
        <v/>
      </c>
      <c r="AH53" s="1" t="str">
        <f t="shared" si="63"/>
        <v>ER.P.Pro2</v>
      </c>
      <c r="AI53" s="1" t="str">
        <f t="shared" si="64"/>
        <v/>
      </c>
      <c r="AJ53" s="1" t="str">
        <f t="shared" si="65"/>
        <v/>
      </c>
      <c r="AK53">
        <f t="shared" si="66"/>
        <v>1</v>
      </c>
      <c r="AL53">
        <f t="shared" si="67"/>
        <v>1</v>
      </c>
      <c r="AM53">
        <f t="shared" si="68"/>
        <v>1</v>
      </c>
      <c r="AN53">
        <f t="shared" si="69"/>
        <v>1</v>
      </c>
      <c r="AO53">
        <f t="shared" si="70"/>
        <v>1</v>
      </c>
      <c r="AP53">
        <f t="shared" si="52"/>
        <v>23</v>
      </c>
    </row>
    <row r="54" spans="1:42" ht="39.75" customHeight="1" x14ac:dyDescent="0.25">
      <c r="A54" s="894" t="s">
        <v>6350</v>
      </c>
      <c r="B54" s="854" t="s">
        <v>346</v>
      </c>
      <c r="C54" s="856" t="s">
        <v>539</v>
      </c>
      <c r="D54" s="854" t="str">
        <f>Mes</f>
        <v>Données en transit</v>
      </c>
      <c r="E54" s="854" t="str">
        <f>Disp</f>
        <v>Disparition</v>
      </c>
      <c r="F54" s="905" t="s">
        <v>546</v>
      </c>
      <c r="G54" s="858" t="s">
        <v>4774</v>
      </c>
      <c r="H54" s="848"/>
      <c r="I54" s="24">
        <v>1</v>
      </c>
      <c r="J54" s="83" t="str">
        <f t="shared" si="55"/>
        <v>E</v>
      </c>
      <c r="K54" s="24" t="str">
        <f t="shared" si="56"/>
        <v>D</v>
      </c>
      <c r="L54" s="83">
        <f t="shared" si="57"/>
        <v>2</v>
      </c>
      <c r="M54" s="83">
        <f t="shared" si="58"/>
        <v>3</v>
      </c>
      <c r="N54" s="1070"/>
      <c r="O54" s="1070"/>
      <c r="P54" s="169">
        <f t="shared" si="59"/>
        <v>2</v>
      </c>
      <c r="Q54" s="871">
        <f>1</f>
        <v>1</v>
      </c>
      <c r="R54" s="221">
        <f>S5E04</f>
        <v>1</v>
      </c>
      <c r="S54" s="221">
        <f>1</f>
        <v>1</v>
      </c>
      <c r="T54" s="221">
        <f>1</f>
        <v>1</v>
      </c>
      <c r="U54" s="687"/>
      <c r="V54" s="1071"/>
      <c r="W54" s="1071"/>
      <c r="X54" s="83">
        <f t="shared" si="60"/>
        <v>2</v>
      </c>
      <c r="Y54" s="83" cm="1">
        <f t="array" ref="Y54">IF(M54="","",IF(J54="A",INDEX(base_p,4,R54+7*(IF(O54="",M54,O54)-1)),IF(J54="E",INDEX(base_p,15,R54+7*(IF(O54="",M54,O54)-1)),INDEX(base_p,27-Q54,R54+7*(IF(O54="",M54,O54)-1)))))</f>
        <v>3</v>
      </c>
      <c r="Z54" s="83">
        <f t="shared" si="61"/>
        <v>2</v>
      </c>
      <c r="AA54" s="1092"/>
      <c r="AB54" s="83">
        <f>IF(OR(AA54="A",AA54="a",AA54="E",AA54="e",AA54="T",AA54="t",Z54=""),"",Z54)</f>
        <v>2</v>
      </c>
      <c r="AC54" s="199"/>
      <c r="AD54" s="199" t="s">
        <v>4591</v>
      </c>
      <c r="AE54" s="165"/>
      <c r="AF54" s="165"/>
      <c r="AG54" s="1" t="str">
        <f t="shared" si="62"/>
        <v/>
      </c>
      <c r="AH54" s="1" t="str">
        <f t="shared" si="63"/>
        <v>ER.P.Pro2</v>
      </c>
      <c r="AI54" s="1" t="str">
        <f t="shared" si="64"/>
        <v/>
      </c>
      <c r="AJ54" s="1" t="str">
        <f t="shared" si="65"/>
        <v/>
      </c>
      <c r="AK54">
        <f t="shared" si="66"/>
        <v>1</v>
      </c>
      <c r="AL54">
        <f t="shared" si="67"/>
        <v>1</v>
      </c>
      <c r="AM54">
        <f t="shared" si="68"/>
        <v>1</v>
      </c>
      <c r="AN54">
        <f t="shared" si="69"/>
        <v>1</v>
      </c>
      <c r="AO54">
        <f t="shared" si="70"/>
        <v>1</v>
      </c>
      <c r="AP54">
        <f t="shared" si="52"/>
        <v>23</v>
      </c>
    </row>
    <row r="55" spans="1:42" ht="39.75" customHeight="1" x14ac:dyDescent="0.25">
      <c r="A55" s="894" t="s">
        <v>6351</v>
      </c>
      <c r="B55" s="854" t="s">
        <v>346</v>
      </c>
      <c r="C55" s="856" t="s">
        <v>539</v>
      </c>
      <c r="D55" s="854" t="str">
        <f t="shared" ref="D55:D62" si="71">Med</f>
        <v>Media support de données</v>
      </c>
      <c r="E55" s="788" t="str">
        <f>Inac</f>
        <v>Inaccessibilité</v>
      </c>
      <c r="F55" s="858" t="s">
        <v>3198</v>
      </c>
      <c r="G55" s="858" t="s">
        <v>4775</v>
      </c>
      <c r="H55" s="850"/>
      <c r="I55" s="24">
        <v>1</v>
      </c>
      <c r="J55" s="83" t="str">
        <f t="shared" si="55"/>
        <v>V</v>
      </c>
      <c r="K55" s="24" t="str">
        <f t="shared" si="56"/>
        <v>D</v>
      </c>
      <c r="L55" s="83">
        <f t="shared" si="57"/>
        <v>2</v>
      </c>
      <c r="M55" s="83">
        <f t="shared" si="58"/>
        <v>3</v>
      </c>
      <c r="N55" s="1070"/>
      <c r="O55" s="1070"/>
      <c r="P55" s="169">
        <f t="shared" si="59"/>
        <v>2</v>
      </c>
      <c r="Q55" s="871">
        <f>1</f>
        <v>1</v>
      </c>
      <c r="R55" s="221">
        <f>S4E01</f>
        <v>1</v>
      </c>
      <c r="S55" s="221">
        <f>1</f>
        <v>1</v>
      </c>
      <c r="T55" s="221">
        <f>1</f>
        <v>1</v>
      </c>
      <c r="U55" s="687"/>
      <c r="V55" s="1071"/>
      <c r="W55" s="1071"/>
      <c r="X55" s="83">
        <f t="shared" si="60"/>
        <v>2</v>
      </c>
      <c r="Y55" s="83" cm="1">
        <f t="array" ref="Y55">IF(M55="","",IF(J55="A",INDEX(base_p,4,R55+7*(IF(O55="",M55,O55)-1)),IF(J55="E",INDEX(base_p,15,R55+7*(IF(O55="",M55,O55)-1)),INDEX(base_p,27-Q55,R55+7*(IF(O55="",M55,O55)-1)))))</f>
        <v>3</v>
      </c>
      <c r="Z55" s="83">
        <f t="shared" si="61"/>
        <v>2</v>
      </c>
      <c r="AA55" s="1092"/>
      <c r="AB55" s="83">
        <f t="shared" si="17"/>
        <v>2</v>
      </c>
      <c r="AC55" s="167"/>
      <c r="AD55" s="196" t="s">
        <v>651</v>
      </c>
      <c r="AE55" s="197"/>
      <c r="AF55" s="196"/>
      <c r="AG55" s="1" t="str">
        <f t="shared" si="62"/>
        <v/>
      </c>
      <c r="AH55" s="1" t="str">
        <f t="shared" si="63"/>
        <v>AH.L.Del2</v>
      </c>
      <c r="AI55" s="1" t="str">
        <f t="shared" si="64"/>
        <v/>
      </c>
      <c r="AJ55" s="1" t="str">
        <f t="shared" si="65"/>
        <v/>
      </c>
      <c r="AK55">
        <f t="shared" si="66"/>
        <v>1</v>
      </c>
      <c r="AL55">
        <f t="shared" si="67"/>
        <v>1</v>
      </c>
      <c r="AM55">
        <f t="shared" si="68"/>
        <v>1</v>
      </c>
      <c r="AN55">
        <f t="shared" si="69"/>
        <v>1</v>
      </c>
      <c r="AO55">
        <f t="shared" si="70"/>
        <v>1</v>
      </c>
      <c r="AP55">
        <f t="shared" si="52"/>
        <v>23</v>
      </c>
    </row>
    <row r="56" spans="1:42" ht="39.75" customHeight="1" x14ac:dyDescent="0.25">
      <c r="A56" s="894" t="s">
        <v>6352</v>
      </c>
      <c r="B56" s="854" t="s">
        <v>346</v>
      </c>
      <c r="C56" s="856" t="s">
        <v>539</v>
      </c>
      <c r="D56" s="854" t="str">
        <f t="shared" si="71"/>
        <v>Media support de données</v>
      </c>
      <c r="E56" s="860" t="str">
        <f>Disp</f>
        <v>Disparition</v>
      </c>
      <c r="F56" s="858" t="s">
        <v>455</v>
      </c>
      <c r="G56" s="858" t="s">
        <v>4776</v>
      </c>
      <c r="H56" s="861"/>
      <c r="I56" s="24">
        <v>1</v>
      </c>
      <c r="J56" s="83" t="str">
        <f t="shared" si="55"/>
        <v>E</v>
      </c>
      <c r="K56" s="24" t="str">
        <f t="shared" si="56"/>
        <v>D</v>
      </c>
      <c r="L56" s="83">
        <f t="shared" si="57"/>
        <v>2</v>
      </c>
      <c r="M56" s="83">
        <f t="shared" si="58"/>
        <v>3</v>
      </c>
      <c r="N56" s="1070"/>
      <c r="O56" s="1070"/>
      <c r="P56" s="169">
        <f t="shared" si="59"/>
        <v>2</v>
      </c>
      <c r="Q56" s="871">
        <f>1</f>
        <v>1</v>
      </c>
      <c r="R56" s="221">
        <f>1</f>
        <v>1</v>
      </c>
      <c r="S56" s="221">
        <f>1</f>
        <v>1</v>
      </c>
      <c r="T56" s="221">
        <f>S6B04</f>
        <v>1</v>
      </c>
      <c r="U56" s="687"/>
      <c r="V56" s="1071"/>
      <c r="W56" s="1071"/>
      <c r="X56" s="83">
        <f t="shared" si="60"/>
        <v>2</v>
      </c>
      <c r="Y56" s="83" cm="1">
        <f t="array" ref="Y56">IF(M56="","",IF(J56="A",INDEX(base_p,4,R56+7*(IF(O56="",M56,O56)-1)),IF(J56="E",INDEX(base_p,15,R56+7*(IF(O56="",M56,O56)-1)),INDEX(base_p,27-Q56,R56+7*(IF(O56="",M56,O56)-1)))))</f>
        <v>3</v>
      </c>
      <c r="Z56" s="83">
        <f t="shared" si="61"/>
        <v>2</v>
      </c>
      <c r="AA56" s="1092"/>
      <c r="AB56" s="83">
        <f t="shared" si="17"/>
        <v>2</v>
      </c>
      <c r="AC56" s="167"/>
      <c r="AD56" s="196"/>
      <c r="AE56" s="197"/>
      <c r="AF56" s="165" t="s">
        <v>649</v>
      </c>
      <c r="AG56" s="1" t="str">
        <f t="shared" si="62"/>
        <v/>
      </c>
      <c r="AH56" s="1" t="str">
        <f t="shared" si="63"/>
        <v>ER.P.Peo2</v>
      </c>
      <c r="AI56" s="1" t="str">
        <f t="shared" si="64"/>
        <v/>
      </c>
      <c r="AJ56" s="1" t="str">
        <f t="shared" si="65"/>
        <v/>
      </c>
      <c r="AK56">
        <f t="shared" si="66"/>
        <v>1</v>
      </c>
      <c r="AL56">
        <f t="shared" si="67"/>
        <v>1</v>
      </c>
      <c r="AM56">
        <f t="shared" si="68"/>
        <v>1</v>
      </c>
      <c r="AN56">
        <f t="shared" si="69"/>
        <v>1</v>
      </c>
      <c r="AO56">
        <f t="shared" si="70"/>
        <v>1</v>
      </c>
      <c r="AP56">
        <f t="shared" si="52"/>
        <v>23</v>
      </c>
    </row>
    <row r="57" spans="1:42" ht="39.75" customHeight="1" x14ac:dyDescent="0.25">
      <c r="A57" s="894" t="s">
        <v>6353</v>
      </c>
      <c r="B57" s="854" t="s">
        <v>346</v>
      </c>
      <c r="C57" s="856" t="s">
        <v>539</v>
      </c>
      <c r="D57" s="854" t="str">
        <f t="shared" si="71"/>
        <v>Media support de données</v>
      </c>
      <c r="E57" s="860" t="str">
        <f>Disp</f>
        <v>Disparition</v>
      </c>
      <c r="F57" s="858" t="s">
        <v>3224</v>
      </c>
      <c r="G57" s="858" t="s">
        <v>4777</v>
      </c>
      <c r="H57" s="876" t="s">
        <v>6355</v>
      </c>
      <c r="I57" s="24">
        <v>1</v>
      </c>
      <c r="J57" s="83" t="str">
        <f t="shared" si="55"/>
        <v>V</v>
      </c>
      <c r="K57" s="24" t="str">
        <f t="shared" si="56"/>
        <v>D</v>
      </c>
      <c r="L57" s="83">
        <f t="shared" si="57"/>
        <v>2</v>
      </c>
      <c r="M57" s="83">
        <f t="shared" si="58"/>
        <v>3</v>
      </c>
      <c r="N57" s="1070"/>
      <c r="O57" s="1070"/>
      <c r="P57" s="169">
        <f t="shared" si="59"/>
        <v>2</v>
      </c>
      <c r="Q57" s="871">
        <f>S2D03</f>
        <v>1</v>
      </c>
      <c r="R57" s="221">
        <f>MAX(S2E01,MIN(S2D01,S2D02))</f>
        <v>1</v>
      </c>
      <c r="S57" s="221">
        <f>1</f>
        <v>1</v>
      </c>
      <c r="T57" s="221">
        <f>S6B04</f>
        <v>1</v>
      </c>
      <c r="U57" s="687"/>
      <c r="V57" s="1071"/>
      <c r="W57" s="1071"/>
      <c r="X57" s="83">
        <f t="shared" si="60"/>
        <v>2</v>
      </c>
      <c r="Y57" s="83" cm="1">
        <f t="array" ref="Y57">IF(M57="","",IF(J57="A",INDEX(base_p,4,R57+7*(IF(O57="",M57,O57)-1)),IF(J57="E",INDEX(base_p,15,R57+7*(IF(O57="",M57,O57)-1)),INDEX(base_p,27-Q57,R57+7*(IF(O57="",M57,O57)-1)))))</f>
        <v>3</v>
      </c>
      <c r="Z57" s="83">
        <f t="shared" si="61"/>
        <v>2</v>
      </c>
      <c r="AA57" s="1092"/>
      <c r="AB57" s="83">
        <f t="shared" si="17"/>
        <v>2</v>
      </c>
      <c r="AC57" s="199" t="s">
        <v>614</v>
      </c>
      <c r="AD57" s="196" t="s">
        <v>4493</v>
      </c>
      <c r="AE57" s="197"/>
      <c r="AF57" s="165" t="s">
        <v>649</v>
      </c>
      <c r="AG57" s="1" t="str">
        <f t="shared" si="62"/>
        <v/>
      </c>
      <c r="AH57" s="1" t="str">
        <f t="shared" si="63"/>
        <v>AH.P.Vol2</v>
      </c>
      <c r="AI57" s="1" t="str">
        <f t="shared" si="64"/>
        <v/>
      </c>
      <c r="AJ57" s="1" t="str">
        <f t="shared" si="65"/>
        <v/>
      </c>
      <c r="AK57">
        <f t="shared" si="66"/>
        <v>1</v>
      </c>
      <c r="AL57">
        <f t="shared" si="67"/>
        <v>1</v>
      </c>
      <c r="AM57">
        <f t="shared" si="68"/>
        <v>1</v>
      </c>
      <c r="AN57">
        <f t="shared" si="69"/>
        <v>1</v>
      </c>
      <c r="AO57">
        <f t="shared" si="70"/>
        <v>1</v>
      </c>
      <c r="AP57">
        <f t="shared" si="52"/>
        <v>23</v>
      </c>
    </row>
    <row r="58" spans="1:42" ht="39.75" customHeight="1" x14ac:dyDescent="0.25">
      <c r="A58" s="894" t="s">
        <v>6354</v>
      </c>
      <c r="B58" s="854" t="s">
        <v>346</v>
      </c>
      <c r="C58" s="856" t="s">
        <v>539</v>
      </c>
      <c r="D58" s="854" t="str">
        <f t="shared" si="71"/>
        <v>Media support de données</v>
      </c>
      <c r="E58" s="860" t="str">
        <f>Disp</f>
        <v>Disparition</v>
      </c>
      <c r="F58" s="858" t="s">
        <v>3224</v>
      </c>
      <c r="G58" s="858" t="s">
        <v>4777</v>
      </c>
      <c r="H58" s="876" t="s">
        <v>6356</v>
      </c>
      <c r="I58" s="24">
        <v>1</v>
      </c>
      <c r="J58" s="83" t="str">
        <f t="shared" si="55"/>
        <v>V</v>
      </c>
      <c r="K58" s="24" t="str">
        <f t="shared" si="56"/>
        <v>D</v>
      </c>
      <c r="L58" s="83">
        <f t="shared" si="57"/>
        <v>2</v>
      </c>
      <c r="M58" s="83">
        <f t="shared" si="58"/>
        <v>3</v>
      </c>
      <c r="N58" s="1070"/>
      <c r="O58" s="1070"/>
      <c r="P58" s="169">
        <f t="shared" si="59"/>
        <v>2</v>
      </c>
      <c r="Q58" s="871">
        <f>S2D03</f>
        <v>1</v>
      </c>
      <c r="R58" s="221">
        <f>S2E01</f>
        <v>1</v>
      </c>
      <c r="S58" s="221">
        <f>1</f>
        <v>1</v>
      </c>
      <c r="T58" s="221">
        <f>S6B04</f>
        <v>1</v>
      </c>
      <c r="U58" s="687"/>
      <c r="V58" s="1071"/>
      <c r="W58" s="1071"/>
      <c r="X58" s="83">
        <f t="shared" si="60"/>
        <v>2</v>
      </c>
      <c r="Y58" s="83" cm="1">
        <f t="array" ref="Y58">IF(M58="","",IF(J58="A",INDEX(base_p,4,R58+7*(IF(O58="",M58,O58)-1)),IF(J58="E",INDEX(base_p,15,R58+7*(IF(O58="",M58,O58)-1)),INDEX(base_p,27-Q58,R58+7*(IF(O58="",M58,O58)-1)))))</f>
        <v>3</v>
      </c>
      <c r="Z58" s="83">
        <f t="shared" si="61"/>
        <v>2</v>
      </c>
      <c r="AA58" s="1092"/>
      <c r="AB58" s="83">
        <f t="shared" si="17"/>
        <v>2</v>
      </c>
      <c r="AC58" s="199" t="s">
        <v>614</v>
      </c>
      <c r="AD58" s="196" t="s">
        <v>652</v>
      </c>
      <c r="AE58" s="197"/>
      <c r="AF58" s="165" t="s">
        <v>649</v>
      </c>
      <c r="AG58" s="1" t="str">
        <f t="shared" si="62"/>
        <v/>
      </c>
      <c r="AH58" s="1" t="str">
        <f t="shared" si="63"/>
        <v>AH.P.Vol2</v>
      </c>
      <c r="AI58" s="1" t="str">
        <f t="shared" si="64"/>
        <v/>
      </c>
      <c r="AJ58" s="1" t="str">
        <f t="shared" si="65"/>
        <v/>
      </c>
      <c r="AK58">
        <f t="shared" si="66"/>
        <v>1</v>
      </c>
      <c r="AL58">
        <f t="shared" si="67"/>
        <v>1</v>
      </c>
      <c r="AM58">
        <f t="shared" si="68"/>
        <v>1</v>
      </c>
      <c r="AN58">
        <f t="shared" si="69"/>
        <v>1</v>
      </c>
      <c r="AO58">
        <f t="shared" si="70"/>
        <v>1</v>
      </c>
      <c r="AP58">
        <f t="shared" si="52"/>
        <v>23</v>
      </c>
    </row>
    <row r="59" spans="1:42" ht="39.75" customHeight="1" x14ac:dyDescent="0.25">
      <c r="A59" s="894" t="s">
        <v>6357</v>
      </c>
      <c r="B59" s="854" t="s">
        <v>346</v>
      </c>
      <c r="C59" s="856" t="s">
        <v>539</v>
      </c>
      <c r="D59" s="854" t="str">
        <f t="shared" si="71"/>
        <v>Media support de données</v>
      </c>
      <c r="E59" s="862" t="str">
        <f>Endp</f>
        <v>Endommagement physique</v>
      </c>
      <c r="F59" s="858" t="s">
        <v>3229</v>
      </c>
      <c r="G59" s="858" t="s">
        <v>3231</v>
      </c>
      <c r="H59" s="863"/>
      <c r="I59" s="24">
        <v>1</v>
      </c>
      <c r="J59" s="83" t="str">
        <f>VLOOKUP($F59,Tab_event,5)</f>
        <v>A</v>
      </c>
      <c r="K59" s="24" t="str">
        <f t="shared" si="56"/>
        <v>D</v>
      </c>
      <c r="L59" s="83">
        <f t="shared" si="57"/>
        <v>2</v>
      </c>
      <c r="M59" s="83">
        <f>VLOOKUP($F59,Tab_event,3,FALSE)</f>
        <v>2</v>
      </c>
      <c r="N59" s="1070"/>
      <c r="O59" s="1070"/>
      <c r="P59" s="169">
        <f t="shared" si="59"/>
        <v>2</v>
      </c>
      <c r="Q59" s="871">
        <f>1</f>
        <v>1</v>
      </c>
      <c r="R59" s="221">
        <f>S2E01</f>
        <v>1</v>
      </c>
      <c r="S59" s="221">
        <f>S2A03</f>
        <v>1</v>
      </c>
      <c r="T59" s="221">
        <f>S6B04</f>
        <v>1</v>
      </c>
      <c r="U59" s="687"/>
      <c r="V59" s="1071"/>
      <c r="W59" s="1071"/>
      <c r="X59" s="83">
        <f t="shared" si="60"/>
        <v>2</v>
      </c>
      <c r="Y59" s="83" cm="1">
        <f t="array" ref="Y59">IF(M59="","",IF(J59="A",INDEX(base_p,4,R59+7*(IF(O59="",M59,O59)-1)),IF(J59="E",INDEX(base_p,15,R59+7*(IF(O59="",M59,O59)-1)),INDEX(base_p,27-Q59,R59+7*(IF(O59="",M59,O59)-1)))))</f>
        <v>2</v>
      </c>
      <c r="Z59" s="83">
        <f t="shared" si="61"/>
        <v>2</v>
      </c>
      <c r="AA59" s="1092"/>
      <c r="AB59" s="83">
        <f t="shared" si="17"/>
        <v>2</v>
      </c>
      <c r="AC59" s="167"/>
      <c r="AD59" s="196" t="s">
        <v>652</v>
      </c>
      <c r="AE59" s="197" t="s">
        <v>632</v>
      </c>
      <c r="AF59" s="165" t="s">
        <v>649</v>
      </c>
      <c r="AG59" s="1" t="str">
        <f>IF($AB59=1,#REF!&amp;$AB59,"")</f>
        <v/>
      </c>
      <c r="AH59" s="1" t="e">
        <f>IF($AB59=2,#REF!&amp;$AB59,"")</f>
        <v>#REF!</v>
      </c>
      <c r="AI59" s="1" t="str">
        <f>IF($AB59=3,#REF!&amp;$AB59,"")</f>
        <v/>
      </c>
      <c r="AJ59" s="1" t="str">
        <f>IF($AB59=4,#REF!&amp;$AB59,"")</f>
        <v/>
      </c>
      <c r="AK59">
        <f t="shared" si="66"/>
        <v>1</v>
      </c>
      <c r="AL59">
        <f t="shared" si="67"/>
        <v>1</v>
      </c>
      <c r="AM59">
        <f t="shared" si="68"/>
        <v>1</v>
      </c>
      <c r="AN59">
        <f>VLOOKUP($F59,Tab_event,4,FALSE)</f>
        <v>1</v>
      </c>
      <c r="AO59">
        <f t="shared" si="70"/>
        <v>1</v>
      </c>
      <c r="AP59">
        <f t="shared" si="52"/>
        <v>22</v>
      </c>
    </row>
    <row r="60" spans="1:42" ht="39.75" customHeight="1" x14ac:dyDescent="0.25">
      <c r="A60" s="894" t="s">
        <v>6358</v>
      </c>
      <c r="B60" s="854" t="s">
        <v>346</v>
      </c>
      <c r="C60" s="856" t="s">
        <v>539</v>
      </c>
      <c r="D60" s="854" t="str">
        <f t="shared" si="71"/>
        <v>Media support de données</v>
      </c>
      <c r="E60" s="862" t="str">
        <f>Endp</f>
        <v>Endommagement physique</v>
      </c>
      <c r="F60" s="858" t="s">
        <v>3203</v>
      </c>
      <c r="G60" s="858" t="s">
        <v>3202</v>
      </c>
      <c r="H60" s="863"/>
      <c r="I60" s="24">
        <v>1</v>
      </c>
      <c r="J60" s="83" t="str">
        <f>VLOOKUP($F60,Tab_event,5)</f>
        <v>A</v>
      </c>
      <c r="K60" s="24" t="str">
        <f t="shared" si="56"/>
        <v>D</v>
      </c>
      <c r="L60" s="83">
        <f t="shared" si="57"/>
        <v>2</v>
      </c>
      <c r="M60" s="83">
        <f>VLOOKUP($F60,Tab_event,3,FALSE)</f>
        <v>2</v>
      </c>
      <c r="N60" s="1070"/>
      <c r="O60" s="1070"/>
      <c r="P60" s="169">
        <f t="shared" si="59"/>
        <v>2</v>
      </c>
      <c r="Q60" s="871">
        <f>1</f>
        <v>1</v>
      </c>
      <c r="R60" s="221">
        <f>S2E01</f>
        <v>1</v>
      </c>
      <c r="S60" s="221">
        <f>1</f>
        <v>1</v>
      </c>
      <c r="T60" s="221">
        <f>S6B04</f>
        <v>1</v>
      </c>
      <c r="U60" s="687"/>
      <c r="V60" s="1071"/>
      <c r="W60" s="1071"/>
      <c r="X60" s="83">
        <f t="shared" si="60"/>
        <v>2</v>
      </c>
      <c r="Y60" s="83" cm="1">
        <f t="array" ref="Y60">IF(M60="","",IF(J60="A",INDEX(base_p,4,R60+7*(IF(O60="",M60,O60)-1)),IF(J60="E",INDEX(base_p,15,R60+7*(IF(O60="",M60,O60)-1)),INDEX(base_p,27-Q60,R60+7*(IF(O60="",M60,O60)-1)))))</f>
        <v>2</v>
      </c>
      <c r="Z60" s="83">
        <f t="shared" si="61"/>
        <v>2</v>
      </c>
      <c r="AA60" s="1092"/>
      <c r="AB60" s="83">
        <f t="shared" si="17"/>
        <v>2</v>
      </c>
      <c r="AC60" s="167"/>
      <c r="AD60" s="196" t="s">
        <v>652</v>
      </c>
      <c r="AE60" s="197"/>
      <c r="AF60" s="165" t="s">
        <v>649</v>
      </c>
      <c r="AG60" s="1" t="str">
        <f>IF($AB60=1,$F59&amp;$AB60,"")</f>
        <v/>
      </c>
      <c r="AH60" s="1" t="str">
        <f>IF($AB60=2,$F59&amp;$AB60,"")</f>
        <v>AC.E.Evt2</v>
      </c>
      <c r="AI60" s="1" t="str">
        <f>IF($AB60=3,$F59&amp;$AB60,"")</f>
        <v/>
      </c>
      <c r="AJ60" s="1" t="str">
        <f>IF($AB60=4,$F59&amp;$AB60,"")</f>
        <v/>
      </c>
      <c r="AK60">
        <f t="shared" si="66"/>
        <v>1</v>
      </c>
      <c r="AL60">
        <f t="shared" si="67"/>
        <v>1</v>
      </c>
      <c r="AM60">
        <f t="shared" si="68"/>
        <v>1</v>
      </c>
      <c r="AN60">
        <f>VLOOKUP($F60,Tab_event,4,FALSE)</f>
        <v>1</v>
      </c>
      <c r="AO60">
        <f t="shared" si="70"/>
        <v>1</v>
      </c>
      <c r="AP60">
        <f t="shared" si="52"/>
        <v>22</v>
      </c>
    </row>
    <row r="61" spans="1:42" ht="36" customHeight="1" x14ac:dyDescent="0.25">
      <c r="A61" s="894" t="s">
        <v>6359</v>
      </c>
      <c r="B61" s="854" t="s">
        <v>346</v>
      </c>
      <c r="C61" s="856" t="s">
        <v>539</v>
      </c>
      <c r="D61" s="854" t="str">
        <f t="shared" si="71"/>
        <v>Media support de données</v>
      </c>
      <c r="E61" s="860" t="str">
        <f>Inop</f>
        <v>Inopérabilité</v>
      </c>
      <c r="F61" s="905" t="s">
        <v>3205</v>
      </c>
      <c r="G61" s="858" t="s">
        <v>4494</v>
      </c>
      <c r="H61" s="864"/>
      <c r="I61" s="24">
        <v>1</v>
      </c>
      <c r="J61" s="83" t="str">
        <f t="shared" si="55"/>
        <v>A</v>
      </c>
      <c r="K61" s="24" t="str">
        <f t="shared" si="56"/>
        <v>D</v>
      </c>
      <c r="L61" s="83">
        <f t="shared" si="57"/>
        <v>2</v>
      </c>
      <c r="M61" s="83">
        <f t="shared" si="58"/>
        <v>2</v>
      </c>
      <c r="N61" s="1070"/>
      <c r="O61" s="1070"/>
      <c r="P61" s="169">
        <f t="shared" si="59"/>
        <v>2</v>
      </c>
      <c r="Q61" s="871">
        <f>1</f>
        <v>1</v>
      </c>
      <c r="R61" s="221">
        <f>S5C01</f>
        <v>1</v>
      </c>
      <c r="S61" s="221">
        <f>1</f>
        <v>1</v>
      </c>
      <c r="T61" s="221">
        <f>1</f>
        <v>1</v>
      </c>
      <c r="U61" s="687"/>
      <c r="V61" s="1071"/>
      <c r="W61" s="1071"/>
      <c r="X61" s="83">
        <f t="shared" si="60"/>
        <v>2</v>
      </c>
      <c r="Y61" s="83" cm="1">
        <f t="array" ref="Y61">IF(M61="","",IF(J61="A",INDEX(base_p,4,R61+7*(IF(O61="",M61,O61)-1)),IF(J61="E",INDEX(base_p,15,R61+7*(IF(O61="",M61,O61)-1)),INDEX(base_p,27-Q61,R61+7*(IF(O61="",M61,O61)-1)))))</f>
        <v>2</v>
      </c>
      <c r="Z61" s="83">
        <f t="shared" si="61"/>
        <v>2</v>
      </c>
      <c r="AA61" s="1092"/>
      <c r="AB61" s="83">
        <f t="shared" si="17"/>
        <v>2</v>
      </c>
      <c r="AC61" s="167"/>
      <c r="AD61" s="196" t="s">
        <v>643</v>
      </c>
      <c r="AE61" s="165"/>
      <c r="AF61" s="165"/>
      <c r="AG61" s="1" t="str">
        <f>IF($AB61=1,$F61&amp;$AB61,"")</f>
        <v/>
      </c>
      <c r="AH61" s="1" t="str">
        <f>IF($AB61=2,$F61&amp;$AB61,"")</f>
        <v>AB.S.Mat2</v>
      </c>
      <c r="AI61" s="1" t="str">
        <f>IF($AB61=3,$F61&amp;$AB61,"")</f>
        <v/>
      </c>
      <c r="AJ61" s="1" t="str">
        <f>IF($AB61=4,$F61&amp;$AB61,"")</f>
        <v/>
      </c>
      <c r="AK61">
        <f t="shared" si="66"/>
        <v>1</v>
      </c>
      <c r="AL61">
        <f t="shared" si="67"/>
        <v>1</v>
      </c>
      <c r="AM61">
        <f t="shared" si="68"/>
        <v>1</v>
      </c>
      <c r="AN61">
        <f t="shared" si="69"/>
        <v>1</v>
      </c>
      <c r="AO61">
        <f t="shared" si="70"/>
        <v>1</v>
      </c>
      <c r="AP61">
        <f t="shared" si="52"/>
        <v>22</v>
      </c>
    </row>
    <row r="62" spans="1:42" ht="36" customHeight="1" x14ac:dyDescent="0.25">
      <c r="A62" s="894" t="s">
        <v>6360</v>
      </c>
      <c r="B62" s="854" t="s">
        <v>346</v>
      </c>
      <c r="C62" s="856" t="s">
        <v>539</v>
      </c>
      <c r="D62" s="854" t="str">
        <f t="shared" si="71"/>
        <v>Media support de données</v>
      </c>
      <c r="E62" s="860" t="str">
        <f>Inex</f>
        <v>Inexploitabilité</v>
      </c>
      <c r="F62" s="858" t="s">
        <v>455</v>
      </c>
      <c r="G62" s="858" t="s">
        <v>3233</v>
      </c>
      <c r="H62" s="865"/>
      <c r="I62" s="24">
        <v>1</v>
      </c>
      <c r="J62" s="83" t="str">
        <f t="shared" si="55"/>
        <v>E</v>
      </c>
      <c r="K62" s="24" t="str">
        <f t="shared" si="56"/>
        <v>D</v>
      </c>
      <c r="L62" s="83">
        <f t="shared" si="57"/>
        <v>2</v>
      </c>
      <c r="M62" s="83">
        <f t="shared" si="58"/>
        <v>3</v>
      </c>
      <c r="N62" s="1070"/>
      <c r="O62" s="1070"/>
      <c r="P62" s="169">
        <f t="shared" si="59"/>
        <v>2</v>
      </c>
      <c r="Q62" s="871">
        <f>1</f>
        <v>1</v>
      </c>
      <c r="R62" s="221">
        <f>S5C01</f>
        <v>1</v>
      </c>
      <c r="S62" s="221">
        <f>1</f>
        <v>1</v>
      </c>
      <c r="T62" s="221">
        <f>1</f>
        <v>1</v>
      </c>
      <c r="U62" s="687"/>
      <c r="V62" s="1071"/>
      <c r="W62" s="1071"/>
      <c r="X62" s="83">
        <f t="shared" si="60"/>
        <v>2</v>
      </c>
      <c r="Y62" s="83" cm="1">
        <f t="array" ref="Y62">IF(M62="","",IF(J62="A",INDEX(base_p,4,R62+7*(IF(O62="",M62,O62)-1)),IF(J62="E",INDEX(base_p,15,R62+7*(IF(O62="",M62,O62)-1)),INDEX(base_p,27-Q62,R62+7*(IF(O62="",M62,O62)-1)))))</f>
        <v>3</v>
      </c>
      <c r="Z62" s="83">
        <f t="shared" si="61"/>
        <v>2</v>
      </c>
      <c r="AA62" s="1092"/>
      <c r="AB62" s="83">
        <f t="shared" si="17"/>
        <v>2</v>
      </c>
      <c r="AC62" s="167"/>
      <c r="AD62" s="196" t="s">
        <v>643</v>
      </c>
      <c r="AE62" s="165"/>
      <c r="AF62" s="166"/>
      <c r="AG62" s="1" t="str">
        <f>IF($AB62=1,$F62&amp;$AB62,"")</f>
        <v/>
      </c>
      <c r="AH62" s="1" t="str">
        <f>IF($AB62=2,$F62&amp;$AB62,"")</f>
        <v>ER.P.Peo2</v>
      </c>
      <c r="AI62" s="1" t="str">
        <f>IF($AB62=3,$F62&amp;$AB62,"")</f>
        <v/>
      </c>
      <c r="AJ62" s="1" t="str">
        <f>IF($AB62=4,$F62&amp;$AB62,"")</f>
        <v/>
      </c>
      <c r="AK62">
        <f t="shared" si="66"/>
        <v>1</v>
      </c>
      <c r="AL62">
        <f t="shared" si="67"/>
        <v>1</v>
      </c>
      <c r="AM62">
        <f t="shared" si="68"/>
        <v>1</v>
      </c>
      <c r="AN62">
        <f t="shared" si="69"/>
        <v>1</v>
      </c>
      <c r="AO62">
        <f t="shared" si="70"/>
        <v>1</v>
      </c>
      <c r="AP62">
        <f t="shared" si="52"/>
        <v>23</v>
      </c>
    </row>
    <row r="63" spans="1:42" ht="15" customHeight="1" x14ac:dyDescent="0.25">
      <c r="A63" s="866" t="s">
        <v>6369</v>
      </c>
      <c r="B63" s="1325"/>
      <c r="C63" s="1325"/>
      <c r="D63" s="1325"/>
      <c r="E63" s="1325"/>
      <c r="F63" s="1325"/>
      <c r="G63" s="1325"/>
      <c r="H63" s="1325"/>
      <c r="I63" s="24"/>
      <c r="J63" s="83"/>
      <c r="K63" s="24"/>
      <c r="L63" s="83"/>
      <c r="M63" s="83"/>
      <c r="N63" s="1070"/>
      <c r="O63" s="1070"/>
      <c r="P63" s="169"/>
      <c r="Q63" s="871"/>
      <c r="R63" s="221"/>
      <c r="S63" s="221"/>
      <c r="T63" s="221"/>
      <c r="U63" s="687">
        <f>1</f>
        <v>1</v>
      </c>
      <c r="V63" s="1071"/>
      <c r="W63" s="1071"/>
      <c r="X63" s="83"/>
      <c r="Y63" s="83"/>
      <c r="Z63" s="83"/>
      <c r="AA63" s="1092"/>
      <c r="AB63" s="83"/>
      <c r="AC63" s="1"/>
      <c r="AD63" s="1"/>
      <c r="AE63" s="1"/>
      <c r="AF63" s="1"/>
      <c r="AG63" s="1"/>
      <c r="AH63" s="1"/>
      <c r="AI63" s="1"/>
      <c r="AJ63" s="1"/>
      <c r="AP63" t="str">
        <f t="shared" si="52"/>
        <v/>
      </c>
    </row>
    <row r="64" spans="1:42" ht="53.25" customHeight="1" x14ac:dyDescent="0.25">
      <c r="A64" s="894" t="s">
        <v>6362</v>
      </c>
      <c r="B64" s="854" t="s">
        <v>346</v>
      </c>
      <c r="C64" s="856" t="s">
        <v>268</v>
      </c>
      <c r="D64" s="854" t="str">
        <f>Fic</f>
        <v xml:space="preserve">Fichier ou base de données </v>
      </c>
      <c r="E64" s="788" t="str">
        <f t="shared" ref="E64:E69" si="72">Altd</f>
        <v>Altération (non détectée) de donnée</v>
      </c>
      <c r="F64" s="858" t="s">
        <v>3211</v>
      </c>
      <c r="G64" s="858" t="s">
        <v>4778</v>
      </c>
      <c r="H64" s="865" t="s">
        <v>4741</v>
      </c>
      <c r="I64" s="24">
        <v>1</v>
      </c>
      <c r="J64" s="83" t="str">
        <f t="shared" ref="J64:J70" si="73">VLOOKUP($F64,Tab_event,5)</f>
        <v>V</v>
      </c>
      <c r="K64" s="24" t="str">
        <f t="shared" ref="K64:K70" si="74">C64</f>
        <v>I</v>
      </c>
      <c r="L64" s="83">
        <f t="shared" ref="L64:L70" si="75">IF(VLOOKUP($B64,Tab_classif,8,FALSE)=1,VLOOKUP($B64,Tab_classif,IF(C64="D",4,IF(C64="I",5,IF(C64="C",6,7))),FALSE),1)</f>
        <v>2</v>
      </c>
      <c r="M64" s="83">
        <f t="shared" ref="M64:M70" si="76">VLOOKUP($F64,Tab_event,3,FALSE)</f>
        <v>3</v>
      </c>
      <c r="N64" s="1070"/>
      <c r="O64" s="1070"/>
      <c r="P64" s="169">
        <f t="shared" ref="P64:P70" si="77">IF(AND(NOT(L64=""),NOT(M64="")),INDEX(base_g,5-IF(N64="",L64,N64),IF(O64="",M64,O64)),"")</f>
        <v>2</v>
      </c>
      <c r="Q64" s="871">
        <f>1</f>
        <v>1</v>
      </c>
      <c r="R64" s="221">
        <f>MAX(MIN(S3A04,S3A07),S6B01,S6B02)</f>
        <v>1</v>
      </c>
      <c r="S64" s="221">
        <f>1</f>
        <v>1</v>
      </c>
      <c r="T64" s="221">
        <f>1</f>
        <v>1</v>
      </c>
      <c r="U64" s="687"/>
      <c r="V64" s="1071"/>
      <c r="W64" s="1071"/>
      <c r="X64" s="83">
        <f t="shared" ref="X64:X70" si="78">IF(L64="","",IF(K64="D",INDEX(base_i,IF(U64=0,4,5-S64),T64+7*(IF(N64="",L64,N64)-1)),IF(K64="I",INDEX(base_i,IF(U64=0,15,16-S64),T64+7*(IF(N64="",L64,N64)-1)),IF(K64="C",INDEX(base_i,IF(U64=0,26,27-S64),T64+7*(IF(N64="",L64,N64)-1)),INDEX(base_i,38-S64,T64+7*(IF(N64="",L64,N64)-1))))))</f>
        <v>2</v>
      </c>
      <c r="Y64" s="83" cm="1">
        <f t="array" ref="Y64">IF(M64="","",IF(J64="A",INDEX(base_p,4,R64+7*(IF(O64="",M64,O64)-1)),IF(J64="E",INDEX(base_p,15,R64+7*(IF(O64="",M64,O64)-1)),INDEX(base_p,27-Q64,R64+7*(IF(O64="",M64,O64)-1)))))</f>
        <v>3</v>
      </c>
      <c r="Z64" s="83">
        <f t="shared" ref="Z64:Z70" si="79">IF(AO64=1,IF(IndG&gt;1,IF(AND(OR(NOT(X64=""),NOT(V64="")),OR(NOT(Y64=""),NOT(W64="")),I64=1),INDEX(base_g,5-IF(V64="",X64,V64),IF(W64="",Y64,W64)),""),P64),"")</f>
        <v>2</v>
      </c>
      <c r="AA64" s="1092"/>
      <c r="AB64" s="83">
        <f t="shared" si="17"/>
        <v>2</v>
      </c>
      <c r="AC64" s="167"/>
      <c r="AD64" s="196" t="s">
        <v>2043</v>
      </c>
      <c r="AE64" s="197"/>
      <c r="AF64" s="166"/>
      <c r="AG64" s="1" t="str">
        <f t="shared" ref="AG64:AG70" si="80">IF($AB64=1,$F64&amp;$AB64,"")</f>
        <v/>
      </c>
      <c r="AH64" s="1" t="str">
        <f t="shared" ref="AH64:AH70" si="81">IF($AB64=2,$F64&amp;$AB64,"")</f>
        <v>AH.L.Fal2</v>
      </c>
      <c r="AI64" s="1" t="str">
        <f t="shared" ref="AI64:AI70" si="82">IF($AB64=3,$F64&amp;$AB64,"")</f>
        <v/>
      </c>
      <c r="AJ64" s="1" t="str">
        <f t="shared" ref="AJ64:AJ70" si="83">IF($AB64=4,$F64&amp;$AB64,"")</f>
        <v/>
      </c>
      <c r="AK64">
        <f t="shared" ref="AK64:AK70" si="84">VLOOKUP($B64,Tab_classif,8,FALSE)</f>
        <v>1</v>
      </c>
      <c r="AL64">
        <f t="shared" ref="AL64:AL70" si="85">VLOOKUP(D64,Tab_ActS,2,FALSE)</f>
        <v>1</v>
      </c>
      <c r="AM64">
        <f t="shared" ref="AM64:AM70" si="86">VLOOKUP(E64,Tab_SDom,3,FALSE)</f>
        <v>1</v>
      </c>
      <c r="AN64">
        <f t="shared" ref="AN64:AN70" si="87">VLOOKUP($F64,Tab_event,4,FALSE)</f>
        <v>1</v>
      </c>
      <c r="AO64">
        <f t="shared" ref="AO64:AO70" si="88">I64*AK64*AL64*AM64*AN64</f>
        <v>1</v>
      </c>
      <c r="AP64">
        <f t="shared" si="52"/>
        <v>23</v>
      </c>
    </row>
    <row r="65" spans="1:42" ht="49.5" customHeight="1" x14ac:dyDescent="0.25">
      <c r="A65" s="894" t="s">
        <v>6363</v>
      </c>
      <c r="B65" s="854" t="s">
        <v>346</v>
      </c>
      <c r="C65" s="856" t="s">
        <v>268</v>
      </c>
      <c r="D65" s="854" t="str">
        <f>Fic</f>
        <v xml:space="preserve">Fichier ou base de données </v>
      </c>
      <c r="E65" s="788" t="str">
        <f t="shared" si="72"/>
        <v>Altération (non détectée) de donnée</v>
      </c>
      <c r="F65" s="858" t="s">
        <v>3211</v>
      </c>
      <c r="G65" s="858" t="s">
        <v>4778</v>
      </c>
      <c r="H65" s="895" t="s">
        <v>6361</v>
      </c>
      <c r="I65" s="24">
        <v>1</v>
      </c>
      <c r="J65" s="83" t="str">
        <f t="shared" si="73"/>
        <v>V</v>
      </c>
      <c r="K65" s="24" t="str">
        <f t="shared" si="74"/>
        <v>I</v>
      </c>
      <c r="L65" s="83">
        <f t="shared" si="75"/>
        <v>2</v>
      </c>
      <c r="M65" s="83">
        <f t="shared" si="76"/>
        <v>3</v>
      </c>
      <c r="N65" s="1070"/>
      <c r="O65" s="1070"/>
      <c r="P65" s="169">
        <f t="shared" si="77"/>
        <v>2</v>
      </c>
      <c r="Q65" s="871">
        <f>MIN(S3A08,S4A11)</f>
        <v>1</v>
      </c>
      <c r="R65" s="221">
        <f>MAX(S6B01,S6B02)</f>
        <v>1</v>
      </c>
      <c r="S65" s="221">
        <f>1</f>
        <v>1</v>
      </c>
      <c r="T65" s="221">
        <f>1</f>
        <v>1</v>
      </c>
      <c r="U65" s="687"/>
      <c r="V65" s="1071"/>
      <c r="W65" s="1071"/>
      <c r="X65" s="83">
        <f t="shared" si="78"/>
        <v>2</v>
      </c>
      <c r="Y65" s="83" cm="1">
        <f t="array" ref="Y65">IF(M65="","",IF(J65="A",INDEX(base_p,4,R65+7*(IF(O65="",M65,O65)-1)),IF(J65="E",INDEX(base_p,15,R65+7*(IF(O65="",M65,O65)-1)),INDEX(base_p,27-Q65,R65+7*(IF(O65="",M65,O65)-1)))))</f>
        <v>3</v>
      </c>
      <c r="Z65" s="83">
        <f t="shared" si="79"/>
        <v>2</v>
      </c>
      <c r="AA65" s="1092"/>
      <c r="AB65" s="83">
        <f t="shared" si="17"/>
        <v>2</v>
      </c>
      <c r="AC65" s="196" t="s">
        <v>6570</v>
      </c>
      <c r="AD65" s="196" t="s">
        <v>2045</v>
      </c>
      <c r="AE65" s="197"/>
      <c r="AF65" s="166"/>
      <c r="AG65" s="1" t="str">
        <f t="shared" si="80"/>
        <v/>
      </c>
      <c r="AH65" s="1" t="str">
        <f t="shared" si="81"/>
        <v>AH.L.Fal2</v>
      </c>
      <c r="AI65" s="1" t="str">
        <f t="shared" si="82"/>
        <v/>
      </c>
      <c r="AJ65" s="1" t="str">
        <f t="shared" si="83"/>
        <v/>
      </c>
      <c r="AK65">
        <f t="shared" si="84"/>
        <v>1</v>
      </c>
      <c r="AL65">
        <f t="shared" si="85"/>
        <v>1</v>
      </c>
      <c r="AM65">
        <f t="shared" si="86"/>
        <v>1</v>
      </c>
      <c r="AN65">
        <f t="shared" si="87"/>
        <v>1</v>
      </c>
      <c r="AO65">
        <f t="shared" si="88"/>
        <v>1</v>
      </c>
      <c r="AP65">
        <f t="shared" si="52"/>
        <v>23</v>
      </c>
    </row>
    <row r="66" spans="1:42" ht="53.25" customHeight="1" x14ac:dyDescent="0.25">
      <c r="A66" s="894" t="s">
        <v>6364</v>
      </c>
      <c r="B66" s="854" t="s">
        <v>346</v>
      </c>
      <c r="C66" s="856" t="s">
        <v>268</v>
      </c>
      <c r="D66" s="854" t="str">
        <f>Fic</f>
        <v xml:space="preserve">Fichier ou base de données </v>
      </c>
      <c r="E66" s="788" t="str">
        <f t="shared" si="72"/>
        <v>Altération (non détectée) de donnée</v>
      </c>
      <c r="F66" s="858" t="s">
        <v>3211</v>
      </c>
      <c r="G66" s="858" t="s">
        <v>4778</v>
      </c>
      <c r="H66" s="865" t="s">
        <v>4739</v>
      </c>
      <c r="I66" s="24">
        <v>1</v>
      </c>
      <c r="J66" s="83" t="str">
        <f t="shared" si="73"/>
        <v>V</v>
      </c>
      <c r="K66" s="24" t="str">
        <f t="shared" si="74"/>
        <v>I</v>
      </c>
      <c r="L66" s="83">
        <f t="shared" si="75"/>
        <v>2</v>
      </c>
      <c r="M66" s="83">
        <f t="shared" si="76"/>
        <v>3</v>
      </c>
      <c r="N66" s="1070"/>
      <c r="O66" s="1070"/>
      <c r="P66" s="169">
        <f t="shared" si="77"/>
        <v>2</v>
      </c>
      <c r="Q66" s="871">
        <f>S2D03</f>
        <v>1</v>
      </c>
      <c r="R66" s="221">
        <f>MAX(S6A01,S6B01,S6B02)</f>
        <v>1</v>
      </c>
      <c r="S66" s="221">
        <f>1</f>
        <v>1</v>
      </c>
      <c r="T66" s="221">
        <f>1</f>
        <v>1</v>
      </c>
      <c r="U66" s="687"/>
      <c r="V66" s="1071"/>
      <c r="W66" s="1071"/>
      <c r="X66" s="83">
        <f t="shared" si="78"/>
        <v>2</v>
      </c>
      <c r="Y66" s="83" cm="1">
        <f t="array" ref="Y66">IF(M66="","",IF(J66="A",INDEX(base_p,4,R66+7*(IF(O66="",M66,O66)-1)),IF(J66="E",INDEX(base_p,15,R66+7*(IF(O66="",M66,O66)-1)),INDEX(base_p,27-Q66,R66+7*(IF(O66="",M66,O66)-1)))))</f>
        <v>3</v>
      </c>
      <c r="Z66" s="83">
        <f t="shared" si="79"/>
        <v>2</v>
      </c>
      <c r="AA66" s="1092"/>
      <c r="AB66" s="83">
        <f t="shared" si="17"/>
        <v>2</v>
      </c>
      <c r="AC66" s="167" t="s">
        <v>614</v>
      </c>
      <c r="AD66" s="196" t="s">
        <v>2044</v>
      </c>
      <c r="AE66" s="197"/>
      <c r="AF66" s="166"/>
      <c r="AG66" s="1" t="str">
        <f t="shared" si="80"/>
        <v/>
      </c>
      <c r="AH66" s="1" t="str">
        <f t="shared" si="81"/>
        <v>AH.L.Fal2</v>
      </c>
      <c r="AI66" s="1" t="str">
        <f t="shared" si="82"/>
        <v/>
      </c>
      <c r="AJ66" s="1" t="str">
        <f t="shared" si="83"/>
        <v/>
      </c>
      <c r="AK66">
        <f t="shared" si="84"/>
        <v>1</v>
      </c>
      <c r="AL66">
        <f t="shared" si="85"/>
        <v>1</v>
      </c>
      <c r="AM66">
        <f t="shared" si="86"/>
        <v>1</v>
      </c>
      <c r="AN66">
        <f t="shared" si="87"/>
        <v>1</v>
      </c>
      <c r="AO66">
        <f t="shared" si="88"/>
        <v>1</v>
      </c>
      <c r="AP66">
        <f t="shared" si="52"/>
        <v>23</v>
      </c>
    </row>
    <row r="67" spans="1:42" ht="41.25" customHeight="1" x14ac:dyDescent="0.25">
      <c r="A67" s="894" t="s">
        <v>6367</v>
      </c>
      <c r="B67" s="854" t="s">
        <v>346</v>
      </c>
      <c r="C67" s="856" t="s">
        <v>268</v>
      </c>
      <c r="D67" s="854" t="str">
        <f>Fic</f>
        <v xml:space="preserve">Fichier ou base de données </v>
      </c>
      <c r="E67" s="788" t="str">
        <f t="shared" si="72"/>
        <v>Altération (non détectée) de donnée</v>
      </c>
      <c r="F67" s="858" t="s">
        <v>546</v>
      </c>
      <c r="G67" s="858" t="s">
        <v>4779</v>
      </c>
      <c r="H67" s="850"/>
      <c r="I67" s="24">
        <v>1</v>
      </c>
      <c r="J67" s="83" t="str">
        <f t="shared" si="73"/>
        <v>E</v>
      </c>
      <c r="K67" s="24" t="str">
        <f t="shared" si="74"/>
        <v>I</v>
      </c>
      <c r="L67" s="83">
        <f t="shared" si="75"/>
        <v>2</v>
      </c>
      <c r="M67" s="83">
        <f t="shared" si="76"/>
        <v>3</v>
      </c>
      <c r="N67" s="1070"/>
      <c r="O67" s="1070"/>
      <c r="P67" s="169">
        <f t="shared" si="77"/>
        <v>2</v>
      </c>
      <c r="Q67" s="871">
        <f>1</f>
        <v>1</v>
      </c>
      <c r="R67" s="221">
        <f>S6B02</f>
        <v>1</v>
      </c>
      <c r="S67" s="221">
        <f>1</f>
        <v>1</v>
      </c>
      <c r="T67" s="221">
        <f>1</f>
        <v>1</v>
      </c>
      <c r="U67" s="687"/>
      <c r="V67" s="1071"/>
      <c r="W67" s="1071"/>
      <c r="X67" s="83">
        <f t="shared" si="78"/>
        <v>2</v>
      </c>
      <c r="Y67" s="83" cm="1">
        <f t="array" ref="Y67">IF(M67="","",IF(J67="A",INDEX(base_p,4,R67+7*(IF(O67="",M67,O67)-1)),IF(J67="E",INDEX(base_p,15,R67+7*(IF(O67="",M67,O67)-1)),INDEX(base_p,27-Q67,R67+7*(IF(O67="",M67,O67)-1)))))</f>
        <v>3</v>
      </c>
      <c r="Z67" s="83">
        <f t="shared" si="79"/>
        <v>2</v>
      </c>
      <c r="AA67" s="1092"/>
      <c r="AB67" s="83">
        <f t="shared" si="17"/>
        <v>2</v>
      </c>
      <c r="AC67" s="167"/>
      <c r="AD67" s="197" t="s">
        <v>647</v>
      </c>
      <c r="AE67"/>
      <c r="AF67" s="166"/>
      <c r="AG67" s="1" t="str">
        <f t="shared" si="80"/>
        <v/>
      </c>
      <c r="AH67" s="1" t="str">
        <f t="shared" si="81"/>
        <v>ER.P.Pro2</v>
      </c>
      <c r="AI67" s="1" t="str">
        <f t="shared" si="82"/>
        <v/>
      </c>
      <c r="AJ67" s="1" t="str">
        <f t="shared" si="83"/>
        <v/>
      </c>
      <c r="AK67">
        <f t="shared" si="84"/>
        <v>1</v>
      </c>
      <c r="AL67">
        <f t="shared" si="85"/>
        <v>1</v>
      </c>
      <c r="AM67">
        <f t="shared" si="86"/>
        <v>1</v>
      </c>
      <c r="AN67">
        <f t="shared" si="87"/>
        <v>1</v>
      </c>
      <c r="AO67">
        <f t="shared" si="88"/>
        <v>1</v>
      </c>
      <c r="AP67">
        <f t="shared" si="52"/>
        <v>23</v>
      </c>
    </row>
    <row r="68" spans="1:42" ht="37.5" customHeight="1" x14ac:dyDescent="0.25">
      <c r="A68" s="894" t="s">
        <v>6365</v>
      </c>
      <c r="B68" s="854" t="s">
        <v>346</v>
      </c>
      <c r="C68" s="856" t="s">
        <v>268</v>
      </c>
      <c r="D68" s="854" t="str">
        <f>Mes</f>
        <v>Données en transit</v>
      </c>
      <c r="E68" s="788" t="str">
        <f t="shared" si="72"/>
        <v>Altération (non détectée) de donnée</v>
      </c>
      <c r="F68" s="858" t="s">
        <v>3211</v>
      </c>
      <c r="G68" s="858" t="s">
        <v>4780</v>
      </c>
      <c r="H68" s="848" t="s">
        <v>6245</v>
      </c>
      <c r="I68" s="24">
        <v>1</v>
      </c>
      <c r="J68" s="83" t="str">
        <f t="shared" si="73"/>
        <v>V</v>
      </c>
      <c r="K68" s="24" t="str">
        <f t="shared" si="74"/>
        <v>I</v>
      </c>
      <c r="L68" s="83">
        <f t="shared" si="75"/>
        <v>2</v>
      </c>
      <c r="M68" s="83">
        <f t="shared" si="76"/>
        <v>3</v>
      </c>
      <c r="N68" s="1070"/>
      <c r="O68" s="1070"/>
      <c r="P68" s="169">
        <f t="shared" si="77"/>
        <v>2</v>
      </c>
      <c r="Q68" s="871">
        <f>1</f>
        <v>1</v>
      </c>
      <c r="R68" s="221">
        <f>MAX(S5A01,S5B01)</f>
        <v>1</v>
      </c>
      <c r="S68" s="221">
        <f>1</f>
        <v>1</v>
      </c>
      <c r="T68" s="221">
        <f>S5E04</f>
        <v>1</v>
      </c>
      <c r="U68" s="687"/>
      <c r="V68" s="1071"/>
      <c r="W68" s="1071"/>
      <c r="X68" s="83">
        <f t="shared" si="78"/>
        <v>2</v>
      </c>
      <c r="Y68" s="83" cm="1">
        <f t="array" ref="Y68">IF(M68="","",IF(J68="A",INDEX(base_p,4,R68+7*(IF(O68="",M68,O68)-1)),IF(J68="E",INDEX(base_p,15,R68+7*(IF(O68="",M68,O68)-1)),INDEX(base_p,27-Q68,R68+7*(IF(O68="",M68,O68)-1)))))</f>
        <v>3</v>
      </c>
      <c r="Z68" s="83">
        <f t="shared" si="79"/>
        <v>2</v>
      </c>
      <c r="AA68" s="1092"/>
      <c r="AB68" s="83">
        <f>IF(OR(AA68="A",AA68="a",AA68="E",AA68="e",AA68="T",AA68="t",Z68=""),"",Z68)</f>
        <v>2</v>
      </c>
      <c r="AC68" s="196"/>
      <c r="AD68" s="196" t="s">
        <v>2047</v>
      </c>
      <c r="AE68" s="165"/>
      <c r="AF68" s="199" t="s">
        <v>4591</v>
      </c>
      <c r="AG68" s="1" t="str">
        <f t="shared" si="80"/>
        <v/>
      </c>
      <c r="AH68" s="1" t="str">
        <f t="shared" si="81"/>
        <v>AH.L.Fal2</v>
      </c>
      <c r="AI68" s="1" t="str">
        <f t="shared" si="82"/>
        <v/>
      </c>
      <c r="AJ68" s="1" t="str">
        <f t="shared" si="83"/>
        <v/>
      </c>
      <c r="AK68">
        <f t="shared" si="84"/>
        <v>1</v>
      </c>
      <c r="AL68">
        <f t="shared" si="85"/>
        <v>1</v>
      </c>
      <c r="AM68">
        <f t="shared" si="86"/>
        <v>1</v>
      </c>
      <c r="AN68">
        <f t="shared" si="87"/>
        <v>1</v>
      </c>
      <c r="AO68">
        <f t="shared" si="88"/>
        <v>1</v>
      </c>
      <c r="AP68">
        <f t="shared" si="52"/>
        <v>23</v>
      </c>
    </row>
    <row r="69" spans="1:42" ht="41.25" customHeight="1" x14ac:dyDescent="0.25">
      <c r="A69" s="894" t="s">
        <v>6366</v>
      </c>
      <c r="B69" s="854" t="s">
        <v>346</v>
      </c>
      <c r="C69" s="856" t="s">
        <v>268</v>
      </c>
      <c r="D69" s="854" t="str">
        <f>Mes</f>
        <v>Données en transit</v>
      </c>
      <c r="E69" s="788" t="str">
        <f t="shared" si="72"/>
        <v>Altération (non détectée) de donnée</v>
      </c>
      <c r="F69" s="858" t="s">
        <v>3211</v>
      </c>
      <c r="G69" s="858" t="s">
        <v>4780</v>
      </c>
      <c r="H69" s="848" t="s">
        <v>4742</v>
      </c>
      <c r="I69" s="24">
        <v>1</v>
      </c>
      <c r="J69" s="83" t="str">
        <f t="shared" si="73"/>
        <v>V</v>
      </c>
      <c r="K69" s="24" t="str">
        <f t="shared" si="74"/>
        <v>I</v>
      </c>
      <c r="L69" s="83">
        <f t="shared" si="75"/>
        <v>2</v>
      </c>
      <c r="M69" s="83">
        <f t="shared" si="76"/>
        <v>3</v>
      </c>
      <c r="N69" s="1070"/>
      <c r="O69" s="1070"/>
      <c r="P69" s="169">
        <f t="shared" si="77"/>
        <v>2</v>
      </c>
      <c r="Q69" s="871">
        <f>S3A08</f>
        <v>1</v>
      </c>
      <c r="R69" s="221">
        <f>MAX(S5A01,S5B01)</f>
        <v>1</v>
      </c>
      <c r="S69" s="221">
        <f>1</f>
        <v>1</v>
      </c>
      <c r="T69" s="221">
        <f>S5E04</f>
        <v>1</v>
      </c>
      <c r="U69" s="687"/>
      <c r="V69" s="1071"/>
      <c r="W69" s="1071"/>
      <c r="X69" s="83">
        <f t="shared" si="78"/>
        <v>2</v>
      </c>
      <c r="Y69" s="83" cm="1">
        <f t="array" ref="Y69">IF(M69="","",IF(J69="A",INDEX(base_p,4,R69+7*(IF(O69="",M69,O69)-1)),IF(J69="E",INDEX(base_p,15,R69+7*(IF(O69="",M69,O69)-1)),INDEX(base_p,27-Q69,R69+7*(IF(O69="",M69,O69)-1)))))</f>
        <v>3</v>
      </c>
      <c r="Z69" s="83">
        <f t="shared" si="79"/>
        <v>2</v>
      </c>
      <c r="AA69" s="1092"/>
      <c r="AB69" s="83">
        <f>IF(OR(AA69="A",AA69="a",AA69="E",AA69="e",AA69="T",AA69="t",Z69=""),"",Z69)</f>
        <v>2</v>
      </c>
      <c r="AC69" s="167" t="s">
        <v>820</v>
      </c>
      <c r="AD69" s="196" t="s">
        <v>2047</v>
      </c>
      <c r="AE69" s="165"/>
      <c r="AF69" s="199" t="s">
        <v>4591</v>
      </c>
      <c r="AG69" s="1" t="str">
        <f t="shared" si="80"/>
        <v/>
      </c>
      <c r="AH69" s="1" t="str">
        <f t="shared" si="81"/>
        <v>AH.L.Fal2</v>
      </c>
      <c r="AI69" s="1" t="str">
        <f t="shared" si="82"/>
        <v/>
      </c>
      <c r="AJ69" s="1" t="str">
        <f t="shared" si="83"/>
        <v/>
      </c>
      <c r="AK69">
        <f t="shared" si="84"/>
        <v>1</v>
      </c>
      <c r="AL69">
        <f t="shared" si="85"/>
        <v>1</v>
      </c>
      <c r="AM69">
        <f t="shared" si="86"/>
        <v>1</v>
      </c>
      <c r="AN69">
        <f t="shared" si="87"/>
        <v>1</v>
      </c>
      <c r="AO69">
        <f t="shared" si="88"/>
        <v>1</v>
      </c>
      <c r="AP69">
        <f t="shared" si="52"/>
        <v>23</v>
      </c>
    </row>
    <row r="70" spans="1:42" ht="37.5" customHeight="1" x14ac:dyDescent="0.25">
      <c r="A70" s="894" t="s">
        <v>6368</v>
      </c>
      <c r="B70" s="854" t="s">
        <v>346</v>
      </c>
      <c r="C70" s="856" t="s">
        <v>268</v>
      </c>
      <c r="D70" s="854" t="str">
        <f>Med</f>
        <v>Media support de données</v>
      </c>
      <c r="E70" s="788" t="str">
        <f>Crfx</f>
        <v>Création de faux</v>
      </c>
      <c r="F70" s="905" t="s">
        <v>3224</v>
      </c>
      <c r="G70" s="858" t="s">
        <v>4769</v>
      </c>
      <c r="H70" s="848" t="s">
        <v>4743</v>
      </c>
      <c r="I70" s="24">
        <v>1</v>
      </c>
      <c r="J70" s="83" t="str">
        <f t="shared" si="73"/>
        <v>V</v>
      </c>
      <c r="K70" s="24" t="str">
        <f t="shared" si="74"/>
        <v>I</v>
      </c>
      <c r="L70" s="83">
        <f t="shared" si="75"/>
        <v>2</v>
      </c>
      <c r="M70" s="83">
        <f t="shared" si="76"/>
        <v>3</v>
      </c>
      <c r="N70" s="1070"/>
      <c r="O70" s="1070"/>
      <c r="P70" s="169">
        <f t="shared" si="77"/>
        <v>2</v>
      </c>
      <c r="Q70" s="871">
        <f>1</f>
        <v>1</v>
      </c>
      <c r="R70" s="221">
        <f>MAX(S6B01,S6B02)</f>
        <v>1</v>
      </c>
      <c r="S70" s="221">
        <f>1</f>
        <v>1</v>
      </c>
      <c r="T70" s="221">
        <f>1</f>
        <v>1</v>
      </c>
      <c r="U70" s="687"/>
      <c r="V70" s="1071"/>
      <c r="W70" s="1071"/>
      <c r="X70" s="83">
        <f t="shared" si="78"/>
        <v>2</v>
      </c>
      <c r="Y70" s="83" cm="1">
        <f t="array" ref="Y70">IF(M70="","",IF(J70="A",INDEX(base_p,4,R70+7*(IF(O70="",M70,O70)-1)),IF(J70="E",INDEX(base_p,15,R70+7*(IF(O70="",M70,O70)-1)),INDEX(base_p,27-Q70,R70+7*(IF(O70="",M70,O70)-1)))))</f>
        <v>3</v>
      </c>
      <c r="Z70" s="83">
        <f t="shared" si="79"/>
        <v>2</v>
      </c>
      <c r="AA70" s="1092"/>
      <c r="AB70" s="83">
        <f>IF(OR(AA70="A",AA70="a",AA70="E",AA70="e",AA70="T",AA70="t",Z70=""),"",Z70)</f>
        <v>2</v>
      </c>
      <c r="AC70" s="167"/>
      <c r="AD70" s="196" t="s">
        <v>2045</v>
      </c>
      <c r="AE70" s="197"/>
      <c r="AF70" s="198"/>
      <c r="AG70" s="1" t="str">
        <f t="shared" si="80"/>
        <v/>
      </c>
      <c r="AH70" s="1" t="str">
        <f t="shared" si="81"/>
        <v>AH.P.Vol2</v>
      </c>
      <c r="AI70" s="1" t="str">
        <f t="shared" si="82"/>
        <v/>
      </c>
      <c r="AJ70" s="1" t="str">
        <f t="shared" si="83"/>
        <v/>
      </c>
      <c r="AK70">
        <f t="shared" si="84"/>
        <v>1</v>
      </c>
      <c r="AL70">
        <f t="shared" si="85"/>
        <v>1</v>
      </c>
      <c r="AM70">
        <f t="shared" si="86"/>
        <v>1</v>
      </c>
      <c r="AN70">
        <f t="shared" si="87"/>
        <v>1</v>
      </c>
      <c r="AO70">
        <f t="shared" si="88"/>
        <v>1</v>
      </c>
      <c r="AP70">
        <f>IF(AND(AO70=1,AA70=""),IF(IndG=1,10*L70+M70,10*X70+Y70),"")</f>
        <v>23</v>
      </c>
    </row>
    <row r="71" spans="1:42" ht="15.75" customHeight="1" x14ac:dyDescent="0.25">
      <c r="A71" s="866" t="s">
        <v>6376</v>
      </c>
      <c r="B71" s="1325"/>
      <c r="C71" s="1325"/>
      <c r="D71" s="1325"/>
      <c r="E71" s="1325"/>
      <c r="F71" s="1325"/>
      <c r="G71" s="1325"/>
      <c r="H71" s="1325"/>
      <c r="I71" s="24"/>
      <c r="J71" s="83"/>
      <c r="K71" s="24"/>
      <c r="L71" s="83"/>
      <c r="M71" s="83"/>
      <c r="N71" s="1070"/>
      <c r="O71" s="1070"/>
      <c r="P71" s="169"/>
      <c r="Q71" s="871"/>
      <c r="R71" s="221"/>
      <c r="S71" s="221"/>
      <c r="T71" s="221"/>
      <c r="U71" s="687">
        <f>1</f>
        <v>1</v>
      </c>
      <c r="V71" s="1071"/>
      <c r="W71" s="1071"/>
      <c r="X71" s="83"/>
      <c r="Y71" s="83"/>
      <c r="Z71" s="83"/>
      <c r="AA71" s="1092"/>
      <c r="AB71" s="83"/>
      <c r="AC71" s="1"/>
      <c r="AD71" s="1"/>
      <c r="AE71" s="1"/>
      <c r="AF71" s="1"/>
      <c r="AG71" s="1"/>
      <c r="AH71" s="1"/>
      <c r="AI71" s="1"/>
      <c r="AJ71" s="1"/>
    </row>
    <row r="72" spans="1:42" ht="39.75" customHeight="1" x14ac:dyDescent="0.25">
      <c r="A72" s="894" t="s">
        <v>6371</v>
      </c>
      <c r="B72" s="854" t="s">
        <v>346</v>
      </c>
      <c r="C72" s="856" t="s">
        <v>309</v>
      </c>
      <c r="D72" s="854" t="str">
        <f t="shared" ref="D72:D79" si="89">Fic</f>
        <v xml:space="preserve">Fichier ou base de données </v>
      </c>
      <c r="E72" s="788" t="str">
        <f t="shared" ref="E72:E87" si="90">Dive</f>
        <v>Divulgation de données</v>
      </c>
      <c r="F72" s="858" t="s">
        <v>3220</v>
      </c>
      <c r="G72" s="858" t="s">
        <v>4781</v>
      </c>
      <c r="H72" s="898" t="s">
        <v>6370</v>
      </c>
      <c r="I72" s="24">
        <v>1</v>
      </c>
      <c r="J72" s="83" t="str">
        <f t="shared" ref="J72:J87" si="91">VLOOKUP($F72,Tab_event,5)</f>
        <v>V</v>
      </c>
      <c r="K72" s="24" t="str">
        <f t="shared" ref="K72:K87" si="92">C72</f>
        <v>C</v>
      </c>
      <c r="L72" s="83">
        <f t="shared" ref="L72:L87" si="93">IF(VLOOKUP($B72,Tab_classif,8,FALSE)=1,VLOOKUP($B72,Tab_classif,IF(C72="D",4,IF(C72="I",5,IF(C72="C",6,7))),FALSE),1)</f>
        <v>3</v>
      </c>
      <c r="M72" s="83">
        <f t="shared" ref="M72:M87" si="94">VLOOKUP($F72,Tab_event,3,FALSE)</f>
        <v>3</v>
      </c>
      <c r="N72" s="1070"/>
      <c r="O72" s="1070"/>
      <c r="P72" s="169">
        <f t="shared" ref="P72:P87" si="95">IF(AND(NOT(L72=""),NOT(M72="")),INDEX(base_g,5-IF(N72="",L72,N72),IF(O72="",M72,O72)),"")</f>
        <v>3</v>
      </c>
      <c r="Q72" s="871">
        <f>MIN(S3A08,S4A11)</f>
        <v>1</v>
      </c>
      <c r="R72" s="221">
        <f>S6B01</f>
        <v>1</v>
      </c>
      <c r="S72" s="221">
        <f>1</f>
        <v>1</v>
      </c>
      <c r="T72" s="221">
        <f>1</f>
        <v>1</v>
      </c>
      <c r="U72" s="687"/>
      <c r="V72" s="1071"/>
      <c r="W72" s="1071"/>
      <c r="X72" s="83">
        <f t="shared" ref="X72:X87" si="96">IF(L72="","",IF(K72="D",INDEX(base_i,IF(U72=0,4,5-S72),T72+7*(IF(N72="",L72,N72)-1)),IF(K72="I",INDEX(base_i,IF(U72=0,15,16-S72),T72+7*(IF(N72="",L72,N72)-1)),IF(K72="C",INDEX(base_i,IF(U72=0,26,27-S72),T72+7*(IF(N72="",L72,N72)-1)),INDEX(base_i,38-S72,T72+7*(IF(N72="",L72,N72)-1))))))</f>
        <v>3</v>
      </c>
      <c r="Y72" s="83" cm="1">
        <f t="array" ref="Y72">IF(M72="","",IF(J72="A",INDEX(base_p,4,R72+7*(IF(O72="",M72,O72)-1)),IF(J72="E",INDEX(base_p,15,R72+7*(IF(O72="",M72,O72)-1)),INDEX(base_p,27-Q72,R72+7*(IF(O72="",M72,O72)-1)))))</f>
        <v>3</v>
      </c>
      <c r="Z72" s="83">
        <f t="shared" ref="Z72:Z87" si="97">IF(AO72=1,IF(IndG&gt;1,IF(AND(OR(NOT(X72=""),NOT(V72="")),OR(NOT(Y72=""),NOT(W72="")),I72=1),INDEX(base_g,5-IF(V72="",X72,V72),IF(W72="",Y72,W72)),""),P72),"")</f>
        <v>3</v>
      </c>
      <c r="AA72" s="1092"/>
      <c r="AB72" s="83">
        <f t="shared" ref="AB72:AB106" si="98">IF(OR(AA72="A",AA72="a",AA72="E",AA72="e",AA72="T",AA72="t",Z72=""),"",Z72)</f>
        <v>3</v>
      </c>
      <c r="AC72" s="196" t="s">
        <v>6570</v>
      </c>
      <c r="AD72" s="196" t="s">
        <v>646</v>
      </c>
      <c r="AE72" s="165"/>
      <c r="AF72" s="165"/>
      <c r="AG72" s="1" t="str">
        <f t="shared" ref="AG72:AG87" si="99">IF($AB72=1,$F72&amp;$AB72,"")</f>
        <v/>
      </c>
      <c r="AH72" s="1" t="str">
        <f t="shared" ref="AH72:AH87" si="100">IF($AB72=2,$F72&amp;$AB72,"")</f>
        <v/>
      </c>
      <c r="AI72" s="1" t="str">
        <f t="shared" ref="AI72:AI87" si="101">IF($AB72=3,$F72&amp;$AB72,"")</f>
        <v>AH.L.Vol3</v>
      </c>
      <c r="AJ72" s="1" t="str">
        <f t="shared" ref="AJ72:AJ87" si="102">IF($AB72=4,$F72&amp;$AB72,"")</f>
        <v/>
      </c>
      <c r="AK72">
        <f t="shared" ref="AK72:AK87" si="103">VLOOKUP($B72,Tab_classif,8,FALSE)</f>
        <v>1</v>
      </c>
      <c r="AL72">
        <f t="shared" ref="AL72:AL87" si="104">VLOOKUP(D72,Tab_ActS,2,FALSE)</f>
        <v>1</v>
      </c>
      <c r="AM72">
        <f t="shared" ref="AM72:AM87" si="105">VLOOKUP(E72,Tab_SDom,3,FALSE)</f>
        <v>1</v>
      </c>
      <c r="AN72">
        <f t="shared" ref="AN72:AN87" si="106">VLOOKUP($F72,Tab_event,4,FALSE)</f>
        <v>1</v>
      </c>
      <c r="AO72">
        <f t="shared" ref="AO72:AO87" si="107">I72*AK72*AL72*AM72*AN72</f>
        <v>1</v>
      </c>
      <c r="AP72">
        <f t="shared" ref="AP72:AP87" si="108">IF(AND(AO72=1,AA72=""),IF(IndG=1,10*L72+M72,10*X72+Y72),"")</f>
        <v>33</v>
      </c>
    </row>
    <row r="73" spans="1:42" ht="39.75" customHeight="1" x14ac:dyDescent="0.25">
      <c r="A73" s="894" t="s">
        <v>6372</v>
      </c>
      <c r="B73" s="854" t="s">
        <v>346</v>
      </c>
      <c r="C73" s="856" t="s">
        <v>309</v>
      </c>
      <c r="D73" s="854" t="str">
        <f t="shared" si="89"/>
        <v xml:space="preserve">Fichier ou base de données </v>
      </c>
      <c r="E73" s="788" t="str">
        <f t="shared" si="90"/>
        <v>Divulgation de données</v>
      </c>
      <c r="F73" s="858" t="s">
        <v>3220</v>
      </c>
      <c r="G73" s="858" t="s">
        <v>4781</v>
      </c>
      <c r="H73" s="851" t="s">
        <v>4744</v>
      </c>
      <c r="I73" s="24">
        <v>1</v>
      </c>
      <c r="J73" s="83" t="str">
        <f t="shared" si="91"/>
        <v>V</v>
      </c>
      <c r="K73" s="24" t="str">
        <f t="shared" si="92"/>
        <v>C</v>
      </c>
      <c r="L73" s="83">
        <f t="shared" si="93"/>
        <v>3</v>
      </c>
      <c r="M73" s="83">
        <f t="shared" si="94"/>
        <v>3</v>
      </c>
      <c r="N73" s="1070"/>
      <c r="O73" s="1070"/>
      <c r="P73" s="169">
        <f t="shared" si="95"/>
        <v>3</v>
      </c>
      <c r="Q73" s="871">
        <f>1</f>
        <v>1</v>
      </c>
      <c r="R73" s="221">
        <f>MAX(MIN(S3A04,S3A07),S6B01)</f>
        <v>1</v>
      </c>
      <c r="S73" s="221">
        <f>1</f>
        <v>1</v>
      </c>
      <c r="T73" s="221">
        <f>1</f>
        <v>1</v>
      </c>
      <c r="U73" s="687"/>
      <c r="V73" s="1071"/>
      <c r="W73" s="1071"/>
      <c r="X73" s="83">
        <f t="shared" si="96"/>
        <v>3</v>
      </c>
      <c r="Y73" s="83" cm="1">
        <f t="array" ref="Y73">IF(M73="","",IF(J73="A",INDEX(base_p,4,R73+7*(IF(O73="",M73,O73)-1)),IF(J73="E",INDEX(base_p,15,R73+7*(IF(O73="",M73,O73)-1)),INDEX(base_p,27-Q73,R73+7*(IF(O73="",M73,O73)-1)))))</f>
        <v>3</v>
      </c>
      <c r="Z73" s="83">
        <f t="shared" si="97"/>
        <v>3</v>
      </c>
      <c r="AA73" s="1092"/>
      <c r="AB73" s="83">
        <f t="shared" si="98"/>
        <v>3</v>
      </c>
      <c r="AC73" s="196"/>
      <c r="AD73" s="196" t="s">
        <v>3245</v>
      </c>
      <c r="AE73" s="165"/>
      <c r="AF73" s="165"/>
      <c r="AG73" s="1" t="str">
        <f t="shared" si="99"/>
        <v/>
      </c>
      <c r="AH73" s="1" t="str">
        <f t="shared" si="100"/>
        <v/>
      </c>
      <c r="AI73" s="1" t="str">
        <f t="shared" si="101"/>
        <v>AH.L.Vol3</v>
      </c>
      <c r="AJ73" s="1" t="str">
        <f t="shared" si="102"/>
        <v/>
      </c>
      <c r="AK73">
        <f t="shared" si="103"/>
        <v>1</v>
      </c>
      <c r="AL73">
        <f t="shared" si="104"/>
        <v>1</v>
      </c>
      <c r="AM73">
        <f t="shared" si="105"/>
        <v>1</v>
      </c>
      <c r="AN73">
        <f t="shared" si="106"/>
        <v>1</v>
      </c>
      <c r="AO73">
        <f t="shared" si="107"/>
        <v>1</v>
      </c>
      <c r="AP73">
        <f t="shared" si="108"/>
        <v>33</v>
      </c>
    </row>
    <row r="74" spans="1:42" ht="39.75" customHeight="1" x14ac:dyDescent="0.25">
      <c r="A74" s="894" t="s">
        <v>6373</v>
      </c>
      <c r="B74" s="854" t="s">
        <v>346</v>
      </c>
      <c r="C74" s="856" t="s">
        <v>309</v>
      </c>
      <c r="D74" s="854" t="str">
        <f t="shared" si="89"/>
        <v xml:space="preserve">Fichier ou base de données </v>
      </c>
      <c r="E74" s="788" t="str">
        <f t="shared" si="90"/>
        <v>Divulgation de données</v>
      </c>
      <c r="F74" s="858" t="s">
        <v>3220</v>
      </c>
      <c r="G74" s="858" t="s">
        <v>4781</v>
      </c>
      <c r="H74" s="851" t="s">
        <v>4745</v>
      </c>
      <c r="I74" s="24">
        <v>1</v>
      </c>
      <c r="J74" s="83" t="str">
        <f t="shared" si="91"/>
        <v>V</v>
      </c>
      <c r="K74" s="24" t="str">
        <f t="shared" si="92"/>
        <v>C</v>
      </c>
      <c r="L74" s="83">
        <f t="shared" si="93"/>
        <v>3</v>
      </c>
      <c r="M74" s="83">
        <f t="shared" si="94"/>
        <v>3</v>
      </c>
      <c r="N74" s="1070"/>
      <c r="O74" s="1070"/>
      <c r="P74" s="169">
        <f t="shared" si="95"/>
        <v>3</v>
      </c>
      <c r="Q74" s="871">
        <f>S2D03</f>
        <v>1</v>
      </c>
      <c r="R74" s="221">
        <f>MAX(S6A01,S6B01)</f>
        <v>1</v>
      </c>
      <c r="S74" s="221">
        <f>1</f>
        <v>1</v>
      </c>
      <c r="T74" s="221">
        <f>1</f>
        <v>1</v>
      </c>
      <c r="U74" s="687"/>
      <c r="V74" s="1071"/>
      <c r="W74" s="1071"/>
      <c r="X74" s="83">
        <f t="shared" si="96"/>
        <v>3</v>
      </c>
      <c r="Y74" s="83" cm="1">
        <f t="array" ref="Y74">IF(M74="","",IF(J74="A",INDEX(base_p,4,R74+7*(IF(O74="",M74,O74)-1)),IF(J74="E",INDEX(base_p,15,R74+7*(IF(O74="",M74,O74)-1)),INDEX(base_p,27-Q74,R74+7*(IF(O74="",M74,O74)-1)))))</f>
        <v>3</v>
      </c>
      <c r="Z74" s="83">
        <f t="shared" si="97"/>
        <v>3</v>
      </c>
      <c r="AA74" s="1092"/>
      <c r="AB74" s="83">
        <f t="shared" si="98"/>
        <v>3</v>
      </c>
      <c r="AC74" s="196" t="s">
        <v>614</v>
      </c>
      <c r="AD74" s="196" t="s">
        <v>2050</v>
      </c>
      <c r="AE74" s="165"/>
      <c r="AF74" s="165"/>
      <c r="AG74" s="1" t="str">
        <f t="shared" si="99"/>
        <v/>
      </c>
      <c r="AH74" s="1" t="str">
        <f t="shared" si="100"/>
        <v/>
      </c>
      <c r="AI74" s="1" t="str">
        <f t="shared" si="101"/>
        <v>AH.L.Vol3</v>
      </c>
      <c r="AJ74" s="1" t="str">
        <f t="shared" si="102"/>
        <v/>
      </c>
      <c r="AK74">
        <f t="shared" si="103"/>
        <v>1</v>
      </c>
      <c r="AL74">
        <f t="shared" si="104"/>
        <v>1</v>
      </c>
      <c r="AM74">
        <f t="shared" si="105"/>
        <v>1</v>
      </c>
      <c r="AN74">
        <f t="shared" si="106"/>
        <v>1</v>
      </c>
      <c r="AO74">
        <f t="shared" si="107"/>
        <v>1</v>
      </c>
      <c r="AP74">
        <f t="shared" si="108"/>
        <v>33</v>
      </c>
    </row>
    <row r="75" spans="1:42" ht="40.5" customHeight="1" x14ac:dyDescent="0.25">
      <c r="A75" s="894" t="s">
        <v>6374</v>
      </c>
      <c r="B75" s="854" t="s">
        <v>346</v>
      </c>
      <c r="C75" s="856" t="s">
        <v>309</v>
      </c>
      <c r="D75" s="854" t="str">
        <f t="shared" si="89"/>
        <v xml:space="preserve">Fichier ou base de données </v>
      </c>
      <c r="E75" s="788" t="str">
        <f t="shared" si="90"/>
        <v>Divulgation de données</v>
      </c>
      <c r="F75" s="858" t="s">
        <v>3220</v>
      </c>
      <c r="G75" s="858" t="s">
        <v>4781</v>
      </c>
      <c r="H75" s="851" t="s">
        <v>2151</v>
      </c>
      <c r="I75" s="24">
        <v>1</v>
      </c>
      <c r="J75" s="83" t="str">
        <f t="shared" si="91"/>
        <v>V</v>
      </c>
      <c r="K75" s="24" t="str">
        <f t="shared" si="92"/>
        <v>C</v>
      </c>
      <c r="L75" s="83">
        <f t="shared" si="93"/>
        <v>3</v>
      </c>
      <c r="M75" s="83">
        <f t="shared" si="94"/>
        <v>3</v>
      </c>
      <c r="N75" s="1070"/>
      <c r="O75" s="1070"/>
      <c r="P75" s="169">
        <f t="shared" si="95"/>
        <v>3</v>
      </c>
      <c r="Q75" s="871">
        <f>1</f>
        <v>1</v>
      </c>
      <c r="R75" s="221">
        <f>MAX(S4A09,S6B01)</f>
        <v>1</v>
      </c>
      <c r="S75" s="221">
        <f>1</f>
        <v>1</v>
      </c>
      <c r="T75" s="221">
        <f>1</f>
        <v>1</v>
      </c>
      <c r="U75" s="687"/>
      <c r="V75" s="1071"/>
      <c r="W75" s="1071"/>
      <c r="X75" s="83">
        <f t="shared" si="96"/>
        <v>3</v>
      </c>
      <c r="Y75" s="83" cm="1">
        <f t="array" ref="Y75">IF(M75="","",IF(J75="A",INDEX(base_p,4,R75+7*(IF(O75="",M75,O75)-1)),IF(J75="E",INDEX(base_p,15,R75+7*(IF(O75="",M75,O75)-1)),INDEX(base_p,27-Q75,R75+7*(IF(O75="",M75,O75)-1)))))</f>
        <v>3</v>
      </c>
      <c r="Z75" s="83">
        <f t="shared" si="97"/>
        <v>3</v>
      </c>
      <c r="AA75" s="1092"/>
      <c r="AB75" s="83">
        <f t="shared" si="98"/>
        <v>3</v>
      </c>
      <c r="AC75" s="165"/>
      <c r="AD75" s="196" t="s">
        <v>3246</v>
      </c>
      <c r="AE75" s="165"/>
      <c r="AF75" s="165"/>
      <c r="AG75" s="1" t="str">
        <f t="shared" si="99"/>
        <v/>
      </c>
      <c r="AH75" s="1" t="str">
        <f t="shared" si="100"/>
        <v/>
      </c>
      <c r="AI75" s="1" t="str">
        <f t="shared" si="101"/>
        <v>AH.L.Vol3</v>
      </c>
      <c r="AJ75" s="1" t="str">
        <f t="shared" si="102"/>
        <v/>
      </c>
      <c r="AK75">
        <f t="shared" si="103"/>
        <v>1</v>
      </c>
      <c r="AL75">
        <f t="shared" si="104"/>
        <v>1</v>
      </c>
      <c r="AM75">
        <f t="shared" si="105"/>
        <v>1</v>
      </c>
      <c r="AN75">
        <f t="shared" si="106"/>
        <v>1</v>
      </c>
      <c r="AO75">
        <f t="shared" si="107"/>
        <v>1</v>
      </c>
      <c r="AP75">
        <f t="shared" si="108"/>
        <v>33</v>
      </c>
    </row>
    <row r="76" spans="1:42" ht="39.75" customHeight="1" x14ac:dyDescent="0.25">
      <c r="A76" s="894" t="s">
        <v>6375</v>
      </c>
      <c r="B76" s="854" t="s">
        <v>346</v>
      </c>
      <c r="C76" s="856" t="s">
        <v>309</v>
      </c>
      <c r="D76" s="854" t="str">
        <f t="shared" si="89"/>
        <v xml:space="preserve">Fichier ou base de données </v>
      </c>
      <c r="E76" s="788" t="str">
        <f>Dive</f>
        <v>Divulgation de données</v>
      </c>
      <c r="F76" s="858" t="s">
        <v>3220</v>
      </c>
      <c r="G76" s="858" t="s">
        <v>4781</v>
      </c>
      <c r="H76" s="850" t="s">
        <v>4746</v>
      </c>
      <c r="I76" s="24">
        <v>1</v>
      </c>
      <c r="J76" s="83" t="str">
        <f t="shared" si="91"/>
        <v>V</v>
      </c>
      <c r="K76" s="24" t="str">
        <f t="shared" si="92"/>
        <v>C</v>
      </c>
      <c r="L76" s="83">
        <f t="shared" si="93"/>
        <v>3</v>
      </c>
      <c r="M76" s="83">
        <f t="shared" si="94"/>
        <v>3</v>
      </c>
      <c r="N76" s="1070"/>
      <c r="O76" s="1070"/>
      <c r="P76" s="169">
        <f t="shared" si="95"/>
        <v>3</v>
      </c>
      <c r="Q76" s="871">
        <f>1</f>
        <v>1</v>
      </c>
      <c r="R76" s="221">
        <f>S6C02</f>
        <v>1</v>
      </c>
      <c r="S76" s="221">
        <f>1</f>
        <v>1</v>
      </c>
      <c r="T76" s="221">
        <f>1</f>
        <v>1</v>
      </c>
      <c r="U76" s="687"/>
      <c r="V76" s="1071"/>
      <c r="W76" s="1071"/>
      <c r="X76" s="83">
        <f t="shared" si="96"/>
        <v>3</v>
      </c>
      <c r="Y76" s="83" cm="1">
        <f t="array" ref="Y76">IF(M76="","",IF(J76="A",INDEX(base_p,4,R76+7*(IF(O76="",M76,O76)-1)),IF(J76="E",INDEX(base_p,15,R76+7*(IF(O76="",M76,O76)-1)),INDEX(base_p,27-Q76,R76+7*(IF(O76="",M76,O76)-1)))))</f>
        <v>3</v>
      </c>
      <c r="Z76" s="83">
        <f t="shared" si="97"/>
        <v>3</v>
      </c>
      <c r="AA76" s="1092"/>
      <c r="AB76" s="83">
        <f>IF(OR(AA76="A",AA76="a",AA76="E",AA76="e",AA76="T",AA76="t",Z76=""),"",Z76)</f>
        <v>3</v>
      </c>
      <c r="AC76" s="198"/>
      <c r="AD76" s="166" t="s">
        <v>2165</v>
      </c>
      <c r="AE76" s="197"/>
      <c r="AF76" s="198"/>
      <c r="AG76" s="1" t="str">
        <f t="shared" si="99"/>
        <v/>
      </c>
      <c r="AH76" s="1" t="str">
        <f t="shared" si="100"/>
        <v/>
      </c>
      <c r="AI76" s="1" t="str">
        <f t="shared" si="101"/>
        <v>AH.L.Vol3</v>
      </c>
      <c r="AJ76" s="1" t="str">
        <f t="shared" si="102"/>
        <v/>
      </c>
      <c r="AK76">
        <f t="shared" si="103"/>
        <v>1</v>
      </c>
      <c r="AL76">
        <f t="shared" si="104"/>
        <v>1</v>
      </c>
      <c r="AM76">
        <f t="shared" si="105"/>
        <v>1</v>
      </c>
      <c r="AN76">
        <f t="shared" si="106"/>
        <v>1</v>
      </c>
      <c r="AO76">
        <f t="shared" si="107"/>
        <v>1</v>
      </c>
      <c r="AP76">
        <f t="shared" si="108"/>
        <v>33</v>
      </c>
    </row>
    <row r="77" spans="1:42" ht="36" customHeight="1" x14ac:dyDescent="0.25">
      <c r="A77" s="894" t="s">
        <v>6377</v>
      </c>
      <c r="B77" s="854" t="s">
        <v>346</v>
      </c>
      <c r="C77" s="856" t="s">
        <v>309</v>
      </c>
      <c r="D77" s="854" t="str">
        <f t="shared" si="89"/>
        <v xml:space="preserve">Fichier ou base de données </v>
      </c>
      <c r="E77" s="788" t="str">
        <f t="shared" si="90"/>
        <v>Divulgation de données</v>
      </c>
      <c r="F77" s="905" t="s">
        <v>546</v>
      </c>
      <c r="G77" s="858" t="s">
        <v>4782</v>
      </c>
      <c r="H77" s="851"/>
      <c r="I77" s="24">
        <v>1</v>
      </c>
      <c r="J77" s="83" t="str">
        <f t="shared" si="91"/>
        <v>E</v>
      </c>
      <c r="K77" s="24" t="str">
        <f t="shared" si="92"/>
        <v>C</v>
      </c>
      <c r="L77" s="83">
        <f t="shared" si="93"/>
        <v>3</v>
      </c>
      <c r="M77" s="83">
        <f t="shared" si="94"/>
        <v>3</v>
      </c>
      <c r="N77" s="1070"/>
      <c r="O77" s="1070"/>
      <c r="P77" s="169">
        <f t="shared" si="95"/>
        <v>3</v>
      </c>
      <c r="Q77" s="871">
        <f>1</f>
        <v>1</v>
      </c>
      <c r="R77" s="221">
        <f>S6B01</f>
        <v>1</v>
      </c>
      <c r="S77" s="221">
        <f>1</f>
        <v>1</v>
      </c>
      <c r="T77" s="221">
        <f>1</f>
        <v>1</v>
      </c>
      <c r="U77" s="687"/>
      <c r="V77" s="1071"/>
      <c r="W77" s="1071"/>
      <c r="X77" s="83">
        <f t="shared" si="96"/>
        <v>3</v>
      </c>
      <c r="Y77" s="83" cm="1">
        <f t="array" ref="Y77">IF(M77="","",IF(J77="A",INDEX(base_p,4,R77+7*(IF(O77="",M77,O77)-1)),IF(J77="E",INDEX(base_p,15,R77+7*(IF(O77="",M77,O77)-1)),INDEX(base_p,27-Q77,R77+7*(IF(O77="",M77,O77)-1)))))</f>
        <v>3</v>
      </c>
      <c r="Z77" s="83">
        <f t="shared" si="97"/>
        <v>3</v>
      </c>
      <c r="AA77" s="1092"/>
      <c r="AB77" s="83">
        <f t="shared" si="98"/>
        <v>3</v>
      </c>
      <c r="AC77" s="165"/>
      <c r="AD77" s="196" t="s">
        <v>646</v>
      </c>
      <c r="AE77" s="165"/>
      <c r="AF77" s="165"/>
      <c r="AG77" s="1" t="str">
        <f t="shared" si="99"/>
        <v/>
      </c>
      <c r="AH77" s="1" t="str">
        <f t="shared" si="100"/>
        <v/>
      </c>
      <c r="AI77" s="1" t="str">
        <f t="shared" si="101"/>
        <v>ER.P.Pro3</v>
      </c>
      <c r="AJ77" s="1" t="str">
        <f t="shared" si="102"/>
        <v/>
      </c>
      <c r="AK77">
        <f t="shared" si="103"/>
        <v>1</v>
      </c>
      <c r="AL77">
        <f t="shared" si="104"/>
        <v>1</v>
      </c>
      <c r="AM77">
        <f t="shared" si="105"/>
        <v>1</v>
      </c>
      <c r="AN77">
        <f t="shared" si="106"/>
        <v>1</v>
      </c>
      <c r="AO77">
        <f t="shared" si="107"/>
        <v>1</v>
      </c>
      <c r="AP77">
        <f t="shared" si="108"/>
        <v>33</v>
      </c>
    </row>
    <row r="78" spans="1:42" ht="51.75" customHeight="1" x14ac:dyDescent="0.25">
      <c r="A78" s="894" t="s">
        <v>6378</v>
      </c>
      <c r="B78" s="854" t="s">
        <v>346</v>
      </c>
      <c r="C78" s="856" t="s">
        <v>309</v>
      </c>
      <c r="D78" s="854" t="str">
        <f t="shared" si="89"/>
        <v xml:space="preserve">Fichier ou base de données </v>
      </c>
      <c r="E78" s="788" t="str">
        <f t="shared" si="90"/>
        <v>Divulgation de données</v>
      </c>
      <c r="F78" s="858" t="s">
        <v>3216</v>
      </c>
      <c r="G78" s="858" t="s">
        <v>6720</v>
      </c>
      <c r="H78" s="849"/>
      <c r="I78" s="24">
        <v>1</v>
      </c>
      <c r="J78" s="83" t="str">
        <f t="shared" si="91"/>
        <v>V</v>
      </c>
      <c r="K78" s="24" t="str">
        <f t="shared" si="92"/>
        <v>C</v>
      </c>
      <c r="L78" s="83">
        <f t="shared" si="93"/>
        <v>3</v>
      </c>
      <c r="M78" s="83">
        <f t="shared" si="94"/>
        <v>3</v>
      </c>
      <c r="N78" s="1070"/>
      <c r="O78" s="1070"/>
      <c r="P78" s="169">
        <f t="shared" si="95"/>
        <v>3</v>
      </c>
      <c r="Q78" s="871">
        <f>1</f>
        <v>1</v>
      </c>
      <c r="R78" s="221">
        <f>S1C06</f>
        <v>1</v>
      </c>
      <c r="S78" s="221">
        <f>1</f>
        <v>1</v>
      </c>
      <c r="T78" s="221">
        <f>1</f>
        <v>1</v>
      </c>
      <c r="U78" s="687"/>
      <c r="V78" s="1071"/>
      <c r="W78" s="1071"/>
      <c r="X78" s="83">
        <f t="shared" si="96"/>
        <v>3</v>
      </c>
      <c r="Y78" s="83" cm="1">
        <f t="array" ref="Y78">IF(M78="","",IF(J78="A",INDEX(base_p,4,R78+7*(IF(O78="",M78,O78)-1)),IF(J78="E",INDEX(base_p,15,R78+7*(IF(O78="",M78,O78)-1)),INDEX(base_p,27-Q78,R78+7*(IF(O78="",M78,O78)-1)))))</f>
        <v>3</v>
      </c>
      <c r="Z78" s="83">
        <f t="shared" si="97"/>
        <v>3</v>
      </c>
      <c r="AA78" s="1092"/>
      <c r="AB78" s="83">
        <f t="shared" si="98"/>
        <v>3</v>
      </c>
      <c r="AC78" s="165"/>
      <c r="AD78" s="196" t="s">
        <v>3247</v>
      </c>
      <c r="AE78" s="165"/>
      <c r="AF78" s="165"/>
      <c r="AG78" s="1" t="str">
        <f t="shared" si="99"/>
        <v/>
      </c>
      <c r="AH78" s="1" t="str">
        <f t="shared" si="100"/>
        <v/>
      </c>
      <c r="AI78" s="1" t="str">
        <f t="shared" si="101"/>
        <v>AH.L.Phi3</v>
      </c>
      <c r="AJ78" s="1" t="str">
        <f t="shared" si="102"/>
        <v/>
      </c>
      <c r="AK78">
        <f t="shared" si="103"/>
        <v>1</v>
      </c>
      <c r="AL78">
        <f t="shared" si="104"/>
        <v>1</v>
      </c>
      <c r="AM78">
        <f t="shared" si="105"/>
        <v>1</v>
      </c>
      <c r="AN78">
        <f t="shared" si="106"/>
        <v>1</v>
      </c>
      <c r="AO78">
        <f t="shared" si="107"/>
        <v>1</v>
      </c>
      <c r="AP78">
        <f t="shared" si="108"/>
        <v>33</v>
      </c>
    </row>
    <row r="79" spans="1:42" ht="40.5" customHeight="1" x14ac:dyDescent="0.25">
      <c r="A79" s="894" t="s">
        <v>6379</v>
      </c>
      <c r="B79" s="854" t="s">
        <v>346</v>
      </c>
      <c r="C79" s="856" t="s">
        <v>309</v>
      </c>
      <c r="D79" s="854" t="str">
        <f t="shared" si="89"/>
        <v xml:space="preserve">Fichier ou base de données </v>
      </c>
      <c r="E79" s="788" t="str">
        <f t="shared" si="90"/>
        <v>Divulgation de données</v>
      </c>
      <c r="F79" s="858" t="s">
        <v>424</v>
      </c>
      <c r="G79" s="858" t="s">
        <v>6721</v>
      </c>
      <c r="H79" s="849"/>
      <c r="I79" s="24">
        <v>1</v>
      </c>
      <c r="J79" s="83" t="str">
        <f t="shared" si="91"/>
        <v>A</v>
      </c>
      <c r="K79" s="24" t="str">
        <f t="shared" si="92"/>
        <v>C</v>
      </c>
      <c r="L79" s="83">
        <f t="shared" si="93"/>
        <v>3</v>
      </c>
      <c r="M79" s="83">
        <f t="shared" si="94"/>
        <v>4</v>
      </c>
      <c r="N79" s="1070"/>
      <c r="O79" s="1070"/>
      <c r="P79" s="169">
        <f t="shared" si="95"/>
        <v>4</v>
      </c>
      <c r="Q79" s="871">
        <f>1</f>
        <v>1</v>
      </c>
      <c r="R79" s="221">
        <f>MAX(S4A02,S6B01)</f>
        <v>1</v>
      </c>
      <c r="S79" s="221">
        <f>1</f>
        <v>1</v>
      </c>
      <c r="T79" s="221">
        <f>1</f>
        <v>1</v>
      </c>
      <c r="U79" s="687"/>
      <c r="V79" s="1071"/>
      <c r="W79" s="1071"/>
      <c r="X79" s="83">
        <f t="shared" si="96"/>
        <v>3</v>
      </c>
      <c r="Y79" s="83" cm="1">
        <f t="array" ref="Y79">IF(M79="","",IF(J79="A",INDEX(base_p,4,R79+7*(IF(O79="",M79,O79)-1)),IF(J79="E",INDEX(base_p,15,R79+7*(IF(O79="",M79,O79)-1)),INDEX(base_p,27-Q79,R79+7*(IF(O79="",M79,O79)-1)))))</f>
        <v>4</v>
      </c>
      <c r="Z79" s="83">
        <f t="shared" si="97"/>
        <v>4</v>
      </c>
      <c r="AA79" s="1092"/>
      <c r="AB79" s="83">
        <f t="shared" si="98"/>
        <v>4</v>
      </c>
      <c r="AC79" s="165"/>
      <c r="AD79" s="196" t="s">
        <v>3249</v>
      </c>
      <c r="AE79" s="165"/>
      <c r="AF79" s="165"/>
      <c r="AG79" s="1" t="str">
        <f t="shared" si="99"/>
        <v/>
      </c>
      <c r="AH79" s="1" t="str">
        <f t="shared" si="100"/>
        <v/>
      </c>
      <c r="AI79" s="1" t="str">
        <f t="shared" si="101"/>
        <v/>
      </c>
      <c r="AJ79" s="1" t="str">
        <f t="shared" si="102"/>
        <v>IF.L.Vir4</v>
      </c>
      <c r="AK79">
        <f t="shared" si="103"/>
        <v>1</v>
      </c>
      <c r="AL79">
        <f t="shared" si="104"/>
        <v>1</v>
      </c>
      <c r="AM79">
        <f t="shared" si="105"/>
        <v>1</v>
      </c>
      <c r="AN79">
        <f t="shared" si="106"/>
        <v>1</v>
      </c>
      <c r="AO79">
        <f t="shared" si="107"/>
        <v>1</v>
      </c>
      <c r="AP79">
        <f t="shared" si="108"/>
        <v>34</v>
      </c>
    </row>
    <row r="80" spans="1:42" ht="51" customHeight="1" x14ac:dyDescent="0.25">
      <c r="A80" s="894" t="s">
        <v>6380</v>
      </c>
      <c r="B80" s="854" t="s">
        <v>346</v>
      </c>
      <c r="C80" s="856" t="s">
        <v>309</v>
      </c>
      <c r="D80" s="854" t="str" cm="1">
        <f t="array" ref="D80">Det</f>
        <v>Données en transit</v>
      </c>
      <c r="E80" s="788" t="str">
        <f>Dive</f>
        <v>Divulgation de données</v>
      </c>
      <c r="F80" s="858" t="s">
        <v>3208</v>
      </c>
      <c r="G80" s="858" t="s">
        <v>6717</v>
      </c>
      <c r="H80" s="850"/>
      <c r="I80" s="24">
        <v>1</v>
      </c>
      <c r="J80" s="83" t="str">
        <f t="shared" si="91"/>
        <v>V</v>
      </c>
      <c r="K80" s="24" t="str">
        <f t="shared" si="92"/>
        <v>C</v>
      </c>
      <c r="L80" s="83">
        <f t="shared" si="93"/>
        <v>3</v>
      </c>
      <c r="M80" s="83">
        <f t="shared" si="94"/>
        <v>2</v>
      </c>
      <c r="N80" s="1070"/>
      <c r="O80" s="1070"/>
      <c r="P80" s="169">
        <f t="shared" si="95"/>
        <v>3</v>
      </c>
      <c r="Q80" s="871">
        <f>1</f>
        <v>1</v>
      </c>
      <c r="R80" s="221">
        <f>S5B01</f>
        <v>1</v>
      </c>
      <c r="S80" s="221">
        <f>1</f>
        <v>1</v>
      </c>
      <c r="T80" s="221">
        <f>1</f>
        <v>1</v>
      </c>
      <c r="U80" s="687"/>
      <c r="V80" s="1071"/>
      <c r="W80" s="1071"/>
      <c r="X80" s="83">
        <f t="shared" si="96"/>
        <v>3</v>
      </c>
      <c r="Y80" s="83" cm="1">
        <f t="array" ref="Y80">IF(M80="","",IF(J80="A",INDEX(base_p,4,R80+7*(IF(O80="",M80,O80)-1)),IF(J80="E",INDEX(base_p,15,R80+7*(IF(O80="",M80,O80)-1)),INDEX(base_p,27-Q80,R80+7*(IF(O80="",M80,O80)-1)))))</f>
        <v>2</v>
      </c>
      <c r="Z80" s="83">
        <f t="shared" si="97"/>
        <v>3</v>
      </c>
      <c r="AA80" s="1092"/>
      <c r="AB80" s="83">
        <f t="shared" si="98"/>
        <v>3</v>
      </c>
      <c r="AC80" s="167"/>
      <c r="AD80" s="196" t="s">
        <v>640</v>
      </c>
      <c r="AE80" s="197"/>
      <c r="AF80" s="198"/>
      <c r="AG80" s="1" t="str">
        <f t="shared" si="99"/>
        <v/>
      </c>
      <c r="AH80" s="1" t="str">
        <f t="shared" si="100"/>
        <v/>
      </c>
      <c r="AI80" s="1" t="str">
        <f t="shared" si="101"/>
        <v>AH.L.Cap3</v>
      </c>
      <c r="AJ80" s="1" t="str">
        <f t="shared" si="102"/>
        <v/>
      </c>
      <c r="AK80">
        <f t="shared" si="103"/>
        <v>1</v>
      </c>
      <c r="AL80">
        <f t="shared" si="104"/>
        <v>1</v>
      </c>
      <c r="AM80">
        <f t="shared" si="105"/>
        <v>1</v>
      </c>
      <c r="AN80">
        <f t="shared" si="106"/>
        <v>1</v>
      </c>
      <c r="AO80">
        <f t="shared" si="107"/>
        <v>1</v>
      </c>
      <c r="AP80">
        <f t="shared" si="108"/>
        <v>32</v>
      </c>
    </row>
    <row r="81" spans="1:42" ht="51" customHeight="1" x14ac:dyDescent="0.25">
      <c r="A81" s="894" t="s">
        <v>6381</v>
      </c>
      <c r="B81" s="854" t="s">
        <v>346</v>
      </c>
      <c r="C81" s="856" t="s">
        <v>309</v>
      </c>
      <c r="D81" s="854" t="str" cm="1">
        <f t="array" ref="D81">Det</f>
        <v>Données en transit</v>
      </c>
      <c r="E81" s="788" t="str">
        <f>Dive</f>
        <v>Divulgation de données</v>
      </c>
      <c r="F81" s="858" t="s">
        <v>4804</v>
      </c>
      <c r="G81" s="858" t="s">
        <v>4771</v>
      </c>
      <c r="H81" s="850"/>
      <c r="I81" s="24">
        <v>1</v>
      </c>
      <c r="J81" s="83" t="str">
        <f t="shared" si="91"/>
        <v>V</v>
      </c>
      <c r="K81" s="24" t="str">
        <f t="shared" si="92"/>
        <v>C</v>
      </c>
      <c r="L81" s="83">
        <f t="shared" si="93"/>
        <v>3</v>
      </c>
      <c r="M81" s="83">
        <f t="shared" si="94"/>
        <v>3</v>
      </c>
      <c r="N81" s="1070"/>
      <c r="O81" s="1070"/>
      <c r="P81" s="169">
        <f t="shared" si="95"/>
        <v>3</v>
      </c>
      <c r="Q81" s="871">
        <f>1</f>
        <v>1</v>
      </c>
      <c r="R81" s="221">
        <f>S2D05</f>
        <v>1</v>
      </c>
      <c r="S81" s="221">
        <f>1</f>
        <v>1</v>
      </c>
      <c r="T81" s="221">
        <f>1</f>
        <v>1</v>
      </c>
      <c r="U81" s="687"/>
      <c r="V81" s="1071"/>
      <c r="W81" s="1071"/>
      <c r="X81" s="83">
        <f t="shared" si="96"/>
        <v>3</v>
      </c>
      <c r="Y81" s="83" cm="1">
        <f t="array" ref="Y81">IF(M81="","",IF(J81="A",INDEX(base_p,4,R81+7*(IF(O81="",M81,O81)-1)),IF(J81="E",INDEX(base_p,15,R81+7*(IF(O81="",M81,O81)-1)),INDEX(base_p,27-Q81,R81+7*(IF(O81="",M81,O81)-1)))))</f>
        <v>3</v>
      </c>
      <c r="Z81" s="83">
        <f t="shared" si="97"/>
        <v>3</v>
      </c>
      <c r="AA81" s="1092"/>
      <c r="AB81" s="83">
        <f t="shared" si="98"/>
        <v>3</v>
      </c>
      <c r="AC81" s="167"/>
      <c r="AD81" s="196" t="s">
        <v>4459</v>
      </c>
      <c r="AE81" s="197"/>
      <c r="AF81" s="198"/>
      <c r="AG81" s="1" t="str">
        <f t="shared" si="99"/>
        <v/>
      </c>
      <c r="AH81" s="1" t="str">
        <f t="shared" si="100"/>
        <v/>
      </c>
      <c r="AI81" s="1" t="str">
        <f t="shared" si="101"/>
        <v>AH.L.Cav3</v>
      </c>
      <c r="AJ81" s="1" t="str">
        <f t="shared" si="102"/>
        <v/>
      </c>
      <c r="AK81">
        <f t="shared" si="103"/>
        <v>1</v>
      </c>
      <c r="AL81">
        <f t="shared" si="104"/>
        <v>1</v>
      </c>
      <c r="AM81">
        <f t="shared" si="105"/>
        <v>1</v>
      </c>
      <c r="AN81">
        <f t="shared" si="106"/>
        <v>1</v>
      </c>
      <c r="AO81">
        <f t="shared" si="107"/>
        <v>1</v>
      </c>
      <c r="AP81">
        <f t="shared" si="108"/>
        <v>33</v>
      </c>
    </row>
    <row r="82" spans="1:42" ht="39.75" customHeight="1" x14ac:dyDescent="0.25">
      <c r="A82" s="894" t="s">
        <v>6382</v>
      </c>
      <c r="B82" s="854" t="s">
        <v>346</v>
      </c>
      <c r="C82" s="856" t="s">
        <v>309</v>
      </c>
      <c r="D82" s="854" t="str" cm="1">
        <f t="array" ref="D82">Det</f>
        <v>Données en transit</v>
      </c>
      <c r="E82" s="788" t="str">
        <f>Dive</f>
        <v>Divulgation de données</v>
      </c>
      <c r="F82" s="858" t="s">
        <v>3220</v>
      </c>
      <c r="G82" s="858" t="s">
        <v>6722</v>
      </c>
      <c r="H82" s="849"/>
      <c r="I82" s="24">
        <v>1</v>
      </c>
      <c r="J82" s="83" t="str">
        <f t="shared" si="91"/>
        <v>V</v>
      </c>
      <c r="K82" s="24" t="str">
        <f t="shared" si="92"/>
        <v>C</v>
      </c>
      <c r="L82" s="83">
        <f t="shared" si="93"/>
        <v>3</v>
      </c>
      <c r="M82" s="83">
        <f t="shared" si="94"/>
        <v>3</v>
      </c>
      <c r="N82" s="1070"/>
      <c r="O82" s="1070"/>
      <c r="P82" s="169">
        <f t="shared" si="95"/>
        <v>3</v>
      </c>
      <c r="Q82" s="871">
        <f>1</f>
        <v>1</v>
      </c>
      <c r="R82" s="221">
        <f>S1C06</f>
        <v>1</v>
      </c>
      <c r="S82" s="221">
        <f>1</f>
        <v>1</v>
      </c>
      <c r="T82" s="221">
        <f>1</f>
        <v>1</v>
      </c>
      <c r="U82" s="687"/>
      <c r="V82" s="1071"/>
      <c r="W82" s="1071"/>
      <c r="X82" s="83">
        <f t="shared" si="96"/>
        <v>3</v>
      </c>
      <c r="Y82" s="83" cm="1">
        <f t="array" ref="Y82">IF(M82="","",IF(J82="A",INDEX(base_p,4,R82+7*(IF(O82="",M82,O82)-1)),IF(J82="E",INDEX(base_p,15,R82+7*(IF(O82="",M82,O82)-1)),INDEX(base_p,27-Q82,R82+7*(IF(O82="",M82,O82)-1)))))</f>
        <v>3</v>
      </c>
      <c r="Z82" s="83">
        <f t="shared" si="97"/>
        <v>3</v>
      </c>
      <c r="AA82" s="1092"/>
      <c r="AB82" s="83">
        <f>IF(OR(AA82="A",AA82="a",AA82="E",AA82="e",AA82="T",AA82="t",Z82=""),"",Z82)</f>
        <v>3</v>
      </c>
      <c r="AC82" s="196"/>
      <c r="AD82" s="166" t="s">
        <v>3247</v>
      </c>
      <c r="AE82" s="197"/>
      <c r="AF82" s="196"/>
      <c r="AG82" s="1" t="str">
        <f t="shared" si="99"/>
        <v/>
      </c>
      <c r="AH82" s="1" t="str">
        <f t="shared" si="100"/>
        <v/>
      </c>
      <c r="AI82" s="1" t="str">
        <f t="shared" si="101"/>
        <v>AH.L.Vol3</v>
      </c>
      <c r="AJ82" s="1" t="str">
        <f t="shared" si="102"/>
        <v/>
      </c>
      <c r="AK82">
        <f t="shared" si="103"/>
        <v>1</v>
      </c>
      <c r="AL82">
        <f t="shared" si="104"/>
        <v>1</v>
      </c>
      <c r="AM82">
        <f t="shared" si="105"/>
        <v>1</v>
      </c>
      <c r="AN82">
        <f t="shared" si="106"/>
        <v>1</v>
      </c>
      <c r="AO82">
        <f t="shared" si="107"/>
        <v>1</v>
      </c>
      <c r="AP82">
        <f t="shared" si="108"/>
        <v>33</v>
      </c>
    </row>
    <row r="83" spans="1:42" ht="39.75" customHeight="1" x14ac:dyDescent="0.25">
      <c r="A83" s="894" t="s">
        <v>6383</v>
      </c>
      <c r="B83" s="854" t="s">
        <v>346</v>
      </c>
      <c r="C83" s="856" t="s">
        <v>309</v>
      </c>
      <c r="D83" s="854" t="str">
        <f>Det</f>
        <v>Données en transit</v>
      </c>
      <c r="E83" s="795" t="str">
        <f>Dive</f>
        <v>Divulgation de données</v>
      </c>
      <c r="F83" s="858" t="s">
        <v>3213</v>
      </c>
      <c r="G83" s="858" t="s">
        <v>4783</v>
      </c>
      <c r="H83" s="848"/>
      <c r="I83" s="24">
        <v>1</v>
      </c>
      <c r="J83" s="83" t="str">
        <f t="shared" si="91"/>
        <v>V</v>
      </c>
      <c r="K83" s="24" t="str">
        <f t="shared" si="92"/>
        <v>C</v>
      </c>
      <c r="L83" s="83">
        <f t="shared" si="93"/>
        <v>3</v>
      </c>
      <c r="M83" s="83">
        <f t="shared" si="94"/>
        <v>3</v>
      </c>
      <c r="N83" s="1070"/>
      <c r="O83" s="1070"/>
      <c r="P83" s="169">
        <f t="shared" si="95"/>
        <v>3</v>
      </c>
      <c r="Q83" s="871">
        <f>1</f>
        <v>1</v>
      </c>
      <c r="R83" s="221">
        <f>S4A02</f>
        <v>1</v>
      </c>
      <c r="S83" s="221">
        <f>1</f>
        <v>1</v>
      </c>
      <c r="T83" s="221">
        <f>1</f>
        <v>1</v>
      </c>
      <c r="U83" s="687"/>
      <c r="V83" s="1071"/>
      <c r="W83" s="1071"/>
      <c r="X83" s="83">
        <f t="shared" si="96"/>
        <v>3</v>
      </c>
      <c r="Y83" s="83" cm="1">
        <f t="array" ref="Y83">IF(M83="","",IF(J83="A",INDEX(base_p,4,R83+7*(IF(O83="",M83,O83)-1)),IF(J83="E",INDEX(base_p,15,R83+7*(IF(O83="",M83,O83)-1)),INDEX(base_p,27-Q83,R83+7*(IF(O83="",M83,O83)-1)))))</f>
        <v>3</v>
      </c>
      <c r="Z83" s="83">
        <f t="shared" si="97"/>
        <v>3</v>
      </c>
      <c r="AA83" s="1092"/>
      <c r="AB83" s="83">
        <f>IF(OR(AA83="A",AA83="a",AA83="E",AA83="e",AA83="T",AA83="t",Z83=""),"",Z83)</f>
        <v>3</v>
      </c>
      <c r="AC83" s="196"/>
      <c r="AD83" s="166" t="s">
        <v>650</v>
      </c>
      <c r="AE83" s="197"/>
      <c r="AF83" s="196"/>
      <c r="AG83" s="1" t="str">
        <f t="shared" si="99"/>
        <v/>
      </c>
      <c r="AH83" s="1" t="str">
        <f t="shared" si="100"/>
        <v/>
      </c>
      <c r="AI83" s="1" t="str">
        <f t="shared" si="101"/>
        <v>AH.L.Kyl3</v>
      </c>
      <c r="AJ83" s="1" t="str">
        <f t="shared" si="102"/>
        <v/>
      </c>
      <c r="AK83">
        <f t="shared" si="103"/>
        <v>1</v>
      </c>
      <c r="AL83">
        <f t="shared" si="104"/>
        <v>1</v>
      </c>
      <c r="AM83">
        <f t="shared" si="105"/>
        <v>1</v>
      </c>
      <c r="AN83">
        <f t="shared" si="106"/>
        <v>1</v>
      </c>
      <c r="AO83">
        <f t="shared" si="107"/>
        <v>1</v>
      </c>
      <c r="AP83">
        <f t="shared" si="108"/>
        <v>33</v>
      </c>
    </row>
    <row r="84" spans="1:42" ht="39.75" customHeight="1" x14ac:dyDescent="0.25">
      <c r="A84" s="894" t="s">
        <v>6384</v>
      </c>
      <c r="B84" s="854" t="s">
        <v>346</v>
      </c>
      <c r="C84" s="856" t="s">
        <v>309</v>
      </c>
      <c r="D84" s="854" t="str">
        <f>Det</f>
        <v>Données en transit</v>
      </c>
      <c r="E84" s="795" t="str">
        <f>Dive</f>
        <v>Divulgation de données</v>
      </c>
      <c r="F84" s="858" t="s">
        <v>4579</v>
      </c>
      <c r="G84" s="858" t="s">
        <v>4784</v>
      </c>
      <c r="H84" s="848"/>
      <c r="I84" s="24">
        <v>1</v>
      </c>
      <c r="J84" s="83" t="str">
        <f t="shared" si="91"/>
        <v>V</v>
      </c>
      <c r="K84" s="24" t="str">
        <f t="shared" si="92"/>
        <v>C</v>
      </c>
      <c r="L84" s="83">
        <f t="shared" si="93"/>
        <v>3</v>
      </c>
      <c r="M84" s="83">
        <f t="shared" si="94"/>
        <v>3</v>
      </c>
      <c r="N84" s="1070"/>
      <c r="O84" s="1070"/>
      <c r="P84" s="169">
        <f t="shared" si="95"/>
        <v>3</v>
      </c>
      <c r="Q84" s="871">
        <f>S2D03</f>
        <v>1</v>
      </c>
      <c r="R84" s="221">
        <f>MAX(MIN(S2D01,S2D02),S6A01)</f>
        <v>1</v>
      </c>
      <c r="S84" s="221">
        <f>1</f>
        <v>1</v>
      </c>
      <c r="T84" s="221">
        <f>1</f>
        <v>1</v>
      </c>
      <c r="U84" s="687"/>
      <c r="V84" s="1071"/>
      <c r="W84" s="1071"/>
      <c r="X84" s="83">
        <f t="shared" si="96"/>
        <v>3</v>
      </c>
      <c r="Y84" s="83" cm="1">
        <f t="array" ref="Y84">IF(M84="","",IF(J84="A",INDEX(base_p,4,R84+7*(IF(O84="",M84,O84)-1)),IF(J84="E",INDEX(base_p,15,R84+7*(IF(O84="",M84,O84)-1)),INDEX(base_p,27-Q84,R84+7*(IF(O84="",M84,O84)-1)))))</f>
        <v>3</v>
      </c>
      <c r="Z84" s="83">
        <f t="shared" si="97"/>
        <v>3</v>
      </c>
      <c r="AA84" s="1092"/>
      <c r="AB84" s="83">
        <f>IF(OR(AA84="A",AA84="a",AA84="E",AA84="e",AA84="T",AA84="t",Z84=""),"",Z84)</f>
        <v>3</v>
      </c>
      <c r="AC84" s="196" t="s">
        <v>614</v>
      </c>
      <c r="AD84" s="166" t="s">
        <v>4511</v>
      </c>
      <c r="AE84" s="197"/>
      <c r="AF84" s="196"/>
      <c r="AG84" s="1" t="str">
        <f t="shared" si="99"/>
        <v/>
      </c>
      <c r="AH84" s="1" t="str">
        <f t="shared" si="100"/>
        <v/>
      </c>
      <c r="AI84" s="1" t="str">
        <f t="shared" si="101"/>
        <v>AH.P.Kyp3</v>
      </c>
      <c r="AJ84" s="1" t="str">
        <f t="shared" si="102"/>
        <v/>
      </c>
      <c r="AK84">
        <f t="shared" si="103"/>
        <v>1</v>
      </c>
      <c r="AL84">
        <f t="shared" si="104"/>
        <v>1</v>
      </c>
      <c r="AM84">
        <f t="shared" si="105"/>
        <v>1</v>
      </c>
      <c r="AN84">
        <f t="shared" si="106"/>
        <v>1</v>
      </c>
      <c r="AO84">
        <f t="shared" si="107"/>
        <v>1</v>
      </c>
      <c r="AP84">
        <f t="shared" si="108"/>
        <v>33</v>
      </c>
    </row>
    <row r="85" spans="1:42" ht="28.5" customHeight="1" x14ac:dyDescent="0.25">
      <c r="A85" s="894" t="s">
        <v>6386</v>
      </c>
      <c r="B85" s="854" t="s">
        <v>346</v>
      </c>
      <c r="C85" s="856" t="s">
        <v>309</v>
      </c>
      <c r="D85" s="854" t="str">
        <f>Med</f>
        <v>Media support de données</v>
      </c>
      <c r="E85" s="788" t="str">
        <f t="shared" si="90"/>
        <v>Divulgation de données</v>
      </c>
      <c r="F85" s="858" t="s">
        <v>3224</v>
      </c>
      <c r="G85" s="858" t="s">
        <v>4785</v>
      </c>
      <c r="H85" s="876" t="s">
        <v>6385</v>
      </c>
      <c r="I85" s="24">
        <v>1</v>
      </c>
      <c r="J85" s="83" t="str">
        <f t="shared" si="91"/>
        <v>V</v>
      </c>
      <c r="K85" s="24" t="str">
        <f t="shared" si="92"/>
        <v>C</v>
      </c>
      <c r="L85" s="83">
        <f t="shared" si="93"/>
        <v>3</v>
      </c>
      <c r="M85" s="83">
        <f t="shared" si="94"/>
        <v>3</v>
      </c>
      <c r="N85" s="1070"/>
      <c r="O85" s="1070"/>
      <c r="P85" s="169">
        <f t="shared" si="95"/>
        <v>3</v>
      </c>
      <c r="Q85" s="871">
        <f>S2D03</f>
        <v>1</v>
      </c>
      <c r="R85" s="221">
        <f>S6B01</f>
        <v>1</v>
      </c>
      <c r="S85" s="221">
        <f>1</f>
        <v>1</v>
      </c>
      <c r="T85" s="221">
        <f>1</f>
        <v>1</v>
      </c>
      <c r="U85" s="687"/>
      <c r="V85" s="1071"/>
      <c r="W85" s="1071"/>
      <c r="X85" s="83">
        <f t="shared" si="96"/>
        <v>3</v>
      </c>
      <c r="Y85" s="83" cm="1">
        <f t="array" ref="Y85">IF(M85="","",IF(J85="A",INDEX(base_p,4,R85+7*(IF(O85="",M85,O85)-1)),IF(J85="E",INDEX(base_p,15,R85+7*(IF(O85="",M85,O85)-1)),INDEX(base_p,27-Q85,R85+7*(IF(O85="",M85,O85)-1)))))</f>
        <v>3</v>
      </c>
      <c r="Z85" s="83">
        <f t="shared" si="97"/>
        <v>3</v>
      </c>
      <c r="AA85" s="1092"/>
      <c r="AB85" s="83">
        <f t="shared" si="98"/>
        <v>3</v>
      </c>
      <c r="AC85" s="199" t="s">
        <v>614</v>
      </c>
      <c r="AD85" s="196" t="s">
        <v>646</v>
      </c>
      <c r="AE85" s="165"/>
      <c r="AF85" s="165"/>
      <c r="AG85" s="1" t="str">
        <f t="shared" si="99"/>
        <v/>
      </c>
      <c r="AH85" s="1" t="str">
        <f t="shared" si="100"/>
        <v/>
      </c>
      <c r="AI85" s="1" t="str">
        <f t="shared" si="101"/>
        <v>AH.P.Vol3</v>
      </c>
      <c r="AJ85" s="1" t="str">
        <f t="shared" si="102"/>
        <v/>
      </c>
      <c r="AK85">
        <f t="shared" si="103"/>
        <v>1</v>
      </c>
      <c r="AL85">
        <f t="shared" si="104"/>
        <v>1</v>
      </c>
      <c r="AM85">
        <f t="shared" si="105"/>
        <v>1</v>
      </c>
      <c r="AN85">
        <f t="shared" si="106"/>
        <v>1</v>
      </c>
      <c r="AO85">
        <f t="shared" si="107"/>
        <v>1</v>
      </c>
      <c r="AP85">
        <f t="shared" si="108"/>
        <v>33</v>
      </c>
    </row>
    <row r="86" spans="1:42" ht="42" customHeight="1" x14ac:dyDescent="0.25">
      <c r="A86" s="894" t="s">
        <v>6387</v>
      </c>
      <c r="B86" s="854" t="s">
        <v>346</v>
      </c>
      <c r="C86" s="856" t="s">
        <v>309</v>
      </c>
      <c r="D86" s="854" t="str">
        <f>Med</f>
        <v>Media support de données</v>
      </c>
      <c r="E86" s="788" t="str">
        <f t="shared" si="90"/>
        <v>Divulgation de données</v>
      </c>
      <c r="F86" s="858" t="s">
        <v>3224</v>
      </c>
      <c r="G86" s="858" t="s">
        <v>4785</v>
      </c>
      <c r="H86" s="848" t="s">
        <v>4747</v>
      </c>
      <c r="I86" s="24">
        <v>1</v>
      </c>
      <c r="J86" s="83" t="str">
        <f t="shared" si="91"/>
        <v>V</v>
      </c>
      <c r="K86" s="24" t="str">
        <f t="shared" si="92"/>
        <v>C</v>
      </c>
      <c r="L86" s="83">
        <f t="shared" si="93"/>
        <v>3</v>
      </c>
      <c r="M86" s="83">
        <f t="shared" si="94"/>
        <v>3</v>
      </c>
      <c r="N86" s="1070"/>
      <c r="O86" s="1070"/>
      <c r="P86" s="169">
        <f t="shared" si="95"/>
        <v>3</v>
      </c>
      <c r="Q86" s="871">
        <f>S2D03</f>
        <v>1</v>
      </c>
      <c r="R86" s="221">
        <f>MAX(MIN(S2D01,S2D02),S6B01)</f>
        <v>1</v>
      </c>
      <c r="S86" s="221">
        <f>1</f>
        <v>1</v>
      </c>
      <c r="T86" s="221">
        <f>1</f>
        <v>1</v>
      </c>
      <c r="U86" s="687"/>
      <c r="V86" s="1071"/>
      <c r="W86" s="1071"/>
      <c r="X86" s="83">
        <f t="shared" si="96"/>
        <v>3</v>
      </c>
      <c r="Y86" s="83" cm="1">
        <f t="array" ref="Y86">IF(M86="","",IF(J86="A",INDEX(base_p,4,R86+7*(IF(O86="",M86,O86)-1)),IF(J86="E",INDEX(base_p,15,R86+7*(IF(O86="",M86,O86)-1)),INDEX(base_p,27-Q86,R86+7*(IF(O86="",M86,O86)-1)))))</f>
        <v>3</v>
      </c>
      <c r="Z86" s="83">
        <f t="shared" si="97"/>
        <v>3</v>
      </c>
      <c r="AA86" s="1092"/>
      <c r="AB86" s="83">
        <f t="shared" si="98"/>
        <v>3</v>
      </c>
      <c r="AC86" s="199" t="s">
        <v>614</v>
      </c>
      <c r="AD86" s="196" t="s">
        <v>3250</v>
      </c>
      <c r="AE86" s="165"/>
      <c r="AF86" s="165"/>
      <c r="AG86" s="1" t="str">
        <f t="shared" si="99"/>
        <v/>
      </c>
      <c r="AH86" s="1" t="str">
        <f t="shared" si="100"/>
        <v/>
      </c>
      <c r="AI86" s="1" t="str">
        <f t="shared" si="101"/>
        <v>AH.P.Vol3</v>
      </c>
      <c r="AJ86" s="1" t="str">
        <f t="shared" si="102"/>
        <v/>
      </c>
      <c r="AK86">
        <f t="shared" si="103"/>
        <v>1</v>
      </c>
      <c r="AL86">
        <f t="shared" si="104"/>
        <v>1</v>
      </c>
      <c r="AM86">
        <f t="shared" si="105"/>
        <v>1</v>
      </c>
      <c r="AN86">
        <f t="shared" si="106"/>
        <v>1</v>
      </c>
      <c r="AO86">
        <f t="shared" si="107"/>
        <v>1</v>
      </c>
      <c r="AP86">
        <f t="shared" si="108"/>
        <v>33</v>
      </c>
    </row>
    <row r="87" spans="1:42" ht="39" customHeight="1" x14ac:dyDescent="0.25">
      <c r="A87" s="894" t="s">
        <v>6388</v>
      </c>
      <c r="B87" s="854" t="s">
        <v>346</v>
      </c>
      <c r="C87" s="856" t="s">
        <v>309</v>
      </c>
      <c r="D87" s="854" t="str">
        <f>Med</f>
        <v>Media support de données</v>
      </c>
      <c r="E87" s="788" t="str">
        <f t="shared" si="90"/>
        <v>Divulgation de données</v>
      </c>
      <c r="F87" s="858" t="s">
        <v>3224</v>
      </c>
      <c r="G87" s="858" t="s">
        <v>4785</v>
      </c>
      <c r="H87" s="848" t="s">
        <v>4738</v>
      </c>
      <c r="I87" s="24">
        <v>1</v>
      </c>
      <c r="J87" s="83" t="str">
        <f t="shared" si="91"/>
        <v>V</v>
      </c>
      <c r="K87" s="24" t="str">
        <f t="shared" si="92"/>
        <v>C</v>
      </c>
      <c r="L87" s="83">
        <f t="shared" si="93"/>
        <v>3</v>
      </c>
      <c r="M87" s="83">
        <f t="shared" si="94"/>
        <v>3</v>
      </c>
      <c r="N87" s="1070"/>
      <c r="O87" s="1070"/>
      <c r="P87" s="169">
        <f t="shared" si="95"/>
        <v>3</v>
      </c>
      <c r="Q87" s="871">
        <f>1</f>
        <v>1</v>
      </c>
      <c r="R87" s="221">
        <f>MAX(S4E03,S6B01)</f>
        <v>1</v>
      </c>
      <c r="S87" s="221">
        <f>1</f>
        <v>1</v>
      </c>
      <c r="T87" s="221">
        <f>1</f>
        <v>1</v>
      </c>
      <c r="U87" s="687"/>
      <c r="V87" s="1071"/>
      <c r="W87" s="1071"/>
      <c r="X87" s="83">
        <f t="shared" si="96"/>
        <v>3</v>
      </c>
      <c r="Y87" s="83" cm="1">
        <f t="array" ref="Y87">IF(M87="","",IF(J87="A",INDEX(base_p,4,R87+7*(IF(O87="",M87,O87)-1)),IF(J87="E",INDEX(base_p,15,R87+7*(IF(O87="",M87,O87)-1)),INDEX(base_p,27-Q87,R87+7*(IF(O87="",M87,O87)-1)))))</f>
        <v>3</v>
      </c>
      <c r="Z87" s="83">
        <f t="shared" si="97"/>
        <v>3</v>
      </c>
      <c r="AA87" s="1092"/>
      <c r="AB87" s="83">
        <f t="shared" si="98"/>
        <v>3</v>
      </c>
      <c r="AC87" s="199"/>
      <c r="AD87" s="196" t="s">
        <v>2107</v>
      </c>
      <c r="AE87" s="165"/>
      <c r="AF87" s="165"/>
      <c r="AG87" s="1" t="str">
        <f t="shared" si="99"/>
        <v/>
      </c>
      <c r="AH87" s="1" t="str">
        <f t="shared" si="100"/>
        <v/>
      </c>
      <c r="AI87" s="1" t="str">
        <f t="shared" si="101"/>
        <v>AH.P.Vol3</v>
      </c>
      <c r="AJ87" s="1" t="str">
        <f t="shared" si="102"/>
        <v/>
      </c>
      <c r="AK87">
        <f t="shared" si="103"/>
        <v>1</v>
      </c>
      <c r="AL87">
        <f t="shared" si="104"/>
        <v>1</v>
      </c>
      <c r="AM87">
        <f t="shared" si="105"/>
        <v>1</v>
      </c>
      <c r="AN87">
        <f t="shared" si="106"/>
        <v>1</v>
      </c>
      <c r="AO87">
        <f t="shared" si="107"/>
        <v>1</v>
      </c>
      <c r="AP87">
        <f t="shared" si="108"/>
        <v>33</v>
      </c>
    </row>
    <row r="88" spans="1:42" ht="20.25" customHeight="1" x14ac:dyDescent="0.25">
      <c r="A88" s="866" t="s">
        <v>6394</v>
      </c>
      <c r="B88" s="1325"/>
      <c r="C88" s="1325"/>
      <c r="D88" s="1325"/>
      <c r="E88" s="1325"/>
      <c r="F88" s="1325"/>
      <c r="G88" s="1325"/>
      <c r="H88" s="1325"/>
      <c r="I88" s="24"/>
      <c r="J88" s="83"/>
      <c r="K88" s="24"/>
      <c r="L88" s="83"/>
      <c r="M88" s="83"/>
      <c r="N88" s="1070"/>
      <c r="O88" s="1070"/>
      <c r="P88" s="169"/>
      <c r="Q88" s="871"/>
      <c r="R88" s="221"/>
      <c r="S88" s="221"/>
      <c r="T88" s="221"/>
      <c r="U88" s="687">
        <f>1</f>
        <v>1</v>
      </c>
      <c r="V88" s="1071"/>
      <c r="W88" s="1071"/>
      <c r="X88" s="83"/>
      <c r="Y88" s="83"/>
      <c r="Z88" s="83"/>
      <c r="AA88" s="1092"/>
      <c r="AB88" s="83"/>
      <c r="AC88" s="510"/>
      <c r="AD88" s="83"/>
      <c r="AE88" s="510"/>
      <c r="AF88" s="83"/>
      <c r="AG88" s="1"/>
      <c r="AH88" s="1"/>
      <c r="AI88" s="1"/>
      <c r="AJ88" s="1"/>
    </row>
    <row r="89" spans="1:42" ht="39.75" customHeight="1" x14ac:dyDescent="0.25">
      <c r="A89" s="894" t="s">
        <v>6391</v>
      </c>
      <c r="B89" s="854" t="s">
        <v>348</v>
      </c>
      <c r="C89" s="856" t="s">
        <v>539</v>
      </c>
      <c r="D89" s="854" t="str">
        <f>Doc</f>
        <v>Document</v>
      </c>
      <c r="E89" s="860" t="str">
        <f>Disp</f>
        <v>Disparition</v>
      </c>
      <c r="F89" s="858" t="s">
        <v>3224</v>
      </c>
      <c r="G89" s="858" t="s">
        <v>4786</v>
      </c>
      <c r="H89" s="895" t="s">
        <v>6389</v>
      </c>
      <c r="I89" s="24">
        <v>1</v>
      </c>
      <c r="J89" s="83" t="str">
        <f>VLOOKUP($F89,Tab_event,5)</f>
        <v>V</v>
      </c>
      <c r="K89" s="24" t="str">
        <f>C89</f>
        <v>D</v>
      </c>
      <c r="L89" s="83">
        <f>IF(VLOOKUP($B89,Tab_classif,8,FALSE)=1,VLOOKUP($B89,Tab_classif,IF(C89="D",4,IF(C89="I",5,IF(C89="C",6,7))),FALSE),1)</f>
        <v>1</v>
      </c>
      <c r="M89" s="83">
        <f>VLOOKUP($F89,Tab_event,3,FALSE)</f>
        <v>3</v>
      </c>
      <c r="N89" s="1070"/>
      <c r="O89" s="1070"/>
      <c r="P89" s="169">
        <f>IF(AND(NOT(L89=""),NOT(M89="")),INDEX(base_g,5-IF(N89="",L89,N89),IF(O89="",M89,O89)),"")</f>
        <v>1</v>
      </c>
      <c r="Q89" s="871">
        <f>S2D03</f>
        <v>1</v>
      </c>
      <c r="R89" s="221">
        <f>S2E01</f>
        <v>1</v>
      </c>
      <c r="S89" s="221">
        <f>1</f>
        <v>1</v>
      </c>
      <c r="T89" s="221">
        <f>1</f>
        <v>1</v>
      </c>
      <c r="U89" s="687"/>
      <c r="V89" s="1071"/>
      <c r="W89" s="1071"/>
      <c r="X89" s="83">
        <f>IF(L89="","",IF(K89="D",INDEX(base_i,IF(U89=0,4,5-S89),T89+7*(IF(N89="",L89,N89)-1)),IF(K89="I",INDEX(base_i,IF(U89=0,15,16-S89),T89+7*(IF(N89="",L89,N89)-1)),IF(K89="C",INDEX(base_i,IF(U89=0,26,27-S89),T89+7*(IF(N89="",L89,N89)-1)),INDEX(base_i,38-S89,T89+7*(IF(N89="",L89,N89)-1))))))</f>
        <v>1</v>
      </c>
      <c r="Y89" s="83" cm="1">
        <f t="array" ref="Y89">IF(M89="","",IF(J89="A",INDEX(base_p,4,R89+7*(IF(O89="",M89,O89)-1)),IF(J89="E",INDEX(base_p,15,R89+7*(IF(O89="",M89,O89)-1)),INDEX(base_p,27-Q89,R89+7*(IF(O89="",M89,O89)-1)))))</f>
        <v>3</v>
      </c>
      <c r="Z89" s="83" t="str">
        <f>IF(AO89=1,IF(IndG&gt;1,IF(AND(OR(NOT(X89=""),NOT(V89="")),OR(NOT(Y89=""),NOT(W89="")),I89=1),INDEX(base_g,5-IF(V89="",X89,V89),IF(W89="",Y89,W89)),""),P89),"")</f>
        <v/>
      </c>
      <c r="AA89" s="1092"/>
      <c r="AB89" s="83" t="str">
        <f>IF(OR(AA89="A",AA89="a",AA89="E",AA89="e",AA89="T",AA89="t",Z89=""),"",Z89)</f>
        <v/>
      </c>
      <c r="AC89" s="196" t="s">
        <v>614</v>
      </c>
      <c r="AD89" s="196" t="s">
        <v>652</v>
      </c>
      <c r="AE89" s="197"/>
      <c r="AF89" s="198"/>
      <c r="AG89" s="1" t="str">
        <f>IF($AB89=1,$F89&amp;$AB89,"")</f>
        <v/>
      </c>
      <c r="AH89" s="1" t="str">
        <f>IF($AB89=2,$F89&amp;$AB89,"")</f>
        <v/>
      </c>
      <c r="AI89" s="1" t="str">
        <f>IF($AB89=3,$F89&amp;$AB89,"")</f>
        <v/>
      </c>
      <c r="AJ89" s="1" t="str">
        <f>IF($AB89=4,$F89&amp;$AB89,"")</f>
        <v/>
      </c>
      <c r="AK89">
        <f>VLOOKUP($B89,Tab_classif,8,FALSE)</f>
        <v>0</v>
      </c>
      <c r="AL89">
        <f>VLOOKUP(D89,Tab_ActS,2,FALSE)</f>
        <v>1</v>
      </c>
      <c r="AM89">
        <f>VLOOKUP(E89,Tab_SDom,3,FALSE)</f>
        <v>1</v>
      </c>
      <c r="AN89">
        <f>VLOOKUP($F89,Tab_event,4,FALSE)</f>
        <v>1</v>
      </c>
      <c r="AO89">
        <f>I89*AK89*AL89*AM89*AN89</f>
        <v>0</v>
      </c>
      <c r="AP89" t="str">
        <f>IF(AND(AO89=1,AA89=""),IF(IndG=1,10*L89+M89,10*X89+Y89),"")</f>
        <v/>
      </c>
    </row>
    <row r="90" spans="1:42" ht="39.75" customHeight="1" x14ac:dyDescent="0.25">
      <c r="A90" s="894" t="s">
        <v>6392</v>
      </c>
      <c r="B90" s="854" t="s">
        <v>348</v>
      </c>
      <c r="C90" s="856" t="s">
        <v>539</v>
      </c>
      <c r="D90" s="854" t="str">
        <f>Doc</f>
        <v>Document</v>
      </c>
      <c r="E90" s="860" t="str">
        <f>Disp</f>
        <v>Disparition</v>
      </c>
      <c r="F90" s="858" t="s">
        <v>3224</v>
      </c>
      <c r="G90" s="858" t="s">
        <v>4786</v>
      </c>
      <c r="H90" s="896" t="s">
        <v>6390</v>
      </c>
      <c r="I90" s="24">
        <v>1</v>
      </c>
      <c r="J90" s="83" t="str">
        <f>VLOOKUP($F90,Tab_event,5)</f>
        <v>V</v>
      </c>
      <c r="K90" s="24" t="str">
        <f>C90</f>
        <v>D</v>
      </c>
      <c r="L90" s="83">
        <f>IF(VLOOKUP($B90,Tab_classif,8,FALSE)=1,VLOOKUP($B90,Tab_classif,IF(C90="D",4,IF(C90="I",5,IF(C90="C",6,7))),FALSE),1)</f>
        <v>1</v>
      </c>
      <c r="M90" s="83">
        <f>VLOOKUP($F90,Tab_event,3,FALSE)</f>
        <v>3</v>
      </c>
      <c r="N90" s="1070"/>
      <c r="O90" s="1070"/>
      <c r="P90" s="169">
        <f>IF(AND(NOT(L90=""),NOT(M90="")),INDEX(base_g,5-IF(N90="",L90,N90),IF(O90="",M90,O90)),"")</f>
        <v>1</v>
      </c>
      <c r="Q90" s="871">
        <f>S2D03</f>
        <v>1</v>
      </c>
      <c r="R90" s="221">
        <f>MAX(MIN(S2D01,S2D02,S2D04),S2E01)</f>
        <v>1</v>
      </c>
      <c r="S90" s="221">
        <f>1</f>
        <v>1</v>
      </c>
      <c r="T90" s="221">
        <f>1</f>
        <v>1</v>
      </c>
      <c r="U90" s="687"/>
      <c r="V90" s="1071"/>
      <c r="W90" s="1071"/>
      <c r="X90" s="83">
        <f>IF(L90="","",IF(K90="D",INDEX(base_i,IF(U90=0,4,5-S90),T90+7*(IF(N90="",L90,N90)-1)),IF(K90="I",INDEX(base_i,IF(U90=0,15,16-S90),T90+7*(IF(N90="",L90,N90)-1)),IF(K90="C",INDEX(base_i,IF(U90=0,26,27-S90),T90+7*(IF(N90="",L90,N90)-1)),INDEX(base_i,38-S90,T90+7*(IF(N90="",L90,N90)-1))))))</f>
        <v>1</v>
      </c>
      <c r="Y90" s="83" cm="1">
        <f t="array" ref="Y90">IF(M90="","",IF(J90="A",INDEX(base_p,4,R90+7*(IF(O90="",M90,O90)-1)),IF(J90="E",INDEX(base_p,15,R90+7*(IF(O90="",M90,O90)-1)),INDEX(base_p,27-Q90,R90+7*(IF(O90="",M90,O90)-1)))))</f>
        <v>3</v>
      </c>
      <c r="Z90" s="83" t="str">
        <f>IF(AO90=1,IF(IndG&gt;1,IF(AND(OR(NOT(X90=""),NOT(V90="")),OR(NOT(Y90=""),NOT(W90="")),I90=1),INDEX(base_g,5-IF(V90="",X90,V90),IF(W90="",Y90,W90)),""),P90),"")</f>
        <v/>
      </c>
      <c r="AA90" s="1092"/>
      <c r="AB90" s="83" t="str">
        <f>IF(OR(AA90="A",AA90="a",AA90="E",AA90="e",AA90="T",AA90="t",Z90=""),"",Z90)</f>
        <v/>
      </c>
      <c r="AC90" s="196" t="s">
        <v>614</v>
      </c>
      <c r="AD90" s="196" t="s">
        <v>4366</v>
      </c>
      <c r="AE90" s="197"/>
      <c r="AF90" s="198"/>
      <c r="AG90" s="1" t="str">
        <f>IF($AB90=1,$F90&amp;$AB90,"")</f>
        <v/>
      </c>
      <c r="AH90" s="1" t="str">
        <f>IF($AB90=2,$F90&amp;$AB90,"")</f>
        <v/>
      </c>
      <c r="AI90" s="1" t="str">
        <f>IF($AB90=3,$F90&amp;$AB90,"")</f>
        <v/>
      </c>
      <c r="AJ90" s="1" t="str">
        <f>IF($AB90=4,$F90&amp;$AB90,"")</f>
        <v/>
      </c>
      <c r="AK90">
        <f>VLOOKUP($B90,Tab_classif,8,FALSE)</f>
        <v>0</v>
      </c>
      <c r="AL90">
        <f>VLOOKUP(D90,Tab_ActS,2,FALSE)</f>
        <v>1</v>
      </c>
      <c r="AM90">
        <f>VLOOKUP(E90,Tab_SDom,3,FALSE)</f>
        <v>1</v>
      </c>
      <c r="AN90">
        <f>VLOOKUP($F90,Tab_event,4,FALSE)</f>
        <v>1</v>
      </c>
      <c r="AO90">
        <f>I90*AK90*AL90*AM90*AN90</f>
        <v>0</v>
      </c>
      <c r="AP90" t="str">
        <f>IF(AND(AO90=1,AA90=""),IF(IndG=1,10*L90+M90,10*X90+Y90),"")</f>
        <v/>
      </c>
    </row>
    <row r="91" spans="1:42" ht="39.75" customHeight="1" x14ac:dyDescent="0.25">
      <c r="A91" s="894" t="s">
        <v>6393</v>
      </c>
      <c r="B91" s="854" t="s">
        <v>348</v>
      </c>
      <c r="C91" s="856" t="s">
        <v>539</v>
      </c>
      <c r="D91" s="854" t="str">
        <f>Doc</f>
        <v>Document</v>
      </c>
      <c r="E91" s="860" t="str">
        <f>Disp</f>
        <v>Disparition</v>
      </c>
      <c r="F91" s="858" t="s">
        <v>3224</v>
      </c>
      <c r="G91" s="858" t="s">
        <v>4786</v>
      </c>
      <c r="H91" s="850" t="s">
        <v>4748</v>
      </c>
      <c r="I91" s="24">
        <v>1</v>
      </c>
      <c r="J91" s="83" t="str">
        <f>VLOOKUP($F91,Tab_event,5)</f>
        <v>V</v>
      </c>
      <c r="K91" s="24" t="str">
        <f>C91</f>
        <v>D</v>
      </c>
      <c r="L91" s="83">
        <f>IF(VLOOKUP($B91,Tab_classif,8,FALSE)=1,VLOOKUP($B91,Tab_classif,IF(C91="D",4,IF(C91="I",5,IF(C91="C",6,7))),FALSE),1)</f>
        <v>1</v>
      </c>
      <c r="M91" s="83">
        <f>VLOOKUP($F91,Tab_event,3,FALSE)</f>
        <v>3</v>
      </c>
      <c r="N91" s="1070"/>
      <c r="O91" s="1070"/>
      <c r="P91" s="169">
        <f>IF(AND(NOT(L91=""),NOT(M91="")),INDEX(base_g,5-IF(N91="",L91,N91),IF(O91="",M91,O91)),"")</f>
        <v>1</v>
      </c>
      <c r="Q91" s="871">
        <f>1</f>
        <v>1</v>
      </c>
      <c r="R91" s="221">
        <f>S6B05</f>
        <v>1</v>
      </c>
      <c r="S91" s="221">
        <f>1</f>
        <v>1</v>
      </c>
      <c r="T91" s="221">
        <f>1</f>
        <v>1</v>
      </c>
      <c r="U91" s="687"/>
      <c r="V91" s="1071"/>
      <c r="W91" s="1071"/>
      <c r="X91" s="83">
        <f>IF(L91="","",IF(K91="D",INDEX(base_i,IF(U91=0,4,5-S91),T91+7*(IF(N91="",L91,N91)-1)),IF(K91="I",INDEX(base_i,IF(U91=0,15,16-S91),T91+7*(IF(N91="",L91,N91)-1)),IF(K91="C",INDEX(base_i,IF(U91=0,26,27-S91),T91+7*(IF(N91="",L91,N91)-1)),INDEX(base_i,38-S91,T91+7*(IF(N91="",L91,N91)-1))))))</f>
        <v>1</v>
      </c>
      <c r="Y91" s="83" cm="1">
        <f t="array" ref="Y91">IF(M91="","",IF(J91="A",INDEX(base_p,4,R91+7*(IF(O91="",M91,O91)-1)),IF(J91="E",INDEX(base_p,15,R91+7*(IF(O91="",M91,O91)-1)),INDEX(base_p,27-Q91,R91+7*(IF(O91="",M91,O91)-1)))))</f>
        <v>3</v>
      </c>
      <c r="Z91" s="83" t="str">
        <f>IF(AO91=1,IF(IndG&gt;1,IF(AND(OR(NOT(X91=""),NOT(V91="")),OR(NOT(Y91=""),NOT(W91="")),I91=1),INDEX(base_g,5-IF(V91="",X91,V91),IF(W91="",Y91,W91)),""),P91),"")</f>
        <v/>
      </c>
      <c r="AA91" s="1092"/>
      <c r="AB91" s="83" t="str">
        <f t="shared" si="98"/>
        <v/>
      </c>
      <c r="AC91" s="196"/>
      <c r="AD91" s="196" t="s">
        <v>795</v>
      </c>
      <c r="AE91" s="197"/>
      <c r="AF91" s="198"/>
      <c r="AG91" s="1" t="str">
        <f>IF($AB91=1,$F91&amp;$AB91,"")</f>
        <v/>
      </c>
      <c r="AH91" s="1" t="str">
        <f>IF($AB91=2,$F91&amp;$AB91,"")</f>
        <v/>
      </c>
      <c r="AI91" s="1" t="str">
        <f>IF($AB91=3,$F91&amp;$AB91,"")</f>
        <v/>
      </c>
      <c r="AJ91" s="1" t="str">
        <f>IF($AB91=4,$F91&amp;$AB91,"")</f>
        <v/>
      </c>
      <c r="AK91">
        <f>VLOOKUP($B91,Tab_classif,8,FALSE)</f>
        <v>0</v>
      </c>
      <c r="AL91">
        <f>VLOOKUP(D91,Tab_ActS,2,FALSE)</f>
        <v>1</v>
      </c>
      <c r="AM91">
        <f>VLOOKUP(E91,Tab_SDom,3,FALSE)</f>
        <v>1</v>
      </c>
      <c r="AN91">
        <f>VLOOKUP($F91,Tab_event,4,FALSE)</f>
        <v>1</v>
      </c>
      <c r="AO91">
        <f>I91*AK91*AL91*AM91*AN91</f>
        <v>0</v>
      </c>
      <c r="AP91" t="str">
        <f>IF(AND(AO91=1,AA91=""),IF(IndG=1,10*L91+M91,10*X91+Y91),"")</f>
        <v/>
      </c>
    </row>
    <row r="92" spans="1:42" ht="39.75" customHeight="1" x14ac:dyDescent="0.25">
      <c r="A92" s="894" t="s">
        <v>6395</v>
      </c>
      <c r="B92" s="854" t="s">
        <v>348</v>
      </c>
      <c r="C92" s="856" t="s">
        <v>539</v>
      </c>
      <c r="D92" s="854" t="str">
        <f>Doc</f>
        <v>Document</v>
      </c>
      <c r="E92" s="862" t="str">
        <f>Endp</f>
        <v>Endommagement physique</v>
      </c>
      <c r="F92" s="858" t="s">
        <v>3229</v>
      </c>
      <c r="G92" s="858" t="s">
        <v>3231</v>
      </c>
      <c r="H92" s="863"/>
      <c r="I92" s="24">
        <v>1</v>
      </c>
      <c r="J92" s="83" t="str">
        <f>VLOOKUP($F92,Tab_event,5)</f>
        <v>A</v>
      </c>
      <c r="K92" s="24" t="str">
        <f>C92</f>
        <v>D</v>
      </c>
      <c r="L92" s="83">
        <f>IF(VLOOKUP($B92,Tab_classif,8,FALSE)=1,VLOOKUP($B92,Tab_classif,IF(C92="D",4,IF(C92="I",5,IF(C92="C",6,7))),FALSE),1)</f>
        <v>1</v>
      </c>
      <c r="M92" s="83">
        <f>VLOOKUP($F92,Tab_event,3,FALSE)</f>
        <v>2</v>
      </c>
      <c r="N92" s="1070"/>
      <c r="O92" s="1070"/>
      <c r="P92" s="169">
        <f>IF(AND(NOT(L92=""),NOT(M92="")),INDEX(base_g,5-IF(N92="",L92,N92),IF(O92="",M92,O92)),"")</f>
        <v>1</v>
      </c>
      <c r="Q92" s="871">
        <f>1</f>
        <v>1</v>
      </c>
      <c r="R92" s="221">
        <f>S2E01</f>
        <v>1</v>
      </c>
      <c r="S92" s="221">
        <f>S2A03</f>
        <v>1</v>
      </c>
      <c r="T92" s="221">
        <f>1</f>
        <v>1</v>
      </c>
      <c r="U92" s="687"/>
      <c r="V92" s="1071"/>
      <c r="W92" s="1071"/>
      <c r="X92" s="83">
        <f>IF(L92="","",IF(K92="D",INDEX(base_i,IF(U92=0,4,5-S92),T92+7*(IF(N92="",L92,N92)-1)),IF(K92="I",INDEX(base_i,IF(U92=0,15,16-S92),T92+7*(IF(N92="",L92,N92)-1)),IF(K92="C",INDEX(base_i,IF(U92=0,26,27-S92),T92+7*(IF(N92="",L92,N92)-1)),INDEX(base_i,38-S92,T92+7*(IF(N92="",L92,N92)-1))))))</f>
        <v>1</v>
      </c>
      <c r="Y92" s="83" cm="1">
        <f t="array" ref="Y92">IF(M92="","",IF(J92="A",INDEX(base_p,4,R92+7*(IF(O92="",M92,O92)-1)),IF(J92="E",INDEX(base_p,15,R92+7*(IF(O92="",M92,O92)-1)),INDEX(base_p,27-Q92,R92+7*(IF(O92="",M92,O92)-1)))))</f>
        <v>2</v>
      </c>
      <c r="Z92" s="83" t="str">
        <f>IF(AO92=1,IF(IndG&gt;1,IF(AND(OR(NOT(X92=""),NOT(V92="")),OR(NOT(Y92=""),NOT(W92="")),I92=1),INDEX(base_g,5-IF(V92="",X92,V92),IF(W92="",Y92,W92)),""),P92),"")</f>
        <v/>
      </c>
      <c r="AA92" s="1092"/>
      <c r="AB92" s="83" t="str">
        <f t="shared" si="98"/>
        <v/>
      </c>
      <c r="AC92" s="198"/>
      <c r="AD92" s="196" t="s">
        <v>652</v>
      </c>
      <c r="AE92" s="197" t="s">
        <v>632</v>
      </c>
      <c r="AF92" s="198"/>
      <c r="AG92" s="1" t="str">
        <f>IF($AB92=1,$F92&amp;$AB92,"")</f>
        <v/>
      </c>
      <c r="AH92" s="1" t="str">
        <f>IF($AB92=2,$F92&amp;$AB92,"")</f>
        <v/>
      </c>
      <c r="AI92" s="1" t="str">
        <f>IF($AB92=3,$F92&amp;$AB92,"")</f>
        <v/>
      </c>
      <c r="AJ92" s="1" t="str">
        <f>IF($AB92=4,$F92&amp;$AB92,"")</f>
        <v/>
      </c>
      <c r="AK92">
        <f>VLOOKUP($B92,Tab_classif,8,FALSE)</f>
        <v>0</v>
      </c>
      <c r="AL92">
        <f>VLOOKUP(D92,Tab_ActS,2,FALSE)</f>
        <v>1</v>
      </c>
      <c r="AM92">
        <f>VLOOKUP(E92,Tab_SDom,3,FALSE)</f>
        <v>1</v>
      </c>
      <c r="AN92">
        <f>VLOOKUP($F92,Tab_event,4,FALSE)</f>
        <v>1</v>
      </c>
      <c r="AO92">
        <f>I92*AK92*AL92*AM92*AN92</f>
        <v>0</v>
      </c>
      <c r="AP92" t="str">
        <f>IF(AND(AO92=1,AA92=""),IF(IndG=1,10*L92+M92,10*X92+Y92),"")</f>
        <v/>
      </c>
    </row>
    <row r="93" spans="1:42" ht="39.75" customHeight="1" x14ac:dyDescent="0.25">
      <c r="A93" s="894" t="s">
        <v>6396</v>
      </c>
      <c r="B93" s="854" t="s">
        <v>348</v>
      </c>
      <c r="C93" s="856" t="s">
        <v>539</v>
      </c>
      <c r="D93" s="854" t="str">
        <f>Doc</f>
        <v>Document</v>
      </c>
      <c r="E93" s="862" t="str">
        <f>Endp</f>
        <v>Endommagement physique</v>
      </c>
      <c r="F93" s="858" t="s">
        <v>3203</v>
      </c>
      <c r="G93" s="858" t="s">
        <v>3202</v>
      </c>
      <c r="H93" s="859"/>
      <c r="I93" s="24">
        <v>1</v>
      </c>
      <c r="J93" s="83" t="str">
        <f>VLOOKUP($F93,Tab_event,5)</f>
        <v>A</v>
      </c>
      <c r="K93" s="24" t="str">
        <f>C93</f>
        <v>D</v>
      </c>
      <c r="L93" s="83">
        <f>IF(VLOOKUP($B93,Tab_classif,8,FALSE)=1,VLOOKUP($B93,Tab_classif,IF(C93="D",4,IF(C93="I",5,IF(C93="C",6,7))),FALSE),1)</f>
        <v>1</v>
      </c>
      <c r="M93" s="83">
        <f>VLOOKUP($F93,Tab_event,3,FALSE)</f>
        <v>2</v>
      </c>
      <c r="N93" s="1070"/>
      <c r="O93" s="1070"/>
      <c r="P93" s="169">
        <f>IF(AND(NOT(L93=""),NOT(M93="")),INDEX(base_g,5-IF(N93="",L93,N93),IF(O93="",M93,O93)),"")</f>
        <v>1</v>
      </c>
      <c r="Q93" s="871">
        <f>1</f>
        <v>1</v>
      </c>
      <c r="R93" s="221">
        <f>S2E01</f>
        <v>1</v>
      </c>
      <c r="S93" s="221">
        <f>1</f>
        <v>1</v>
      </c>
      <c r="T93" s="221">
        <f>1</f>
        <v>1</v>
      </c>
      <c r="U93" s="687"/>
      <c r="V93" s="1071"/>
      <c r="W93" s="1071"/>
      <c r="X93" s="83">
        <f>IF(L93="","",IF(K93="D",INDEX(base_i,IF(U93=0,4,5-S93),T93+7*(IF(N93="",L93,N93)-1)),IF(K93="I",INDEX(base_i,IF(U93=0,15,16-S93),T93+7*(IF(N93="",L93,N93)-1)),IF(K93="C",INDEX(base_i,IF(U93=0,26,27-S93),T93+7*(IF(N93="",L93,N93)-1)),INDEX(base_i,38-S93,T93+7*(IF(N93="",L93,N93)-1))))))</f>
        <v>1</v>
      </c>
      <c r="Y93" s="83" cm="1">
        <f t="array" ref="Y93">IF(M93="","",IF(J93="A",INDEX(base_p,4,R93+7*(IF(O93="",M93,O93)-1)),IF(J93="E",INDEX(base_p,15,R93+7*(IF(O93="",M93,O93)-1)),INDEX(base_p,27-Q93,R93+7*(IF(O93="",M93,O93)-1)))))</f>
        <v>2</v>
      </c>
      <c r="Z93" s="83" t="str">
        <f>IF(AO93=1,IF(IndG&gt;1,IF(AND(OR(NOT(X93=""),NOT(V93="")),OR(NOT(Y93=""),NOT(W93="")),I93=1),INDEX(base_g,5-IF(V93="",X93,V93),IF(W93="",Y93,W93)),""),P93),"")</f>
        <v/>
      </c>
      <c r="AA93" s="1092"/>
      <c r="AB93" s="83" t="str">
        <f t="shared" si="98"/>
        <v/>
      </c>
      <c r="AC93" s="198"/>
      <c r="AD93" s="196" t="s">
        <v>652</v>
      </c>
      <c r="AE93" s="197"/>
      <c r="AF93" s="198"/>
      <c r="AG93" s="1" t="str">
        <f>IF($AB93=1,$F93&amp;$AB93,"")</f>
        <v/>
      </c>
      <c r="AH93" s="1" t="str">
        <f>IF($AB93=2,$F93&amp;$AB93,"")</f>
        <v/>
      </c>
      <c r="AI93" s="1" t="str">
        <f>IF($AB93=3,$F93&amp;$AB93,"")</f>
        <v/>
      </c>
      <c r="AJ93" s="1" t="str">
        <f>IF($AB93=4,$F93&amp;$AB93,"")</f>
        <v/>
      </c>
      <c r="AK93">
        <f>VLOOKUP($B93,Tab_classif,8,FALSE)</f>
        <v>0</v>
      </c>
      <c r="AL93">
        <f>VLOOKUP(D93,Tab_ActS,2,FALSE)</f>
        <v>1</v>
      </c>
      <c r="AM93">
        <f>VLOOKUP(E93,Tab_SDom,3,FALSE)</f>
        <v>1</v>
      </c>
      <c r="AN93">
        <f>VLOOKUP($F93,Tab_event,4,FALSE)</f>
        <v>1</v>
      </c>
      <c r="AO93">
        <f>I93*AK93*AL93*AM93*AN93</f>
        <v>0</v>
      </c>
      <c r="AP93" t="str">
        <f>IF(AND(AO93=1,AA93=""),IF(IndG=1,10*L93+M93,10*X93+Y93),"")</f>
        <v/>
      </c>
    </row>
    <row r="94" spans="1:42" ht="20.25" customHeight="1" x14ac:dyDescent="0.25">
      <c r="A94" s="866" t="s">
        <v>6397</v>
      </c>
      <c r="B94" s="1325"/>
      <c r="C94" s="1325"/>
      <c r="D94" s="1325"/>
      <c r="E94" s="1325"/>
      <c r="F94" s="1325"/>
      <c r="G94" s="1325"/>
      <c r="H94" s="1325"/>
      <c r="I94" s="24"/>
      <c r="J94" s="83"/>
      <c r="K94" s="24"/>
      <c r="L94" s="83"/>
      <c r="M94" s="83"/>
      <c r="N94" s="1070"/>
      <c r="O94" s="1070"/>
      <c r="P94" s="169"/>
      <c r="Q94" s="871"/>
      <c r="R94" s="221"/>
      <c r="S94" s="221"/>
      <c r="T94" s="221"/>
      <c r="U94" s="687">
        <f>1</f>
        <v>1</v>
      </c>
      <c r="V94" s="1071"/>
      <c r="W94" s="1071"/>
      <c r="X94" s="83"/>
      <c r="Y94" s="83"/>
      <c r="Z94" s="83"/>
      <c r="AA94" s="1092"/>
      <c r="AB94" s="83"/>
      <c r="AC94" s="510"/>
      <c r="AD94" s="83"/>
      <c r="AE94" s="510"/>
      <c r="AF94" s="83"/>
      <c r="AG94" s="1"/>
      <c r="AH94" s="1"/>
      <c r="AI94" s="1"/>
      <c r="AJ94" s="1"/>
    </row>
    <row r="95" spans="1:42" ht="39.75" customHeight="1" x14ac:dyDescent="0.25">
      <c r="A95" s="854" t="s">
        <v>6398</v>
      </c>
      <c r="B95" s="854" t="s">
        <v>348</v>
      </c>
      <c r="C95" s="856" t="s">
        <v>268</v>
      </c>
      <c r="D95" s="854" t="str">
        <f>Doc</f>
        <v>Document</v>
      </c>
      <c r="E95" s="860" t="s">
        <v>3244</v>
      </c>
      <c r="F95" s="858" t="s">
        <v>4367</v>
      </c>
      <c r="G95" s="858" t="s">
        <v>6723</v>
      </c>
      <c r="H95" s="859"/>
      <c r="I95" s="24">
        <v>1</v>
      </c>
      <c r="J95" s="83" t="str">
        <f>VLOOKUP($F95,Tab_event,5)</f>
        <v>V</v>
      </c>
      <c r="K95" s="24" t="str">
        <f>C95</f>
        <v>I</v>
      </c>
      <c r="L95" s="83">
        <f>IF(VLOOKUP($B95,Tab_classif,8,FALSE)=1,VLOOKUP($B95,Tab_classif,IF(C95="D",4,IF(C95="I",5,IF(C95="C",6,7))),FALSE),1)</f>
        <v>1</v>
      </c>
      <c r="M95" s="83">
        <f>VLOOKUP($F95,Tab_event,3,FALSE)</f>
        <v>2</v>
      </c>
      <c r="N95" s="1070"/>
      <c r="O95" s="1070"/>
      <c r="P95" s="169">
        <f>IF(AND(NOT(L95=""),NOT(M95="")),INDEX(base_g,5-IF(N95="",L95,N95),IF(O95="",M95,O95)),"")</f>
        <v>1</v>
      </c>
      <c r="Q95" s="871">
        <f>S2D03</f>
        <v>1</v>
      </c>
      <c r="R95" s="221">
        <f>MAX(MIN(S2D01,S2D02,S2D04),S2E01)</f>
        <v>1</v>
      </c>
      <c r="S95" s="221">
        <f>1</f>
        <v>1</v>
      </c>
      <c r="T95" s="221">
        <f>1</f>
        <v>1</v>
      </c>
      <c r="U95" s="687"/>
      <c r="V95" s="1071"/>
      <c r="W95" s="1071"/>
      <c r="X95" s="83">
        <f>IF(L95="","",IF(K95="D",INDEX(base_i,IF(U95=0,4,5-S95),T95+7*(IF(N95="",L95,N95)-1)),IF(K95="I",INDEX(base_i,IF(U95=0,15,16-S95),T95+7*(IF(N95="",L95,N95)-1)),IF(K95="C",INDEX(base_i,IF(U95=0,26,27-S95),T95+7*(IF(N95="",L95,N95)-1)),INDEX(base_i,38-S95,T95+7*(IF(N95="",L95,N95)-1))))))</f>
        <v>1</v>
      </c>
      <c r="Y95" s="83" cm="1">
        <f t="array" ref="Y95">IF(M95="","",IF(J95="A",INDEX(base_p,4,R95+7*(IF(O95="",M95,O95)-1)),IF(J95="E",INDEX(base_p,15,R95+7*(IF(O95="",M95,O95)-1)),INDEX(base_p,27-Q95,R95+7*(IF(O95="",M95,O95)-1)))))</f>
        <v>2</v>
      </c>
      <c r="Z95" s="83" t="str">
        <f>IF(AO95=1,IF(IndG&gt;1,IF(AND(OR(NOT(X95=""),NOT(V95="")),OR(NOT(Y95=""),NOT(W95="")),I95=1),INDEX(base_g,5-IF(V95="",X95,V95),IF(W95="",Y95,W95)),""),P95),"")</f>
        <v/>
      </c>
      <c r="AA95" s="1092"/>
      <c r="AB95" s="83" t="str">
        <f t="shared" si="98"/>
        <v/>
      </c>
      <c r="AC95" s="196" t="s">
        <v>614</v>
      </c>
      <c r="AD95" s="196" t="s">
        <v>4366</v>
      </c>
      <c r="AE95" s="197"/>
      <c r="AF95" s="198"/>
      <c r="AG95" s="1" t="str">
        <f>IF($AB95=1,$F95&amp;$AB95,"")</f>
        <v/>
      </c>
      <c r="AH95" s="1" t="str">
        <f>IF($AB95=2,$F95&amp;$AB95,"")</f>
        <v/>
      </c>
      <c r="AI95" s="1" t="str">
        <f>IF($AB95=3,$F95&amp;$AB95,"")</f>
        <v/>
      </c>
      <c r="AJ95" s="1" t="str">
        <f>IF($AB95=4,$F95&amp;$AB95,"")</f>
        <v/>
      </c>
      <c r="AK95">
        <f>VLOOKUP($B95,Tab_classif,8,FALSE)</f>
        <v>0</v>
      </c>
      <c r="AL95">
        <f>VLOOKUP(D95,Tab_ActS,2,FALSE)</f>
        <v>1</v>
      </c>
      <c r="AM95">
        <f>VLOOKUP(E95,Tab_SDom,3,FALSE)</f>
        <v>1</v>
      </c>
      <c r="AN95">
        <f>VLOOKUP($F95,Tab_event,4,FALSE)</f>
        <v>1</v>
      </c>
      <c r="AO95">
        <f>I95*AK95*AL95*AM95*AN95</f>
        <v>0</v>
      </c>
      <c r="AP95" t="str">
        <f>IF(AND(AO95=1,AA95=""),IF(IndG=1,10*L95+M95,10*X95+Y95),"")</f>
        <v/>
      </c>
    </row>
    <row r="96" spans="1:42" ht="20.25" customHeight="1" x14ac:dyDescent="0.25">
      <c r="A96" s="866" t="s">
        <v>6404</v>
      </c>
      <c r="B96" s="1325"/>
      <c r="C96" s="1325"/>
      <c r="D96" s="1325"/>
      <c r="E96" s="1325"/>
      <c r="F96" s="1325"/>
      <c r="G96" s="1325"/>
      <c r="H96" s="1325"/>
      <c r="I96" s="24"/>
      <c r="J96" s="83"/>
      <c r="K96" s="24"/>
      <c r="L96" s="83"/>
      <c r="M96" s="83"/>
      <c r="N96" s="1070"/>
      <c r="O96" s="1070"/>
      <c r="P96" s="169"/>
      <c r="Q96" s="871"/>
      <c r="R96" s="221"/>
      <c r="S96" s="221"/>
      <c r="T96" s="221"/>
      <c r="U96" s="687">
        <f>1</f>
        <v>1</v>
      </c>
      <c r="V96" s="1071"/>
      <c r="W96" s="1071"/>
      <c r="X96" s="83"/>
      <c r="Y96" s="83"/>
      <c r="Z96" s="83"/>
      <c r="AA96" s="1092"/>
      <c r="AB96" s="83"/>
      <c r="AC96" s="510"/>
      <c r="AD96" s="83"/>
      <c r="AE96" s="510"/>
      <c r="AF96" s="83"/>
      <c r="AG96" s="1"/>
      <c r="AH96" s="1"/>
      <c r="AI96" s="1"/>
      <c r="AJ96" s="1"/>
    </row>
    <row r="97" spans="1:42" ht="30" customHeight="1" x14ac:dyDescent="0.25">
      <c r="A97" s="894" t="s">
        <v>6399</v>
      </c>
      <c r="B97" s="854" t="s">
        <v>348</v>
      </c>
      <c r="C97" s="856" t="s">
        <v>309</v>
      </c>
      <c r="D97" s="854" t="str">
        <f>Doc</f>
        <v>Document</v>
      </c>
      <c r="E97" s="788" t="str">
        <f>Dive</f>
        <v>Divulgation de données</v>
      </c>
      <c r="F97" s="858" t="s">
        <v>3224</v>
      </c>
      <c r="G97" s="904" t="s">
        <v>6536</v>
      </c>
      <c r="H97" s="850" t="s">
        <v>4749</v>
      </c>
      <c r="I97" s="24">
        <v>1</v>
      </c>
      <c r="J97" s="83" t="str">
        <f>VLOOKUP($F97,Tab_event,5)</f>
        <v>V</v>
      </c>
      <c r="K97" s="24" t="str">
        <f>C97</f>
        <v>C</v>
      </c>
      <c r="L97" s="83">
        <f>IF(VLOOKUP($B97,Tab_classif,8,FALSE)=1,VLOOKUP($B97,Tab_classif,IF(C97="D",4,IF(C97="I",5,IF(C97="C",6,7))),FALSE),1)</f>
        <v>1</v>
      </c>
      <c r="M97" s="83">
        <f>VLOOKUP($F97,Tab_event,3,FALSE)</f>
        <v>3</v>
      </c>
      <c r="N97" s="1070"/>
      <c r="O97" s="1070"/>
      <c r="P97" s="169">
        <f>IF(AND(NOT(L97=""),NOT(M97="")),INDEX(base_g,5-IF(N97="",L97,N97),IF(O97="",M97,O97)),"")</f>
        <v>1</v>
      </c>
      <c r="Q97" s="871">
        <f>S2D03</f>
        <v>1</v>
      </c>
      <c r="R97" s="221">
        <f>MAX(MIN(S2D01,S2D02,S2D04),S2E01)</f>
        <v>1</v>
      </c>
      <c r="S97" s="221">
        <f>1</f>
        <v>1</v>
      </c>
      <c r="T97" s="221">
        <f>1</f>
        <v>1</v>
      </c>
      <c r="U97" s="687"/>
      <c r="V97" s="1071"/>
      <c r="W97" s="1071"/>
      <c r="X97" s="83">
        <f>IF(L97="","",IF(K97="D",INDEX(base_i,IF(U97=0,4,5-S97),T97+7*(IF(N97="",L97,N97)-1)),IF(K97="I",INDEX(base_i,IF(U97=0,15,16-S97),T97+7*(IF(N97="",L97,N97)-1)),IF(K97="C",INDEX(base_i,IF(U97=0,26,27-S97),T97+7*(IF(N97="",L97,N97)-1)),INDEX(base_i,38-S97,T97+7*(IF(N97="",L97,N97)-1))))))</f>
        <v>1</v>
      </c>
      <c r="Y97" s="83" cm="1">
        <f t="array" ref="Y97">IF(M97="","",IF(J97="A",INDEX(base_p,4,R97+7*(IF(O97="",M97,O97)-1)),IF(J97="E",INDEX(base_p,15,R97+7*(IF(O97="",M97,O97)-1)),INDEX(base_p,27-Q97,R97+7*(IF(O97="",M97,O97)-1)))))</f>
        <v>3</v>
      </c>
      <c r="Z97" s="83" t="str">
        <f>IF(AO97=1,IF(IndG&gt;1,IF(AND(OR(NOT(X97=""),NOT(V97="")),OR(NOT(Y97=""),NOT(W97="")),I97=1),INDEX(base_g,5-IF(V97="",X97,V97),IF(W97="",Y97,W97)),""),P97),"")</f>
        <v/>
      </c>
      <c r="AA97" s="1092"/>
      <c r="AB97" s="83" t="str">
        <f t="shared" si="98"/>
        <v/>
      </c>
      <c r="AC97" s="196" t="s">
        <v>614</v>
      </c>
      <c r="AD97" s="196" t="s">
        <v>4366</v>
      </c>
      <c r="AE97" s="197"/>
      <c r="AF97" s="198"/>
      <c r="AG97" s="1" t="str">
        <f>IF($AB97=1,$F97&amp;$AB97,"")</f>
        <v/>
      </c>
      <c r="AH97" s="1" t="str">
        <f>IF($AB97=2,$F97&amp;$AB97,"")</f>
        <v/>
      </c>
      <c r="AI97" s="1" t="str">
        <f>IF($AB97=3,$F97&amp;$AB97,"")</f>
        <v/>
      </c>
      <c r="AJ97" s="1" t="str">
        <f>IF($AB97=4,$F97&amp;$AB97,"")</f>
        <v/>
      </c>
      <c r="AK97">
        <f>VLOOKUP($B97,Tab_classif,8,FALSE)</f>
        <v>0</v>
      </c>
      <c r="AL97">
        <f>VLOOKUP(D97,Tab_ActS,2,FALSE)</f>
        <v>1</v>
      </c>
      <c r="AM97">
        <f>VLOOKUP(E97,Tab_SDom,3,FALSE)</f>
        <v>1</v>
      </c>
      <c r="AN97">
        <f>VLOOKUP($F97,Tab_event,4,FALSE)</f>
        <v>1</v>
      </c>
      <c r="AO97">
        <f>I97*AK97*AL97*AM97*AN97</f>
        <v>0</v>
      </c>
      <c r="AP97" t="str">
        <f>IF(AND(AO97=1,AA97=""),IF(IndG=1,10*L97+M97,10*X97+Y97),"")</f>
        <v/>
      </c>
    </row>
    <row r="98" spans="1:42" ht="30" customHeight="1" x14ac:dyDescent="0.25">
      <c r="A98" s="894" t="s">
        <v>6400</v>
      </c>
      <c r="B98" s="854" t="s">
        <v>348</v>
      </c>
      <c r="C98" s="856" t="s">
        <v>309</v>
      </c>
      <c r="D98" s="854" t="str">
        <f>Doc</f>
        <v>Document</v>
      </c>
      <c r="E98" s="788" t="str">
        <f>Dive</f>
        <v>Divulgation de données</v>
      </c>
      <c r="F98" s="858" t="s">
        <v>3224</v>
      </c>
      <c r="G98" s="904" t="s">
        <v>6536</v>
      </c>
      <c r="H98" s="895" t="s">
        <v>6389</v>
      </c>
      <c r="I98" s="24">
        <v>1</v>
      </c>
      <c r="J98" s="83" t="str">
        <f>VLOOKUP($F98,Tab_event,5)</f>
        <v>V</v>
      </c>
      <c r="K98" s="24" t="str">
        <f>C98</f>
        <v>C</v>
      </c>
      <c r="L98" s="83">
        <f>IF(VLOOKUP($B98,Tab_classif,8,FALSE)=1,VLOOKUP($B98,Tab_classif,IF(C98="D",4,IF(C98="I",5,IF(C98="C",6,7))),FALSE),1)</f>
        <v>1</v>
      </c>
      <c r="M98" s="83">
        <f>VLOOKUP($F98,Tab_event,3,FALSE)</f>
        <v>3</v>
      </c>
      <c r="N98" s="1070"/>
      <c r="O98" s="1070"/>
      <c r="P98" s="169">
        <f>IF(AND(NOT(L98=""),NOT(M98="")),INDEX(base_g,5-IF(N98="",L98,N98),IF(O98="",M98,O98)),"")</f>
        <v>1</v>
      </c>
      <c r="Q98" s="871">
        <f>S2D03</f>
        <v>1</v>
      </c>
      <c r="R98" s="221">
        <f>S2E01</f>
        <v>1</v>
      </c>
      <c r="S98" s="221">
        <f>1</f>
        <v>1</v>
      </c>
      <c r="T98" s="221">
        <f>1</f>
        <v>1</v>
      </c>
      <c r="U98" s="687"/>
      <c r="V98" s="1071"/>
      <c r="W98" s="1071"/>
      <c r="X98" s="83">
        <f>IF(L98="","",IF(K98="D",INDEX(base_i,IF(U98=0,4,5-S98),T98+7*(IF(N98="",L98,N98)-1)),IF(K98="I",INDEX(base_i,IF(U98=0,15,16-S98),T98+7*(IF(N98="",L98,N98)-1)),IF(K98="C",INDEX(base_i,IF(U98=0,26,27-S98),T98+7*(IF(N98="",L98,N98)-1)),INDEX(base_i,38-S98,T98+7*(IF(N98="",L98,N98)-1))))))</f>
        <v>1</v>
      </c>
      <c r="Y98" s="83" cm="1">
        <f t="array" ref="Y98">IF(M98="","",IF(J98="A",INDEX(base_p,4,R98+7*(IF(O98="",M98,O98)-1)),IF(J98="E",INDEX(base_p,15,R98+7*(IF(O98="",M98,O98)-1)),INDEX(base_p,27-Q98,R98+7*(IF(O98="",M98,O98)-1)))))</f>
        <v>3</v>
      </c>
      <c r="Z98" s="83" t="str">
        <f>IF(AO98=1,IF(IndG&gt;1,IF(AND(OR(NOT(X98=""),NOT(V98="")),OR(NOT(Y98=""),NOT(W98="")),I98=1),INDEX(base_g,5-IF(V98="",X98,V98),IF(W98="",Y98,W98)),""),P98),"")</f>
        <v/>
      </c>
      <c r="AA98" s="1092"/>
      <c r="AB98" s="83" t="str">
        <f t="shared" si="98"/>
        <v/>
      </c>
      <c r="AC98" s="196" t="s">
        <v>614</v>
      </c>
      <c r="AD98" s="196" t="s">
        <v>652</v>
      </c>
      <c r="AE98" s="197"/>
      <c r="AF98" s="198"/>
      <c r="AG98" s="1" t="str">
        <f>IF($AB98=1,$F98&amp;$AB98,"")</f>
        <v/>
      </c>
      <c r="AH98" s="1" t="str">
        <f>IF($AB98=2,$F98&amp;$AB98,"")</f>
        <v/>
      </c>
      <c r="AI98" s="1" t="str">
        <f>IF($AB98=3,$F98&amp;$AB98,"")</f>
        <v/>
      </c>
      <c r="AJ98" s="1" t="str">
        <f>IF($AB98=4,$F98&amp;$AB98,"")</f>
        <v/>
      </c>
      <c r="AK98">
        <f>VLOOKUP($B98,Tab_classif,8,FALSE)</f>
        <v>0</v>
      </c>
      <c r="AL98">
        <f>VLOOKUP(D98,Tab_ActS,2,FALSE)</f>
        <v>1</v>
      </c>
      <c r="AM98">
        <f>VLOOKUP(E98,Tab_SDom,3,FALSE)</f>
        <v>1</v>
      </c>
      <c r="AN98">
        <f>VLOOKUP($F98,Tab_event,4,FALSE)</f>
        <v>1</v>
      </c>
      <c r="AO98">
        <f>I98*AK98*AL98*AM98*AN98</f>
        <v>0</v>
      </c>
      <c r="AP98" t="str">
        <f>IF(AND(AO98=1,AA98=""),IF(IndG=1,10*L98+M98,10*X98+Y98),"")</f>
        <v/>
      </c>
    </row>
    <row r="99" spans="1:42" ht="30" customHeight="1" x14ac:dyDescent="0.25">
      <c r="A99" s="894" t="s">
        <v>6401</v>
      </c>
      <c r="B99" s="854" t="s">
        <v>348</v>
      </c>
      <c r="C99" s="856" t="s">
        <v>309</v>
      </c>
      <c r="D99" s="854" t="str">
        <f>Doc</f>
        <v>Document</v>
      </c>
      <c r="E99" s="788" t="str">
        <f>Dive</f>
        <v>Divulgation de données</v>
      </c>
      <c r="F99" s="858" t="s">
        <v>3224</v>
      </c>
      <c r="G99" s="904" t="s">
        <v>6536</v>
      </c>
      <c r="H99" s="850" t="s">
        <v>4748</v>
      </c>
      <c r="I99" s="24">
        <v>1</v>
      </c>
      <c r="J99" s="83" t="str">
        <f>VLOOKUP($F99,Tab_event,5)</f>
        <v>V</v>
      </c>
      <c r="K99" s="24" t="str">
        <f>C99</f>
        <v>C</v>
      </c>
      <c r="L99" s="83">
        <f>IF(VLOOKUP($B99,Tab_classif,8,FALSE)=1,VLOOKUP($B99,Tab_classif,IF(C99="D",4,IF(C99="I",5,IF(C99="C",6,7))),FALSE),1)</f>
        <v>1</v>
      </c>
      <c r="M99" s="83">
        <f>VLOOKUP($F99,Tab_event,3,FALSE)</f>
        <v>3</v>
      </c>
      <c r="N99" s="1070"/>
      <c r="O99" s="1070"/>
      <c r="P99" s="169">
        <f>IF(AND(NOT(L99=""),NOT(M99="")),INDEX(base_g,5-IF(N99="",L99,N99),IF(O99="",M99,O99)),"")</f>
        <v>1</v>
      </c>
      <c r="Q99" s="871">
        <f>1</f>
        <v>1</v>
      </c>
      <c r="R99" s="221">
        <f>S6B05</f>
        <v>1</v>
      </c>
      <c r="S99" s="221">
        <f>1</f>
        <v>1</v>
      </c>
      <c r="T99" s="221">
        <f>1</f>
        <v>1</v>
      </c>
      <c r="U99" s="687"/>
      <c r="V99" s="1071"/>
      <c r="W99" s="1071"/>
      <c r="X99" s="83">
        <f>IF(L99="","",IF(K99="D",INDEX(base_i,IF(U99=0,4,5-S99),T99+7*(IF(N99="",L99,N99)-1)),IF(K99="I",INDEX(base_i,IF(U99=0,15,16-S99),T99+7*(IF(N99="",L99,N99)-1)),IF(K99="C",INDEX(base_i,IF(U99=0,26,27-S99),T99+7*(IF(N99="",L99,N99)-1)),INDEX(base_i,38-S99,T99+7*(IF(N99="",L99,N99)-1))))))</f>
        <v>1</v>
      </c>
      <c r="Y99" s="83" cm="1">
        <f t="array" ref="Y99">IF(M99="","",IF(J99="A",INDEX(base_p,4,R99+7*(IF(O99="",M99,O99)-1)),IF(J99="E",INDEX(base_p,15,R99+7*(IF(O99="",M99,O99)-1)),INDEX(base_p,27-Q99,R99+7*(IF(O99="",M99,O99)-1)))))</f>
        <v>3</v>
      </c>
      <c r="Z99" s="83" t="str">
        <f>IF(AO99=1,IF(IndG&gt;1,IF(AND(OR(NOT(X99=""),NOT(V99="")),OR(NOT(Y99=""),NOT(W99="")),I99=1),INDEX(base_g,5-IF(V99="",X99,V99),IF(W99="",Y99,W99)),""),P99),"")</f>
        <v/>
      </c>
      <c r="AA99" s="1092"/>
      <c r="AB99" s="83" t="str">
        <f>IF(OR(AA99="A",AA99="a",AA99="E",AA99="e",AA99="T",AA99="t",Z99=""),"",Z99)</f>
        <v/>
      </c>
      <c r="AC99" s="198"/>
      <c r="AD99" s="196" t="s">
        <v>795</v>
      </c>
      <c r="AE99" s="197"/>
      <c r="AF99" s="198"/>
      <c r="AG99" s="1" t="str">
        <f>IF($AB99=1,$F99&amp;$AB99,"")</f>
        <v/>
      </c>
      <c r="AH99" s="1" t="str">
        <f>IF($AB99=2,$F99&amp;$AB99,"")</f>
        <v/>
      </c>
      <c r="AI99" s="1" t="str">
        <f>IF($AB99=3,$F99&amp;$AB99,"")</f>
        <v/>
      </c>
      <c r="AJ99" s="1" t="str">
        <f>IF($AB99=4,$F99&amp;$AB99,"")</f>
        <v/>
      </c>
      <c r="AK99">
        <f>VLOOKUP($B99,Tab_classif,8,FALSE)</f>
        <v>0</v>
      </c>
      <c r="AL99">
        <f>VLOOKUP(D99,Tab_ActS,2,FALSE)</f>
        <v>1</v>
      </c>
      <c r="AM99">
        <f>VLOOKUP(E99,Tab_SDom,3,FALSE)</f>
        <v>1</v>
      </c>
      <c r="AN99">
        <f>VLOOKUP($F99,Tab_event,4,FALSE)</f>
        <v>1</v>
      </c>
      <c r="AO99">
        <f>I99*AK99*AL99*AM99*AN99</f>
        <v>0</v>
      </c>
      <c r="AP99" t="str">
        <f>IF(AND(AO99=1,AA99=""),IF(IndG=1,10*L99+M99,10*X99+Y99),"")</f>
        <v/>
      </c>
    </row>
    <row r="100" spans="1:42" ht="30" customHeight="1" x14ac:dyDescent="0.25">
      <c r="A100" s="894" t="s">
        <v>6402</v>
      </c>
      <c r="B100" s="854" t="s">
        <v>348</v>
      </c>
      <c r="C100" s="856" t="s">
        <v>309</v>
      </c>
      <c r="D100" s="854" t="str">
        <f>Doc</f>
        <v>Document</v>
      </c>
      <c r="E100" s="788" t="str">
        <f>Dive</f>
        <v>Divulgation de données</v>
      </c>
      <c r="F100" s="858" t="s">
        <v>3224</v>
      </c>
      <c r="G100" s="904" t="s">
        <v>6536</v>
      </c>
      <c r="H100" s="850" t="s">
        <v>4750</v>
      </c>
      <c r="I100" s="24">
        <v>1</v>
      </c>
      <c r="J100" s="83" t="str">
        <f>VLOOKUP($F100,Tab_event,5)</f>
        <v>V</v>
      </c>
      <c r="K100" s="24" t="str">
        <f>C100</f>
        <v>C</v>
      </c>
      <c r="L100" s="83">
        <f>IF(VLOOKUP($B100,Tab_classif,8,FALSE)=1,VLOOKUP($B100,Tab_classif,IF(C100="D",4,IF(C100="I",5,IF(C100="C",6,7))),FALSE),1)</f>
        <v>1</v>
      </c>
      <c r="M100" s="83">
        <f>VLOOKUP($F100,Tab_event,3,FALSE)</f>
        <v>3</v>
      </c>
      <c r="N100" s="1070"/>
      <c r="O100" s="1070"/>
      <c r="P100" s="169">
        <f>IF(AND(NOT(L100=""),NOT(M100="")),INDEX(base_g,5-IF(N100="",L100,N100),IF(O100="",M100,O100)),"")</f>
        <v>1</v>
      </c>
      <c r="Q100" s="871">
        <f>1</f>
        <v>1</v>
      </c>
      <c r="R100" s="221">
        <f>S2E02</f>
        <v>1</v>
      </c>
      <c r="S100" s="221">
        <f>1</f>
        <v>1</v>
      </c>
      <c r="T100" s="221">
        <f>1</f>
        <v>1</v>
      </c>
      <c r="U100" s="687"/>
      <c r="V100" s="1071"/>
      <c r="W100" s="1071"/>
      <c r="X100" s="83">
        <f>IF(L100="","",IF(K100="D",INDEX(base_i,IF(U100=0,4,5-S100),T100+7*(IF(N100="",L100,N100)-1)),IF(K100="I",INDEX(base_i,IF(U100=0,15,16-S100),T100+7*(IF(N100="",L100,N100)-1)),IF(K100="C",INDEX(base_i,IF(U100=0,26,27-S100),T100+7*(IF(N100="",L100,N100)-1)),INDEX(base_i,38-S100,T100+7*(IF(N100="",L100,N100)-1))))))</f>
        <v>1</v>
      </c>
      <c r="Y100" s="83" cm="1">
        <f t="array" ref="Y100">IF(M100="","",IF(J100="A",INDEX(base_p,4,R100+7*(IF(O100="",M100,O100)-1)),IF(J100="E",INDEX(base_p,15,R100+7*(IF(O100="",M100,O100)-1)),INDEX(base_p,27-Q100,R100+7*(IF(O100="",M100,O100)-1)))))</f>
        <v>3</v>
      </c>
      <c r="Z100" s="83" t="str">
        <f>IF(AO100=1,IF(IndG&gt;1,IF(AND(OR(NOT(X100=""),NOT(V100="")),OR(NOT(Y100=""),NOT(W100="")),I100=1),INDEX(base_g,5-IF(V100="",X100,V100),IF(W100="",Y100,W100)),""),P100),"")</f>
        <v/>
      </c>
      <c r="AA100" s="1092"/>
      <c r="AB100" s="83" t="str">
        <f t="shared" si="98"/>
        <v/>
      </c>
      <c r="AC100" s="198"/>
      <c r="AD100" s="196" t="s">
        <v>715</v>
      </c>
      <c r="AE100" s="197"/>
      <c r="AF100" s="198"/>
      <c r="AG100" s="1" t="str">
        <f>IF($AB100=1,$F100&amp;$AB100,"")</f>
        <v/>
      </c>
      <c r="AH100" s="1" t="str">
        <f>IF($AB100=2,$F100&amp;$AB100,"")</f>
        <v/>
      </c>
      <c r="AI100" s="1" t="str">
        <f>IF($AB100=3,$F100&amp;$AB100,"")</f>
        <v/>
      </c>
      <c r="AJ100" s="1" t="str">
        <f>IF($AB100=4,$F100&amp;$AB100,"")</f>
        <v/>
      </c>
      <c r="AK100">
        <f>VLOOKUP($B100,Tab_classif,8,FALSE)</f>
        <v>0</v>
      </c>
      <c r="AL100">
        <f>VLOOKUP(D100,Tab_ActS,2,FALSE)</f>
        <v>1</v>
      </c>
      <c r="AM100">
        <f>VLOOKUP(E100,Tab_SDom,3,FALSE)</f>
        <v>1</v>
      </c>
      <c r="AN100">
        <f>VLOOKUP($F100,Tab_event,4,FALSE)</f>
        <v>1</v>
      </c>
      <c r="AO100">
        <f>I100*AK100*AL100*AM100*AN100</f>
        <v>0</v>
      </c>
      <c r="AP100" t="str">
        <f>IF(AND(AO100=1,AA100=""),IF(IndG=1,10*L100+M100,10*X100+Y100),"")</f>
        <v/>
      </c>
    </row>
    <row r="101" spans="1:42" ht="30" customHeight="1" x14ac:dyDescent="0.25">
      <c r="A101" s="854" t="s">
        <v>6403</v>
      </c>
      <c r="B101" s="854" t="s">
        <v>348</v>
      </c>
      <c r="C101" s="856" t="s">
        <v>309</v>
      </c>
      <c r="D101" s="854" t="str">
        <f>Doc</f>
        <v>Document</v>
      </c>
      <c r="E101" s="795" t="str">
        <f>Dive</f>
        <v>Divulgation de données</v>
      </c>
      <c r="F101" s="858" t="s">
        <v>3222</v>
      </c>
      <c r="G101" s="876" t="s">
        <v>6537</v>
      </c>
      <c r="H101" s="861"/>
      <c r="I101" s="24">
        <v>1</v>
      </c>
      <c r="J101" s="83" t="str">
        <f>VLOOKUP($F101,Tab_event,5)</f>
        <v>V</v>
      </c>
      <c r="K101" s="24" t="str">
        <f>C101</f>
        <v>C</v>
      </c>
      <c r="L101" s="83">
        <f>IF(VLOOKUP($B101,Tab_classif,8,FALSE)=1,VLOOKUP($B101,Tab_classif,IF(C101="D",4,IF(C101="I",5,IF(C101="C",6,7))),FALSE),1)</f>
        <v>1</v>
      </c>
      <c r="M101" s="83">
        <f>VLOOKUP($F101,Tab_event,3,FALSE)</f>
        <v>3</v>
      </c>
      <c r="N101" s="1070"/>
      <c r="O101" s="1070"/>
      <c r="P101" s="169">
        <f>IF(AND(NOT(L101=""),NOT(M101="")),INDEX(base_g,5-IF(N101="",L101,N101),IF(O101="",M101,O101)),"")</f>
        <v>1</v>
      </c>
      <c r="Q101" s="871">
        <f>1</f>
        <v>1</v>
      </c>
      <c r="R101" s="221">
        <f>MAX(MIN(S2D01,S2D02,S2D04),S2E01)</f>
        <v>1</v>
      </c>
      <c r="S101" s="221">
        <f>1</f>
        <v>1</v>
      </c>
      <c r="T101" s="221">
        <f>1</f>
        <v>1</v>
      </c>
      <c r="U101" s="687"/>
      <c r="V101" s="1071"/>
      <c r="W101" s="1071"/>
      <c r="X101" s="83">
        <f>IF(L101="","",IF(K101="D",INDEX(base_i,IF(U101=0,4,5-S101),T101+7*(IF(N101="",L101,N101)-1)),IF(K101="I",INDEX(base_i,IF(U101=0,15,16-S101),T101+7*(IF(N101="",L101,N101)-1)),IF(K101="C",INDEX(base_i,IF(U101=0,26,27-S101),T101+7*(IF(N101="",L101,N101)-1)),INDEX(base_i,38-S101,T101+7*(IF(N101="",L101,N101)-1))))))</f>
        <v>1</v>
      </c>
      <c r="Y101" s="83" cm="1">
        <f t="array" ref="Y101">IF(M101="","",IF(J101="A",INDEX(base_p,4,R101+7*(IF(O101="",M101,O101)-1)),IF(J101="E",INDEX(base_p,15,R101+7*(IF(O101="",M101,O101)-1)),INDEX(base_p,27-Q101,R101+7*(IF(O101="",M101,O101)-1)))))</f>
        <v>3</v>
      </c>
      <c r="Z101" s="83" t="str">
        <f>IF(AO101=1,IF(IndG&gt;1,IF(AND(OR(NOT(X101=""),NOT(V101="")),OR(NOT(Y101=""),NOT(W101="")),I101=1),INDEX(base_g,5-IF(V101="",X101,V101),IF(W101="",Y101,W101)),""),P101),"")</f>
        <v/>
      </c>
      <c r="AA101" s="1092"/>
      <c r="AB101" s="83" t="str">
        <f t="shared" si="98"/>
        <v/>
      </c>
      <c r="AC101" s="198"/>
      <c r="AD101" s="196" t="s">
        <v>4366</v>
      </c>
      <c r="AE101" s="197"/>
      <c r="AF101" s="198"/>
      <c r="AG101" s="1" t="str">
        <f>IF($AB101=1,$F101&amp;$AB101,"")</f>
        <v/>
      </c>
      <c r="AH101" s="1" t="str">
        <f>IF($AB101=2,$F101&amp;$AB101,"")</f>
        <v/>
      </c>
      <c r="AI101" s="1" t="str">
        <f>IF($AB101=3,$F101&amp;$AB101,"")</f>
        <v/>
      </c>
      <c r="AJ101" s="1" t="str">
        <f>IF($AB101=4,$F101&amp;$AB101,"")</f>
        <v/>
      </c>
      <c r="AK101">
        <f>VLOOKUP($B101,Tab_classif,8,FALSE)</f>
        <v>0</v>
      </c>
      <c r="AL101">
        <f>VLOOKUP(D101,Tab_ActS,2,FALSE)</f>
        <v>1</v>
      </c>
      <c r="AM101">
        <f>VLOOKUP(E101,Tab_SDom,3,FALSE)</f>
        <v>1</v>
      </c>
      <c r="AN101">
        <f>VLOOKUP($F101,Tab_event,4,FALSE)</f>
        <v>1</v>
      </c>
      <c r="AO101">
        <f>I101*AK101*AL101*AM101*AN101</f>
        <v>0</v>
      </c>
      <c r="AP101" t="str">
        <f>IF(AND(AO101=1,AA101=""),IF(IndG=1,10*L101+M101,10*X101+Y101),"")</f>
        <v/>
      </c>
    </row>
    <row r="102" spans="1:42" ht="18.75" customHeight="1" x14ac:dyDescent="0.25">
      <c r="A102" s="866" t="s">
        <v>6407</v>
      </c>
      <c r="B102" s="1325"/>
      <c r="C102" s="1325"/>
      <c r="D102" s="1325"/>
      <c r="E102" s="1325"/>
      <c r="F102" s="1325"/>
      <c r="G102" s="1325"/>
      <c r="H102" s="1325"/>
      <c r="I102" s="24"/>
      <c r="J102" s="83"/>
      <c r="K102" s="24"/>
      <c r="L102" s="83"/>
      <c r="M102" s="83"/>
      <c r="N102" s="1070"/>
      <c r="O102" s="1070"/>
      <c r="P102" s="169"/>
      <c r="Q102" s="871"/>
      <c r="R102" s="221"/>
      <c r="S102" s="221"/>
      <c r="T102" s="221"/>
      <c r="U102" s="687">
        <f>1</f>
        <v>1</v>
      </c>
      <c r="V102" s="1071"/>
      <c r="W102" s="1071"/>
      <c r="X102" s="83"/>
      <c r="Y102" s="83"/>
      <c r="Z102" s="83"/>
      <c r="AA102" s="1092"/>
      <c r="AB102" s="83"/>
      <c r="AC102" s="510"/>
      <c r="AD102" s="196"/>
      <c r="AE102" s="510"/>
      <c r="AF102" s="83"/>
      <c r="AG102" s="1"/>
      <c r="AH102" s="1"/>
      <c r="AI102" s="1"/>
      <c r="AJ102" s="1"/>
    </row>
    <row r="103" spans="1:42" ht="32.25" customHeight="1" x14ac:dyDescent="0.25">
      <c r="A103" s="894" t="s">
        <v>6408</v>
      </c>
      <c r="B103" s="854" t="s">
        <v>519</v>
      </c>
      <c r="C103" s="856" t="s">
        <v>539</v>
      </c>
      <c r="D103" s="854" t="str">
        <f>Coe</f>
        <v>Courriel en transit</v>
      </c>
      <c r="E103" s="854" t="str">
        <f>Disp</f>
        <v>Disparition</v>
      </c>
      <c r="F103" s="858" t="s">
        <v>546</v>
      </c>
      <c r="G103" s="858" t="s">
        <v>6724</v>
      </c>
      <c r="H103" s="850" t="s">
        <v>4751</v>
      </c>
      <c r="I103" s="24">
        <v>1</v>
      </c>
      <c r="J103" s="83" t="str">
        <f>VLOOKUP($F103,Tab_event,5)</f>
        <v>E</v>
      </c>
      <c r="K103" s="24" t="str">
        <f>C103</f>
        <v>D</v>
      </c>
      <c r="L103" s="83">
        <f>IF(VLOOKUP($B103,Tab_classif,8,FALSE)=1,VLOOKUP($B103,Tab_classif,IF(C103="D",4,IF(C103="I",5,IF(C103="C",6,7))),FALSE),1)</f>
        <v>3</v>
      </c>
      <c r="M103" s="83">
        <f>VLOOKUP($F103,Tab_event,3,FALSE)</f>
        <v>3</v>
      </c>
      <c r="N103" s="1070"/>
      <c r="O103" s="1070"/>
      <c r="P103" s="169">
        <f>IF(AND(NOT(L103=""),NOT(M103="")),INDEX(base_g,5-IF(N103="",L103,N103),IF(O103="",M103,O103)),"")</f>
        <v>3</v>
      </c>
      <c r="Q103" s="871">
        <f>1</f>
        <v>1</v>
      </c>
      <c r="R103" s="221">
        <f>1</f>
        <v>1</v>
      </c>
      <c r="S103" s="221">
        <f>1</f>
        <v>1</v>
      </c>
      <c r="T103" s="221">
        <f>S6B03</f>
        <v>1</v>
      </c>
      <c r="U103" s="687"/>
      <c r="V103" s="1071"/>
      <c r="W103" s="1071"/>
      <c r="X103" s="83">
        <f>IF(L103="","",IF(K103="D",INDEX(base_i,IF(U103=0,4,5-S103),T103+7*(IF(N103="",L103,N103)-1)),IF(K103="I",INDEX(base_i,IF(U103=0,15,16-S103),T103+7*(IF(N103="",L103,N103)-1)),IF(K103="C",INDEX(base_i,IF(U103=0,26,27-S103),T103+7*(IF(N103="",L103,N103)-1)),INDEX(base_i,38-S103,T103+7*(IF(N103="",L103,N103)-1))))))</f>
        <v>3</v>
      </c>
      <c r="Y103" s="83" cm="1">
        <f t="array" ref="Y103">IF(M103="","",IF(J103="A",INDEX(base_p,4,R103+7*(IF(O103="",M103,O103)-1)),IF(J103="E",INDEX(base_p,15,R103+7*(IF(O103="",M103,O103)-1)),INDEX(base_p,27-Q103,R103+7*(IF(O103="",M103,O103)-1)))))</f>
        <v>3</v>
      </c>
      <c r="Z103" s="83">
        <f>IF(AO103=1,IF(IndG&gt;1,IF(AND(OR(NOT(X103=""),NOT(V103="")),OR(NOT(Y103=""),NOT(W103="")),I103=1),INDEX(base_g,5-IF(V103="",X103,V103),IF(W103="",Y103,W103)),""),P103),"")</f>
        <v>3</v>
      </c>
      <c r="AA103" s="1092"/>
      <c r="AB103" s="83">
        <f t="shared" si="98"/>
        <v>3</v>
      </c>
      <c r="AC103" s="198"/>
      <c r="AD103" s="196"/>
      <c r="AE103" s="196"/>
      <c r="AF103" s="196" t="s">
        <v>648</v>
      </c>
      <c r="AG103" s="1" t="str">
        <f>IF($AB103=1,$F103&amp;$AB103,"")</f>
        <v/>
      </c>
      <c r="AH103" s="1" t="str">
        <f>IF($AB103=2,$F103&amp;$AB103,"")</f>
        <v/>
      </c>
      <c r="AI103" s="1" t="str">
        <f>IF($AB103=3,$F103&amp;$AB103,"")</f>
        <v>ER.P.Pro3</v>
      </c>
      <c r="AJ103" s="1" t="str">
        <f>IF($AB103=4,$F103&amp;$AB103,"")</f>
        <v/>
      </c>
      <c r="AK103">
        <f>VLOOKUP($B103,Tab_classif,8,FALSE)</f>
        <v>1</v>
      </c>
      <c r="AL103">
        <f>VLOOKUP(D103,Tab_ActS,2,FALSE)</f>
        <v>1</v>
      </c>
      <c r="AM103">
        <f>VLOOKUP(E103,Tab_SDom,3,FALSE)</f>
        <v>1</v>
      </c>
      <c r="AN103">
        <f>VLOOKUP($F103,Tab_event,4,FALSE)</f>
        <v>1</v>
      </c>
      <c r="AO103">
        <f>I103*AK103*AL103*AM103*AN103</f>
        <v>1</v>
      </c>
      <c r="AP103">
        <f>IF(AND(AO103=1,AA103=""),IF(IndG=1,10*L103+M103,10*X103+Y103),"")</f>
        <v>33</v>
      </c>
    </row>
    <row r="104" spans="1:42" ht="32.25" customHeight="1" x14ac:dyDescent="0.25">
      <c r="A104" s="894" t="s">
        <v>6409</v>
      </c>
      <c r="B104" s="854" t="s">
        <v>519</v>
      </c>
      <c r="C104" s="856" t="s">
        <v>539</v>
      </c>
      <c r="D104" s="854" t="str">
        <f>Coe</f>
        <v>Courriel en transit</v>
      </c>
      <c r="E104" s="788" t="str">
        <f>Inac</f>
        <v>Inaccessibilité</v>
      </c>
      <c r="F104" s="858" t="s">
        <v>4635</v>
      </c>
      <c r="G104" s="858" t="s">
        <v>4637</v>
      </c>
      <c r="H104" s="848"/>
      <c r="I104" s="24">
        <v>1</v>
      </c>
      <c r="J104" s="83" t="str">
        <f>VLOOKUP($F104,Tab_event,5)</f>
        <v>A</v>
      </c>
      <c r="K104" s="24" t="str">
        <f>C104</f>
        <v>D</v>
      </c>
      <c r="L104" s="83">
        <f>IF(VLOOKUP($B104,Tab_classif,8,FALSE)=1,VLOOKUP($B104,Tab_classif,IF(C104="D",4,IF(C104="I",5,IF(C104="C",6,7))),FALSE),1)</f>
        <v>3</v>
      </c>
      <c r="M104" s="83">
        <f>VLOOKUP($F104,Tab_event,3,FALSE)</f>
        <v>3</v>
      </c>
      <c r="N104" s="1070"/>
      <c r="O104" s="1070"/>
      <c r="P104" s="169">
        <f>IF(AND(NOT(L104=""),NOT(M104="")),INDEX(base_g,5-IF(N104="",L104,N104),IF(O104="",M104,O104)),"")</f>
        <v>3</v>
      </c>
      <c r="Q104" s="871">
        <f>1</f>
        <v>1</v>
      </c>
      <c r="R104" s="221">
        <f>1</f>
        <v>1</v>
      </c>
      <c r="S104" s="221">
        <f>1</f>
        <v>1</v>
      </c>
      <c r="T104" s="221">
        <f>S6A03</f>
        <v>1</v>
      </c>
      <c r="U104" s="687"/>
      <c r="V104" s="1071"/>
      <c r="W104" s="1071"/>
      <c r="X104" s="83">
        <f>IF(L104="","",IF(K104="D",INDEX(base_i,IF(U104=0,4,5-S104),T104+7*(IF(N104="",L104,N104)-1)),IF(K104="I",INDEX(base_i,IF(U104=0,15,16-S104),T104+7*(IF(N104="",L104,N104)-1)),IF(K104="C",INDEX(base_i,IF(U104=0,26,27-S104),T104+7*(IF(N104="",L104,N104)-1)),INDEX(base_i,38-S104,T104+7*(IF(N104="",L104,N104)-1))))))</f>
        <v>3</v>
      </c>
      <c r="Y104" s="83" cm="1">
        <f t="array" ref="Y104">IF(M104="","",IF(J104="A",INDEX(base_p,4,R104+7*(IF(O104="",M104,O104)-1)),IF(J104="E",INDEX(base_p,15,R104+7*(IF(O104="",M104,O104)-1)),INDEX(base_p,27-Q104,R104+7*(IF(O104="",M104,O104)-1)))))</f>
        <v>3</v>
      </c>
      <c r="Z104" s="83">
        <f>IF(AO104=1,IF(IndG&gt;1,IF(AND(OR(NOT(X104=""),NOT(V104="")),OR(NOT(Y104=""),NOT(W104="")),I104=1),INDEX(base_g,5-IF(V104="",X104,V104),IF(W104="",Y104,W104)),""),P104),"")</f>
        <v>3</v>
      </c>
      <c r="AA104" s="1092"/>
      <c r="AB104" s="83">
        <f t="shared" si="98"/>
        <v>3</v>
      </c>
      <c r="AC104" s="198"/>
      <c r="AD104" s="196"/>
      <c r="AE104" s="196"/>
      <c r="AF104" s="196" t="s">
        <v>4601</v>
      </c>
      <c r="AG104" s="1" t="str">
        <f>IF($AB104=1,$F104&amp;$AB104,"")</f>
        <v/>
      </c>
      <c r="AH104" s="1" t="str">
        <f>IF($AB104=2,$F104&amp;$AB104,"")</f>
        <v/>
      </c>
      <c r="AI104" s="1" t="str">
        <f>IF($AB104=3,$F104&amp;$AB104,"")</f>
        <v>AB.S.Ser3</v>
      </c>
      <c r="AJ104" s="1" t="str">
        <f>IF($AB104=4,$F104&amp;$AB104,"")</f>
        <v/>
      </c>
      <c r="AK104">
        <f>VLOOKUP($B104,Tab_classif,8,FALSE)</f>
        <v>1</v>
      </c>
      <c r="AL104">
        <f>VLOOKUP(D104,Tab_ActS,2,FALSE)</f>
        <v>1</v>
      </c>
      <c r="AM104">
        <f>VLOOKUP(E104,Tab_SDom,3,FALSE)</f>
        <v>1</v>
      </c>
      <c r="AN104">
        <f>VLOOKUP($F104,Tab_event,4,FALSE)</f>
        <v>1</v>
      </c>
      <c r="AO104">
        <f>I104*AK104*AL104*AM104*AN104</f>
        <v>1</v>
      </c>
      <c r="AP104">
        <f>IF(AND(AO104=1,AA104=""),IF(IndG=1,10*L104+M104,10*X104+Y104),"")</f>
        <v>33</v>
      </c>
    </row>
    <row r="105" spans="1:42" ht="32.25" customHeight="1" x14ac:dyDescent="0.25">
      <c r="A105" s="894" t="s">
        <v>6410</v>
      </c>
      <c r="B105" s="854" t="s">
        <v>519</v>
      </c>
      <c r="C105" s="856" t="s">
        <v>539</v>
      </c>
      <c r="D105" s="854" t="str">
        <f>Cop</f>
        <v>Courrier en transit</v>
      </c>
      <c r="E105" s="854" t="str">
        <f>Disp</f>
        <v>Disparition</v>
      </c>
      <c r="F105" s="858" t="s">
        <v>3224</v>
      </c>
      <c r="G105" s="876" t="s">
        <v>6538</v>
      </c>
      <c r="H105" s="895" t="s">
        <v>6405</v>
      </c>
      <c r="I105" s="24">
        <v>1</v>
      </c>
      <c r="J105" s="83" t="str">
        <f>VLOOKUP($F105,Tab_event,5)</f>
        <v>V</v>
      </c>
      <c r="K105" s="24" t="str">
        <f>C105</f>
        <v>D</v>
      </c>
      <c r="L105" s="83">
        <f>IF(VLOOKUP($B105,Tab_classif,8,FALSE)=1,VLOOKUP($B105,Tab_classif,IF(C105="D",4,IF(C105="I",5,IF(C105="C",6,7))),FALSE),1)</f>
        <v>3</v>
      </c>
      <c r="M105" s="83">
        <f>VLOOKUP($F105,Tab_event,3,FALSE)</f>
        <v>3</v>
      </c>
      <c r="N105" s="1070"/>
      <c r="O105" s="1070"/>
      <c r="P105" s="169">
        <f>IF(AND(NOT(L105=""),NOT(M105="")),INDEX(base_g,5-IF(N105="",L105,N105),IF(O105="",M105,O105)),"")</f>
        <v>3</v>
      </c>
      <c r="Q105" s="871">
        <f>1</f>
        <v>1</v>
      </c>
      <c r="R105" s="221">
        <f>MIN(S2B01,S2B02)</f>
        <v>1</v>
      </c>
      <c r="S105" s="221">
        <f>1</f>
        <v>1</v>
      </c>
      <c r="T105" s="221">
        <f>S2E05</f>
        <v>1</v>
      </c>
      <c r="U105" s="687"/>
      <c r="V105" s="1071"/>
      <c r="W105" s="1071"/>
      <c r="X105" s="83">
        <f>IF(L105="","",IF(K105="D",INDEX(base_i,IF(U105=0,4,5-S105),T105+7*(IF(N105="",L105,N105)-1)),IF(K105="I",INDEX(base_i,IF(U105=0,15,16-S105),T105+7*(IF(N105="",L105,N105)-1)),IF(K105="C",INDEX(base_i,IF(U105=0,26,27-S105),T105+7*(IF(N105="",L105,N105)-1)),INDEX(base_i,38-S105,T105+7*(IF(N105="",L105,N105)-1))))))</f>
        <v>3</v>
      </c>
      <c r="Y105" s="83" cm="1">
        <f t="array" ref="Y105">IF(M105="","",IF(J105="A",INDEX(base_p,4,R105+7*(IF(O105="",M105,O105)-1)),IF(J105="E",INDEX(base_p,15,R105+7*(IF(O105="",M105,O105)-1)),INDEX(base_p,27-Q105,R105+7*(IF(O105="",M105,O105)-1)))))</f>
        <v>3</v>
      </c>
      <c r="Z105" s="83">
        <f>IF(AO105=1,IF(IndG&gt;1,IF(AND(OR(NOT(X105=""),NOT(V105="")),OR(NOT(Y105=""),NOT(W105="")),I105=1),INDEX(base_g,5-IF(V105="",X105,V105),IF(W105="",Y105,W105)),""),P105),"")</f>
        <v>3</v>
      </c>
      <c r="AA105" s="1092"/>
      <c r="AB105" s="83">
        <f t="shared" si="98"/>
        <v>3</v>
      </c>
      <c r="AC105" s="198"/>
      <c r="AD105" s="196" t="s">
        <v>2049</v>
      </c>
      <c r="AE105" s="196"/>
      <c r="AF105" s="196" t="s">
        <v>4368</v>
      </c>
      <c r="AG105" s="1" t="str">
        <f>IF($AB105=1,$F105&amp;$AB105,"")</f>
        <v/>
      </c>
      <c r="AH105" s="1" t="str">
        <f>IF($AB105=2,$F105&amp;$AB105,"")</f>
        <v/>
      </c>
      <c r="AI105" s="1" t="str">
        <f>IF($AB105=3,$F105&amp;$AB105,"")</f>
        <v>AH.P.Vol3</v>
      </c>
      <c r="AJ105" s="1" t="str">
        <f>IF($AB105=4,$F105&amp;$AB105,"")</f>
        <v/>
      </c>
      <c r="AK105">
        <f>VLOOKUP($B105,Tab_classif,8,FALSE)</f>
        <v>1</v>
      </c>
      <c r="AL105">
        <f>VLOOKUP(D105,Tab_ActS,2,FALSE)</f>
        <v>1</v>
      </c>
      <c r="AM105">
        <f>VLOOKUP(E105,Tab_SDom,3,FALSE)</f>
        <v>1</v>
      </c>
      <c r="AN105">
        <f>VLOOKUP($F105,Tab_event,4,FALSE)</f>
        <v>1</v>
      </c>
      <c r="AO105">
        <f>I105*AK105*AL105*AM105*AN105</f>
        <v>1</v>
      </c>
      <c r="AP105">
        <f>IF(AND(AO105=1,AA105=""),IF(IndG=1,10*L105+M105,10*X105+Y105),"")</f>
        <v>33</v>
      </c>
    </row>
    <row r="106" spans="1:42" ht="32.25" customHeight="1" x14ac:dyDescent="0.25">
      <c r="A106" s="894" t="s">
        <v>6411</v>
      </c>
      <c r="B106" s="854" t="s">
        <v>519</v>
      </c>
      <c r="C106" s="856" t="s">
        <v>539</v>
      </c>
      <c r="D106" s="854" t="str">
        <f>Cop</f>
        <v>Courrier en transit</v>
      </c>
      <c r="E106" s="854" t="str">
        <f>Disp</f>
        <v>Disparition</v>
      </c>
      <c r="F106" s="858" t="s">
        <v>3224</v>
      </c>
      <c r="G106" s="876" t="s">
        <v>6538</v>
      </c>
      <c r="H106" s="895" t="s">
        <v>6406</v>
      </c>
      <c r="I106" s="24">
        <v>1</v>
      </c>
      <c r="J106" s="83" t="str">
        <f>VLOOKUP($F106,Tab_event,5)</f>
        <v>V</v>
      </c>
      <c r="K106" s="24" t="str">
        <f>C106</f>
        <v>D</v>
      </c>
      <c r="L106" s="83">
        <f>IF(VLOOKUP($B106,Tab_classif,8,FALSE)=1,VLOOKUP($B106,Tab_classif,IF(C106="D",4,IF(C106="I",5,IF(C106="C",6,7))),FALSE),1)</f>
        <v>3</v>
      </c>
      <c r="M106" s="83">
        <f>VLOOKUP($F106,Tab_event,3,FALSE)</f>
        <v>3</v>
      </c>
      <c r="N106" s="1070"/>
      <c r="O106" s="1070"/>
      <c r="P106" s="169">
        <f>IF(AND(NOT(L106=""),NOT(M106="")),INDEX(base_g,5-IF(N106="",L106,N106),IF(O106="",M106,O106)),"")</f>
        <v>3</v>
      </c>
      <c r="Q106" s="871">
        <f>S2B03</f>
        <v>1</v>
      </c>
      <c r="R106" s="221">
        <f>S2E05</f>
        <v>1</v>
      </c>
      <c r="S106" s="221">
        <f>1</f>
        <v>1</v>
      </c>
      <c r="T106" s="221">
        <f>S2E05</f>
        <v>1</v>
      </c>
      <c r="U106" s="687"/>
      <c r="V106" s="1071"/>
      <c r="W106" s="1071"/>
      <c r="X106" s="83">
        <f>IF(L106="","",IF(K106="D",INDEX(base_i,IF(U106=0,4,5-S106),T106+7*(IF(N106="",L106,N106)-1)),IF(K106="I",INDEX(base_i,IF(U106=0,15,16-S106),T106+7*(IF(N106="",L106,N106)-1)),IF(K106="C",INDEX(base_i,IF(U106=0,26,27-S106),T106+7*(IF(N106="",L106,N106)-1)),INDEX(base_i,38-S106,T106+7*(IF(N106="",L106,N106)-1))))))</f>
        <v>3</v>
      </c>
      <c r="Y106" s="83" cm="1">
        <f t="array" ref="Y106">IF(M106="","",IF(J106="A",INDEX(base_p,4,R106+7*(IF(O106="",M106,O106)-1)),IF(J106="E",INDEX(base_p,15,R106+7*(IF(O106="",M106,O106)-1)),INDEX(base_p,27-Q106,R106+7*(IF(O106="",M106,O106)-1)))))</f>
        <v>3</v>
      </c>
      <c r="Z106" s="83">
        <f>IF(AO106=1,IF(IndG&gt;1,IF(AND(OR(NOT(X106=""),NOT(V106="")),OR(NOT(Y106=""),NOT(W106="")),I106=1),INDEX(base_g,5-IF(V106="",X106,V106),IF(W106="",Y106,W106)),""),P106),"")</f>
        <v>3</v>
      </c>
      <c r="AA106" s="1092"/>
      <c r="AB106" s="83">
        <f t="shared" si="98"/>
        <v>3</v>
      </c>
      <c r="AC106" s="196" t="s">
        <v>618</v>
      </c>
      <c r="AD106" s="196" t="s">
        <v>4368</v>
      </c>
      <c r="AE106" s="196"/>
      <c r="AF106" s="196" t="s">
        <v>4368</v>
      </c>
      <c r="AG106" s="1" t="str">
        <f>IF($AB106=1,$F106&amp;$AB106,"")</f>
        <v/>
      </c>
      <c r="AH106" s="1" t="str">
        <f>IF($AB106=2,$F106&amp;$AB106,"")</f>
        <v/>
      </c>
      <c r="AI106" s="1" t="str">
        <f>IF($AB106=3,$F106&amp;$AB106,"")</f>
        <v>AH.P.Vol3</v>
      </c>
      <c r="AJ106" s="1" t="str">
        <f>IF($AB106=4,$F106&amp;$AB106,"")</f>
        <v/>
      </c>
      <c r="AK106">
        <f>VLOOKUP($B106,Tab_classif,8,FALSE)</f>
        <v>1</v>
      </c>
      <c r="AL106">
        <f>VLOOKUP(D106,Tab_ActS,2,FALSE)</f>
        <v>1</v>
      </c>
      <c r="AM106">
        <f>VLOOKUP(E106,Tab_SDom,3,FALSE)</f>
        <v>1</v>
      </c>
      <c r="AN106">
        <f>VLOOKUP($F106,Tab_event,4,FALSE)</f>
        <v>1</v>
      </c>
      <c r="AO106">
        <f>I106*AK106*AL106*AM106*AN106</f>
        <v>1</v>
      </c>
      <c r="AP106">
        <f>IF(AND(AO106=1,AA106=""),IF(IndG=1,10*L106+M106,10*X106+Y106),"")</f>
        <v>33</v>
      </c>
    </row>
    <row r="107" spans="1:42" ht="32.25" customHeight="1" x14ac:dyDescent="0.25">
      <c r="A107" s="894" t="s">
        <v>6412</v>
      </c>
      <c r="B107" s="854" t="s">
        <v>519</v>
      </c>
      <c r="C107" s="856" t="s">
        <v>539</v>
      </c>
      <c r="D107" s="854" t="str">
        <f>Cop</f>
        <v>Courrier en transit</v>
      </c>
      <c r="E107" s="854" t="str">
        <f>Disp</f>
        <v>Disparition</v>
      </c>
      <c r="F107" s="858" t="s">
        <v>455</v>
      </c>
      <c r="G107" s="876" t="s">
        <v>6725</v>
      </c>
      <c r="H107" s="850"/>
      <c r="I107" s="24">
        <v>1</v>
      </c>
      <c r="J107" s="83" t="str">
        <f>VLOOKUP($F107,Tab_event,5)</f>
        <v>E</v>
      </c>
      <c r="K107" s="24" t="str">
        <f>C107</f>
        <v>D</v>
      </c>
      <c r="L107" s="83">
        <f>IF(VLOOKUP($B107,Tab_classif,8,FALSE)=1,VLOOKUP($B107,Tab_classif,IF(C107="D",4,IF(C107="I",5,IF(C107="C",6,7))),FALSE),1)</f>
        <v>3</v>
      </c>
      <c r="M107" s="83">
        <f>VLOOKUP($F107,Tab_event,3,FALSE)</f>
        <v>3</v>
      </c>
      <c r="N107" s="1070"/>
      <c r="O107" s="1070"/>
      <c r="P107" s="169">
        <f>IF(AND(NOT(L107=""),NOT(M107="")),INDEX(base_g,5-IF(N107="",L107,N107),IF(O107="",M107,O107)),"")</f>
        <v>3</v>
      </c>
      <c r="Q107" s="871">
        <f>1</f>
        <v>1</v>
      </c>
      <c r="R107" s="221">
        <f>S2E05</f>
        <v>1</v>
      </c>
      <c r="S107" s="221">
        <f>1</f>
        <v>1</v>
      </c>
      <c r="T107" s="221">
        <f>1</f>
        <v>1</v>
      </c>
      <c r="U107" s="687"/>
      <c r="V107" s="1071"/>
      <c r="W107" s="1071"/>
      <c r="X107" s="83">
        <f>IF(L107="","",IF(K107="D",INDEX(base_i,IF(U107=0,4,5-S107),T107+7*(IF(N107="",L107,N107)-1)),IF(K107="I",INDEX(base_i,IF(U107=0,15,16-S107),T107+7*(IF(N107="",L107,N107)-1)),IF(K107="C",INDEX(base_i,IF(U107=0,26,27-S107),T107+7*(IF(N107="",L107,N107)-1)),INDEX(base_i,38-S107,T107+7*(IF(N107="",L107,N107)-1))))))</f>
        <v>3</v>
      </c>
      <c r="Y107" s="83" cm="1">
        <f t="array" ref="Y107">IF(M107="","",IF(J107="A",INDEX(base_p,4,R107+7*(IF(O107="",M107,O107)-1)),IF(J107="E",INDEX(base_p,15,R107+7*(IF(O107="",M107,O107)-1)),INDEX(base_p,27-Q107,R107+7*(IF(O107="",M107,O107)-1)))))</f>
        <v>3</v>
      </c>
      <c r="Z107" s="83">
        <f>IF(AO107=1,IF(IndG&gt;1,IF(AND(OR(NOT(X107=""),NOT(V107="")),OR(NOT(Y107=""),NOT(W107="")),I107=1),INDEX(base_g,5-IF(V107="",X107,V107),IF(W107="",Y107,W107)),""),P107),"")</f>
        <v>3</v>
      </c>
      <c r="AA107" s="1092"/>
      <c r="AB107" s="83">
        <f t="shared" ref="AB107:AB165" si="109">IF(OR(AA107="A",AA107="a",AA107="E",AA107="e",AA107="T",AA107="t",Z107=""),"",Z107)</f>
        <v>3</v>
      </c>
      <c r="AC107" s="196"/>
      <c r="AD107" s="196" t="s">
        <v>4368</v>
      </c>
      <c r="AE107" s="196"/>
      <c r="AF107" s="196"/>
      <c r="AG107" s="1" t="str">
        <f>IF($AB107=1,$F107&amp;$AB107,"")</f>
        <v/>
      </c>
      <c r="AH107" s="1" t="str">
        <f>IF($AB107=2,$F107&amp;$AB107,"")</f>
        <v/>
      </c>
      <c r="AI107" s="1" t="str">
        <f>IF($AB107=3,$F107&amp;$AB107,"")</f>
        <v>ER.P.Peo3</v>
      </c>
      <c r="AJ107" s="1" t="str">
        <f>IF($AB107=4,$F107&amp;$AB107,"")</f>
        <v/>
      </c>
      <c r="AK107">
        <f>VLOOKUP($B107,Tab_classif,8,FALSE)</f>
        <v>1</v>
      </c>
      <c r="AL107">
        <f>VLOOKUP(D107,Tab_ActS,2,FALSE)</f>
        <v>1</v>
      </c>
      <c r="AM107">
        <f>VLOOKUP(E107,Tab_SDom,3,FALSE)</f>
        <v>1</v>
      </c>
      <c r="AN107">
        <f>VLOOKUP($F107,Tab_event,4,FALSE)</f>
        <v>1</v>
      </c>
      <c r="AO107">
        <f>I107*AK107*AL107*AM107*AN107</f>
        <v>1</v>
      </c>
      <c r="AP107">
        <f>IF(AND(AO107=1,AA107=""),IF(IndG=1,10*L107+M107,10*X107+Y107),"")</f>
        <v>33</v>
      </c>
    </row>
    <row r="108" spans="1:42" ht="18" customHeight="1" x14ac:dyDescent="0.25">
      <c r="A108" s="866" t="s">
        <v>6413</v>
      </c>
      <c r="B108" s="1325"/>
      <c r="C108" s="1325"/>
      <c r="D108" s="1325"/>
      <c r="E108" s="1325"/>
      <c r="F108" s="1325"/>
      <c r="G108" s="1325"/>
      <c r="H108" s="1325"/>
      <c r="I108" s="24"/>
      <c r="J108" s="83"/>
      <c r="K108" s="24"/>
      <c r="L108" s="83"/>
      <c r="M108" s="83"/>
      <c r="N108" s="1070"/>
      <c r="O108" s="1070"/>
      <c r="P108" s="169"/>
      <c r="Q108" s="871"/>
      <c r="R108" s="221"/>
      <c r="S108" s="221"/>
      <c r="T108" s="221"/>
      <c r="U108" s="687">
        <f>1</f>
        <v>1</v>
      </c>
      <c r="V108" s="1071"/>
      <c r="W108" s="1071"/>
      <c r="X108" s="83"/>
      <c r="Y108" s="83"/>
      <c r="Z108" s="83"/>
      <c r="AA108" s="1092"/>
      <c r="AB108" s="83"/>
      <c r="AC108" s="510"/>
      <c r="AD108" s="200"/>
      <c r="AE108" s="510"/>
      <c r="AF108" s="83"/>
      <c r="AG108" s="1"/>
      <c r="AH108" s="1"/>
      <c r="AI108" s="1"/>
      <c r="AJ108" s="1"/>
    </row>
    <row r="109" spans="1:42" ht="37.5" customHeight="1" x14ac:dyDescent="0.25">
      <c r="A109" s="894" t="s">
        <v>6414</v>
      </c>
      <c r="B109" s="854" t="s">
        <v>519</v>
      </c>
      <c r="C109" s="856" t="s">
        <v>268</v>
      </c>
      <c r="D109" s="854" t="str">
        <f>Coe</f>
        <v>Courriel en transit</v>
      </c>
      <c r="E109" s="788" t="str">
        <f>Altd</f>
        <v>Altération (non détectée) de donnée</v>
      </c>
      <c r="F109" s="858" t="s">
        <v>3211</v>
      </c>
      <c r="G109" s="858" t="s">
        <v>4787</v>
      </c>
      <c r="H109" s="850" t="s">
        <v>4752</v>
      </c>
      <c r="I109" s="24">
        <v>1</v>
      </c>
      <c r="J109" s="83" t="str">
        <f>VLOOKUP($F109,Tab_event,5)</f>
        <v>V</v>
      </c>
      <c r="K109" s="24" t="str">
        <f>C109</f>
        <v>I</v>
      </c>
      <c r="L109" s="83">
        <f>IF(VLOOKUP($B109,Tab_classif,8,FALSE)=1,VLOOKUP($B109,Tab_classif,IF(C109="D",4,IF(C109="I",5,IF(C109="C",6,7))),FALSE),1)</f>
        <v>2</v>
      </c>
      <c r="M109" s="83">
        <f>VLOOKUP($F109,Tab_event,3,FALSE)</f>
        <v>3</v>
      </c>
      <c r="N109" s="1070"/>
      <c r="O109" s="1070"/>
      <c r="P109" s="169">
        <f>IF(AND(NOT(L109=""),NOT(M109="")),INDEX(base_g,5-IF(N109="",L109,N109),IF(O109="",M109,O109)),"")</f>
        <v>2</v>
      </c>
      <c r="Q109" s="871">
        <f>1</f>
        <v>1</v>
      </c>
      <c r="R109" s="221">
        <f>S6B03</f>
        <v>1</v>
      </c>
      <c r="S109" s="221">
        <f>1</f>
        <v>1</v>
      </c>
      <c r="T109" s="221">
        <f>1</f>
        <v>1</v>
      </c>
      <c r="U109" s="687"/>
      <c r="V109" s="1071"/>
      <c r="W109" s="1071"/>
      <c r="X109" s="83">
        <f>IF(L109="","",IF(K109="D",INDEX(base_i,IF(U109=0,4,5-S109),T109+7*(IF(N109="",L109,N109)-1)),IF(K109="I",INDEX(base_i,IF(U109=0,15,16-S109),T109+7*(IF(N109="",L109,N109)-1)),IF(K109="C",INDEX(base_i,IF(U109=0,26,27-S109),T109+7*(IF(N109="",L109,N109)-1)),INDEX(base_i,38-S109,T109+7*(IF(N109="",L109,N109)-1))))))</f>
        <v>2</v>
      </c>
      <c r="Y109" s="83" cm="1">
        <f t="array" ref="Y109">IF(M109="","",IF(J109="A",INDEX(base_p,4,R109+7*(IF(O109="",M109,O109)-1)),IF(J109="E",INDEX(base_p,15,R109+7*(IF(O109="",M109,O109)-1)),INDEX(base_p,27-Q109,R109+7*(IF(O109="",M109,O109)-1)))))</f>
        <v>3</v>
      </c>
      <c r="Z109" s="83">
        <f>IF(AO109=1,IF(IndG&gt;1,IF(AND(OR(NOT(X109=""),NOT(V109="")),OR(NOT(Y109=""),NOT(W109="")),I109=1),INDEX(base_g,5-IF(V109="",X109,V109),IF(W109="",Y109,W109)),""),P109),"")</f>
        <v>2</v>
      </c>
      <c r="AA109" s="1092"/>
      <c r="AB109" s="83">
        <f t="shared" si="109"/>
        <v>2</v>
      </c>
      <c r="AC109" s="196"/>
      <c r="AD109" s="196" t="s">
        <v>648</v>
      </c>
      <c r="AE109" s="196"/>
      <c r="AF109" s="196"/>
      <c r="AG109" s="1" t="str">
        <f>IF($AB109=1,$F109&amp;$AB109,"")</f>
        <v/>
      </c>
      <c r="AH109" s="1" t="str">
        <f>IF($AB109=2,$F109&amp;$AB109,"")</f>
        <v>AH.L.Fal2</v>
      </c>
      <c r="AI109" s="1" t="str">
        <f>IF($AB109=3,$F109&amp;$AB109,"")</f>
        <v/>
      </c>
      <c r="AJ109" s="1" t="str">
        <f>IF($AB109=4,$F109&amp;$AB109,"")</f>
        <v/>
      </c>
      <c r="AK109">
        <f>VLOOKUP($B109,Tab_classif,8,FALSE)</f>
        <v>1</v>
      </c>
      <c r="AL109">
        <f>VLOOKUP(D109,Tab_ActS,2,FALSE)</f>
        <v>1</v>
      </c>
      <c r="AM109">
        <f>VLOOKUP(E109,Tab_SDom,3,FALSE)</f>
        <v>1</v>
      </c>
      <c r="AN109">
        <f>VLOOKUP($F109,Tab_event,4,FALSE)</f>
        <v>1</v>
      </c>
      <c r="AO109">
        <f>I109*AK109*AL109*AM109*AN109</f>
        <v>1</v>
      </c>
      <c r="AP109">
        <f>IF(AND(AO109=1,AA109=""),IF(IndG=1,10*L109+M109,10*X109+Y109),"")</f>
        <v>23</v>
      </c>
    </row>
    <row r="110" spans="1:42" ht="28.5" customHeight="1" x14ac:dyDescent="0.25">
      <c r="A110" s="894" t="s">
        <v>6415</v>
      </c>
      <c r="B110" s="854" t="s">
        <v>519</v>
      </c>
      <c r="C110" s="856" t="s">
        <v>268</v>
      </c>
      <c r="D110" s="854" t="str">
        <f>Coe</f>
        <v>Courriel en transit</v>
      </c>
      <c r="E110" s="788" t="str">
        <f>Crfx</f>
        <v>Création de faux</v>
      </c>
      <c r="F110" s="858" t="s">
        <v>3212</v>
      </c>
      <c r="G110" s="858" t="s">
        <v>4384</v>
      </c>
      <c r="H110" s="850"/>
      <c r="I110" s="24">
        <v>1</v>
      </c>
      <c r="J110" s="83" t="str">
        <f>VLOOKUP($F110,Tab_event,5)</f>
        <v>V</v>
      </c>
      <c r="K110" s="24" t="str">
        <f>C110</f>
        <v>I</v>
      </c>
      <c r="L110" s="83">
        <f>IF(VLOOKUP($B110,Tab_classif,8,FALSE)=1,VLOOKUP($B110,Tab_classif,IF(C110="D",4,IF(C110="I",5,IF(C110="C",6,7))),FALSE),1)</f>
        <v>2</v>
      </c>
      <c r="M110" s="83">
        <f>VLOOKUP($F110,Tab_event,3,FALSE)</f>
        <v>3</v>
      </c>
      <c r="N110" s="1070"/>
      <c r="O110" s="1070"/>
      <c r="P110" s="169">
        <f>IF(AND(NOT(L110=""),NOT(M110="")),INDEX(base_g,5-IF(N110="",L110,N110),IF(O110="",M110,O110)),"")</f>
        <v>2</v>
      </c>
      <c r="Q110" s="871">
        <f>1</f>
        <v>1</v>
      </c>
      <c r="R110" s="221">
        <f>S6B03</f>
        <v>1</v>
      </c>
      <c r="S110" s="221">
        <f>1</f>
        <v>1</v>
      </c>
      <c r="T110" s="221">
        <f>1</f>
        <v>1</v>
      </c>
      <c r="U110" s="687"/>
      <c r="V110" s="1071"/>
      <c r="W110" s="1071"/>
      <c r="X110" s="83">
        <f>IF(L110="","",IF(K110="D",INDEX(base_i,IF(U110=0,4,5-S110),T110+7*(IF(N110="",L110,N110)-1)),IF(K110="I",INDEX(base_i,IF(U110=0,15,16-S110),T110+7*(IF(N110="",L110,N110)-1)),IF(K110="C",INDEX(base_i,IF(U110=0,26,27-S110),T110+7*(IF(N110="",L110,N110)-1)),INDEX(base_i,38-S110,T110+7*(IF(N110="",L110,N110)-1))))))</f>
        <v>2</v>
      </c>
      <c r="Y110" s="83" cm="1">
        <f t="array" ref="Y110">IF(M110="","",IF(J110="A",INDEX(base_p,4,R110+7*(IF(O110="",M110,O110)-1)),IF(J110="E",INDEX(base_p,15,R110+7*(IF(O110="",M110,O110)-1)),INDEX(base_p,27-Q110,R110+7*(IF(O110="",M110,O110)-1)))))</f>
        <v>3</v>
      </c>
      <c r="Z110" s="83">
        <f>IF(AO110=1,IF(IndG&gt;1,IF(AND(OR(NOT(X110=""),NOT(V110="")),OR(NOT(Y110=""),NOT(W110="")),I110=1),INDEX(base_g,5-IF(V110="",X110,V110),IF(W110="",Y110,W110)),""),P110),"")</f>
        <v>2</v>
      </c>
      <c r="AA110" s="1092"/>
      <c r="AB110" s="83">
        <f t="shared" si="109"/>
        <v>2</v>
      </c>
      <c r="AC110" s="196"/>
      <c r="AD110" s="196" t="s">
        <v>648</v>
      </c>
      <c r="AE110" s="196"/>
      <c r="AF110" s="196"/>
      <c r="AG110" s="1" t="str">
        <f>IF($AB110=1,$F110&amp;$AB110,"")</f>
        <v/>
      </c>
      <c r="AH110" s="1" t="str">
        <f>IF($AB110=2,$F110&amp;$AB110,"")</f>
        <v>AH.L.Fau2</v>
      </c>
      <c r="AI110" s="1" t="str">
        <f>IF($AB110=3,$F110&amp;$AB110,"")</f>
        <v/>
      </c>
      <c r="AJ110" s="1" t="str">
        <f>IF($AB110=4,$F110&amp;$AB110,"")</f>
        <v/>
      </c>
      <c r="AK110">
        <f>VLOOKUP($B110,Tab_classif,8,FALSE)</f>
        <v>1</v>
      </c>
      <c r="AL110">
        <f>VLOOKUP(D110,Tab_ActS,2,FALSE)</f>
        <v>1</v>
      </c>
      <c r="AM110">
        <f>VLOOKUP(E110,Tab_SDom,3,FALSE)</f>
        <v>1</v>
      </c>
      <c r="AN110">
        <f>VLOOKUP($F110,Tab_event,4,FALSE)</f>
        <v>1</v>
      </c>
      <c r="AO110">
        <f>I110*AK110*AL110*AM110*AN110</f>
        <v>1</v>
      </c>
      <c r="AP110">
        <f>IF(AND(AO110=1,AA110=""),IF(IndG=1,10*L110+M110,10*X110+Y110),"")</f>
        <v>23</v>
      </c>
    </row>
    <row r="111" spans="1:42" ht="25.5" customHeight="1" x14ac:dyDescent="0.25">
      <c r="A111" s="894" t="s">
        <v>6416</v>
      </c>
      <c r="B111" s="854" t="s">
        <v>519</v>
      </c>
      <c r="C111" s="856" t="s">
        <v>268</v>
      </c>
      <c r="D111" s="854" t="str">
        <f>Cop</f>
        <v>Courrier en transit</v>
      </c>
      <c r="E111" s="795" t="str">
        <f>Crfx</f>
        <v>Création de faux</v>
      </c>
      <c r="F111" s="858" t="s">
        <v>3212</v>
      </c>
      <c r="G111" s="877" t="s">
        <v>6241</v>
      </c>
      <c r="H111" s="848"/>
      <c r="I111" s="24">
        <v>1</v>
      </c>
      <c r="J111" s="83" t="str">
        <f>VLOOKUP($F111,Tab_event,5)</f>
        <v>V</v>
      </c>
      <c r="K111" s="24" t="str">
        <f>C111</f>
        <v>I</v>
      </c>
      <c r="L111" s="83">
        <f>IF(VLOOKUP($B111,Tab_classif,8,FALSE)=1,VLOOKUP($B111,Tab_classif,IF(C111="D",4,IF(C111="I",5,IF(C111="C",6,7))),FALSE),1)</f>
        <v>2</v>
      </c>
      <c r="M111" s="83">
        <f>VLOOKUP($F111,Tab_event,3,FALSE)</f>
        <v>3</v>
      </c>
      <c r="N111" s="1070"/>
      <c r="O111" s="1070"/>
      <c r="P111" s="169">
        <f>IF(AND(NOT(L111=""),NOT(M111="")),INDEX(base_g,5-IF(N111="",L111,N111),IF(O111="",M111,O111)),"")</f>
        <v>2</v>
      </c>
      <c r="Q111" s="871">
        <f>1</f>
        <v>1</v>
      </c>
      <c r="R111" s="221">
        <f>S1C06</f>
        <v>1</v>
      </c>
      <c r="S111" s="221">
        <f>1</f>
        <v>1</v>
      </c>
      <c r="T111" s="221">
        <f>1</f>
        <v>1</v>
      </c>
      <c r="U111" s="687"/>
      <c r="V111" s="1071"/>
      <c r="W111" s="1071"/>
      <c r="X111" s="83">
        <f>IF(L111="","",IF(K111="D",INDEX(base_i,IF(U111=0,4,5-S111),T111+7*(IF(N111="",L111,N111)-1)),IF(K111="I",INDEX(base_i,IF(U111=0,15,16-S111),T111+7*(IF(N111="",L111,N111)-1)),IF(K111="C",INDEX(base_i,IF(U111=0,26,27-S111),T111+7*(IF(N111="",L111,N111)-1)),INDEX(base_i,38-S111,T111+7*(IF(N111="",L111,N111)-1))))))</f>
        <v>2</v>
      </c>
      <c r="Y111" s="83" cm="1">
        <f t="array" ref="Y111">IF(M111="","",IF(J111="A",INDEX(base_p,4,R111+7*(IF(O111="",M111,O111)-1)),IF(J111="E",INDEX(base_p,15,R111+7*(IF(O111="",M111,O111)-1)),INDEX(base_p,27-Q111,R111+7*(IF(O111="",M111,O111)-1)))))</f>
        <v>3</v>
      </c>
      <c r="Z111" s="83">
        <f>IF(AO111=1,IF(IndG&gt;1,IF(AND(OR(NOT(X111=""),NOT(V111="")),OR(NOT(Y111=""),NOT(W111="")),I111=1),INDEX(base_g,5-IF(V111="",X111,V111),IF(W111="",Y111,W111)),""),P111),"")</f>
        <v>2</v>
      </c>
      <c r="AA111" s="1092"/>
      <c r="AB111" s="83">
        <f t="shared" si="109"/>
        <v>2</v>
      </c>
      <c r="AC111" s="196"/>
      <c r="AD111" s="196" t="s">
        <v>3247</v>
      </c>
      <c r="AE111" s="196"/>
      <c r="AF111" s="196"/>
      <c r="AG111" s="1" t="str">
        <f>IF($AB111=1,$F111&amp;$AB111,"")</f>
        <v/>
      </c>
      <c r="AH111" s="1" t="str">
        <f>IF($AB111=2,$F111&amp;$AB111,"")</f>
        <v>AH.L.Fau2</v>
      </c>
      <c r="AI111" s="1" t="str">
        <f>IF($AB111=3,$F111&amp;$AB111,"")</f>
        <v/>
      </c>
      <c r="AJ111" s="1" t="str">
        <f>IF($AB111=4,$F111&amp;$AB111,"")</f>
        <v/>
      </c>
      <c r="AK111">
        <f>VLOOKUP($B111,Tab_classif,8,FALSE)</f>
        <v>1</v>
      </c>
      <c r="AL111">
        <f>VLOOKUP(D111,Tab_ActS,2,FALSE)</f>
        <v>1</v>
      </c>
      <c r="AM111">
        <f>VLOOKUP(E111,Tab_SDom,3,FALSE)</f>
        <v>1</v>
      </c>
      <c r="AN111">
        <f>VLOOKUP($F111,Tab_event,4,FALSE)</f>
        <v>1</v>
      </c>
      <c r="AO111">
        <f>I111*AK111*AL111*AM111*AN111</f>
        <v>1</v>
      </c>
      <c r="AP111">
        <f>IF(AND(AO111=1,AA111=""),IF(IndG=1,10*L111+M111,10*X111+Y111),"")</f>
        <v>23</v>
      </c>
    </row>
    <row r="112" spans="1:42" ht="18" customHeight="1" x14ac:dyDescent="0.25">
      <c r="A112" s="866" t="s">
        <v>6420</v>
      </c>
      <c r="B112" s="1325"/>
      <c r="C112" s="1325"/>
      <c r="D112" s="1325"/>
      <c r="E112" s="1325"/>
      <c r="F112" s="1325"/>
      <c r="G112" s="1325"/>
      <c r="H112" s="1325"/>
      <c r="I112" s="24"/>
      <c r="J112" s="83"/>
      <c r="K112" s="24"/>
      <c r="L112" s="83"/>
      <c r="M112" s="83"/>
      <c r="N112" s="1070"/>
      <c r="O112" s="1070"/>
      <c r="P112" s="169"/>
      <c r="Q112" s="871"/>
      <c r="R112" s="221"/>
      <c r="S112" s="221"/>
      <c r="T112" s="221"/>
      <c r="U112" s="687">
        <f>1</f>
        <v>1</v>
      </c>
      <c r="V112" s="1071"/>
      <c r="W112" s="1071"/>
      <c r="X112" s="83"/>
      <c r="Y112" s="83"/>
      <c r="Z112" s="83"/>
      <c r="AA112" s="1092"/>
      <c r="AB112" s="83"/>
      <c r="AC112" s="510"/>
      <c r="AD112" s="200"/>
      <c r="AE112" s="510"/>
      <c r="AF112" s="83"/>
      <c r="AG112" s="1"/>
      <c r="AH112" s="1"/>
      <c r="AI112" s="1"/>
      <c r="AJ112" s="1"/>
    </row>
    <row r="113" spans="1:49" ht="36" customHeight="1" x14ac:dyDescent="0.25">
      <c r="A113" s="894" t="s">
        <v>6417</v>
      </c>
      <c r="B113" s="854" t="s">
        <v>519</v>
      </c>
      <c r="C113" s="856" t="s">
        <v>309</v>
      </c>
      <c r="D113" s="854" t="str">
        <f>Coe</f>
        <v>Courriel en transit</v>
      </c>
      <c r="E113" s="788" t="str">
        <f>Dive</f>
        <v>Divulgation de données</v>
      </c>
      <c r="F113" s="858" t="s">
        <v>3208</v>
      </c>
      <c r="G113" s="858" t="s">
        <v>4385</v>
      </c>
      <c r="H113" s="850"/>
      <c r="I113" s="24">
        <v>1</v>
      </c>
      <c r="J113" s="83" t="str">
        <f>VLOOKUP($F113,Tab_event,5)</f>
        <v>V</v>
      </c>
      <c r="K113" s="24" t="str">
        <f>C113</f>
        <v>C</v>
      </c>
      <c r="L113" s="83">
        <f>IF(VLOOKUP($B113,Tab_classif,8,FALSE)=1,VLOOKUP($B113,Tab_classif,IF(C113="D",4,IF(C113="I",5,IF(C113="C",6,7))),FALSE),1)</f>
        <v>2</v>
      </c>
      <c r="M113" s="83">
        <f>VLOOKUP($F113,Tab_event,3,FALSE)</f>
        <v>2</v>
      </c>
      <c r="N113" s="1070"/>
      <c r="O113" s="1070"/>
      <c r="P113" s="169">
        <f>IF(AND(NOT(L113=""),NOT(M113="")),INDEX(base_g,5-IF(N113="",L113,N113),IF(O113="",M113,O113)),"")</f>
        <v>2</v>
      </c>
      <c r="Q113" s="871">
        <f>1</f>
        <v>1</v>
      </c>
      <c r="R113" s="221">
        <f>S6B03</f>
        <v>1</v>
      </c>
      <c r="S113" s="221">
        <f>1</f>
        <v>1</v>
      </c>
      <c r="T113" s="221">
        <f>1</f>
        <v>1</v>
      </c>
      <c r="U113" s="687"/>
      <c r="V113" s="1071"/>
      <c r="W113" s="1071"/>
      <c r="X113" s="83">
        <f>IF(L113="","",IF(K113="D",INDEX(base_i,IF(U113=0,4,5-S113),T113+7*(IF(N113="",L113,N113)-1)),IF(K113="I",INDEX(base_i,IF(U113=0,15,16-S113),T113+7*(IF(N113="",L113,N113)-1)),IF(K113="C",INDEX(base_i,IF(U113=0,26,27-S113),T113+7*(IF(N113="",L113,N113)-1)),INDEX(base_i,38-S113,T113+7*(IF(N113="",L113,N113)-1))))))</f>
        <v>2</v>
      </c>
      <c r="Y113" s="83" cm="1">
        <f t="array" ref="Y113">IF(M113="","",IF(J113="A",INDEX(base_p,4,R113+7*(IF(O113="",M113,O113)-1)),IF(J113="E",INDEX(base_p,15,R113+7*(IF(O113="",M113,O113)-1)),INDEX(base_p,27-Q113,R113+7*(IF(O113="",M113,O113)-1)))))</f>
        <v>2</v>
      </c>
      <c r="Z113" s="83">
        <f>IF(AO113=1,IF(IndG&gt;1,IF(AND(OR(NOT(X113=""),NOT(V113="")),OR(NOT(Y113=""),NOT(W113="")),I113=1),INDEX(base_g,5-IF(V113="",X113,V113),IF(W113="",Y113,W113)),""),P113),"")</f>
        <v>2</v>
      </c>
      <c r="AA113" s="1092"/>
      <c r="AB113" s="83">
        <f t="shared" si="109"/>
        <v>2</v>
      </c>
      <c r="AC113" s="196"/>
      <c r="AD113" s="196" t="s">
        <v>648</v>
      </c>
      <c r="AE113" s="196"/>
      <c r="AF113" s="196"/>
      <c r="AG113" s="1" t="str">
        <f>IF($AB113=1,$F113&amp;$AB113,"")</f>
        <v/>
      </c>
      <c r="AH113" s="1" t="str">
        <f>IF($AB113=2,$F113&amp;$AB113,"")</f>
        <v>AH.L.Cap2</v>
      </c>
      <c r="AI113" s="1" t="str">
        <f>IF($AB113=3,$F113&amp;$AB113,"")</f>
        <v/>
      </c>
      <c r="AJ113" s="1" t="str">
        <f>IF($AB113=4,$F113&amp;$AB113,"")</f>
        <v/>
      </c>
      <c r="AK113">
        <f>VLOOKUP($B113,Tab_classif,8,FALSE)</f>
        <v>1</v>
      </c>
      <c r="AL113">
        <f>VLOOKUP(D113,Tab_ActS,2,FALSE)</f>
        <v>1</v>
      </c>
      <c r="AM113">
        <f>VLOOKUP(E113,Tab_SDom,3,FALSE)</f>
        <v>1</v>
      </c>
      <c r="AN113">
        <f>VLOOKUP($F113,Tab_event,4,FALSE)</f>
        <v>1</v>
      </c>
      <c r="AO113">
        <f>I113*AK113*AL113*AM113*AN113</f>
        <v>1</v>
      </c>
      <c r="AP113">
        <f>IF(AND(AO113=1,AA113=""),IF(IndG=1,10*L113+M113,10*X113+Y113),"")</f>
        <v>22</v>
      </c>
    </row>
    <row r="114" spans="1:49" ht="36" customHeight="1" x14ac:dyDescent="0.25">
      <c r="A114" s="894" t="s">
        <v>6418</v>
      </c>
      <c r="B114" s="854" t="s">
        <v>519</v>
      </c>
      <c r="C114" s="856" t="s">
        <v>309</v>
      </c>
      <c r="D114" s="854" t="str">
        <f>Coe</f>
        <v>Courriel en transit</v>
      </c>
      <c r="E114" s="788" t="str">
        <f>Dive</f>
        <v>Divulgation de données</v>
      </c>
      <c r="F114" s="858" t="s">
        <v>546</v>
      </c>
      <c r="G114" s="858" t="s">
        <v>4386</v>
      </c>
      <c r="H114" s="850"/>
      <c r="I114" s="24">
        <v>1</v>
      </c>
      <c r="J114" s="83" t="str">
        <f>VLOOKUP($F114,Tab_event,5)</f>
        <v>E</v>
      </c>
      <c r="K114" s="24" t="str">
        <f>C114</f>
        <v>C</v>
      </c>
      <c r="L114" s="83">
        <f>IF(VLOOKUP($B114,Tab_classif,8,FALSE)=1,VLOOKUP($B114,Tab_classif,IF(C114="D",4,IF(C114="I",5,IF(C114="C",6,7))),FALSE),1)</f>
        <v>2</v>
      </c>
      <c r="M114" s="83">
        <f>VLOOKUP($F114,Tab_event,3,FALSE)</f>
        <v>3</v>
      </c>
      <c r="N114" s="1070"/>
      <c r="O114" s="1070"/>
      <c r="P114" s="169">
        <f>IF(AND(NOT(L114=""),NOT(M114="")),INDEX(base_g,5-IF(N114="",L114,N114),IF(O114="",M114,O114)),"")</f>
        <v>2</v>
      </c>
      <c r="Q114" s="871">
        <f>1</f>
        <v>1</v>
      </c>
      <c r="R114" s="221">
        <f>S6B03</f>
        <v>1</v>
      </c>
      <c r="S114" s="221">
        <f>1</f>
        <v>1</v>
      </c>
      <c r="T114" s="221">
        <f>1</f>
        <v>1</v>
      </c>
      <c r="U114" s="687"/>
      <c r="V114" s="1071"/>
      <c r="W114" s="1071"/>
      <c r="X114" s="83">
        <f>IF(L114="","",IF(K114="D",INDEX(base_i,IF(U114=0,4,5-S114),T114+7*(IF(N114="",L114,N114)-1)),IF(K114="I",INDEX(base_i,IF(U114=0,15,16-S114),T114+7*(IF(N114="",L114,N114)-1)),IF(K114="C",INDEX(base_i,IF(U114=0,26,27-S114),T114+7*(IF(N114="",L114,N114)-1)),INDEX(base_i,38-S114,T114+7*(IF(N114="",L114,N114)-1))))))</f>
        <v>2</v>
      </c>
      <c r="Y114" s="83" cm="1">
        <f t="array" ref="Y114">IF(M114="","",IF(J114="A",INDEX(base_p,4,R114+7*(IF(O114="",M114,O114)-1)),IF(J114="E",INDEX(base_p,15,R114+7*(IF(O114="",M114,O114)-1)),INDEX(base_p,27-Q114,R114+7*(IF(O114="",M114,O114)-1)))))</f>
        <v>3</v>
      </c>
      <c r="Z114" s="83">
        <f>IF(AO114=1,IF(IndG&gt;1,IF(AND(OR(NOT(X114=""),NOT(V114="")),OR(NOT(Y114=""),NOT(W114="")),I114=1),INDEX(base_g,5-IF(V114="",X114,V114),IF(W114="",Y114,W114)),""),P114),"")</f>
        <v>2</v>
      </c>
      <c r="AA114" s="1092"/>
      <c r="AB114" s="83">
        <f t="shared" si="109"/>
        <v>2</v>
      </c>
      <c r="AC114" s="196"/>
      <c r="AD114" s="196" t="s">
        <v>648</v>
      </c>
      <c r="AE114" s="196"/>
      <c r="AF114" s="196"/>
      <c r="AG114" s="1" t="str">
        <f>IF($AB114=1,$F114&amp;$AB114,"")</f>
        <v/>
      </c>
      <c r="AH114" s="1" t="str">
        <f>IF($AB114=2,$F114&amp;$AB114,"")</f>
        <v>ER.P.Pro2</v>
      </c>
      <c r="AI114" s="1" t="str">
        <f>IF($AB114=3,$F114&amp;$AB114,"")</f>
        <v/>
      </c>
      <c r="AJ114" s="1" t="str">
        <f>IF($AB114=4,$F114&amp;$AB114,"")</f>
        <v/>
      </c>
      <c r="AK114">
        <f>VLOOKUP($B114,Tab_classif,8,FALSE)</f>
        <v>1</v>
      </c>
      <c r="AL114">
        <f>VLOOKUP(D114,Tab_ActS,2,FALSE)</f>
        <v>1</v>
      </c>
      <c r="AM114">
        <f>VLOOKUP(E114,Tab_SDom,3,FALSE)</f>
        <v>1</v>
      </c>
      <c r="AN114">
        <f>VLOOKUP($F114,Tab_event,4,FALSE)</f>
        <v>1</v>
      </c>
      <c r="AO114">
        <f>I114*AK114*AL114*AM114*AN114</f>
        <v>1</v>
      </c>
      <c r="AP114">
        <f>IF(AND(AO114=1,AA114=""),IF(IndG=1,10*L114+M114,10*X114+Y114),"")</f>
        <v>23</v>
      </c>
    </row>
    <row r="115" spans="1:49" ht="36" customHeight="1" x14ac:dyDescent="0.25">
      <c r="A115" s="894" t="s">
        <v>6419</v>
      </c>
      <c r="B115" s="854" t="s">
        <v>519</v>
      </c>
      <c r="C115" s="856" t="s">
        <v>309</v>
      </c>
      <c r="D115" s="854" t="str">
        <f>Cop</f>
        <v>Courrier en transit</v>
      </c>
      <c r="E115" s="788" t="str">
        <f>Dive</f>
        <v>Divulgation de données</v>
      </c>
      <c r="F115" s="858" t="s">
        <v>3224</v>
      </c>
      <c r="G115" s="858" t="s">
        <v>4788</v>
      </c>
      <c r="H115" s="850"/>
      <c r="I115" s="24">
        <v>1</v>
      </c>
      <c r="J115" s="83" t="str">
        <f>VLOOKUP($F115,Tab_event,5)</f>
        <v>V</v>
      </c>
      <c r="K115" s="24" t="str">
        <f>C115</f>
        <v>C</v>
      </c>
      <c r="L115" s="83">
        <f>IF(VLOOKUP($B115,Tab_classif,8,FALSE)=1,VLOOKUP($B115,Tab_classif,IF(C115="D",4,IF(C115="I",5,IF(C115="C",6,7))),FALSE),1)</f>
        <v>2</v>
      </c>
      <c r="M115" s="83">
        <f>VLOOKUP($F115,Tab_event,3,FALSE)</f>
        <v>3</v>
      </c>
      <c r="N115" s="1070"/>
      <c r="O115" s="1070"/>
      <c r="P115" s="169">
        <f>IF(AND(NOT(L115=""),NOT(M115="")),INDEX(base_g,5-IF(N115="",L115,N115),IF(O115="",M115,O115)),"")</f>
        <v>2</v>
      </c>
      <c r="Q115" s="871">
        <f>1</f>
        <v>1</v>
      </c>
      <c r="R115" s="221">
        <f>S2E05</f>
        <v>1</v>
      </c>
      <c r="S115" s="221">
        <f>1</f>
        <v>1</v>
      </c>
      <c r="T115" s="221">
        <f>1</f>
        <v>1</v>
      </c>
      <c r="U115" s="687"/>
      <c r="V115" s="1071"/>
      <c r="W115" s="1071"/>
      <c r="X115" s="83">
        <f>IF(L115="","",IF(K115="D",INDEX(base_i,IF(U115=0,4,5-S115),T115+7*(IF(N115="",L115,N115)-1)),IF(K115="I",INDEX(base_i,IF(U115=0,15,16-S115),T115+7*(IF(N115="",L115,N115)-1)),IF(K115="C",INDEX(base_i,IF(U115=0,26,27-S115),T115+7*(IF(N115="",L115,N115)-1)),INDEX(base_i,38-S115,T115+7*(IF(N115="",L115,N115)-1))))))</f>
        <v>2</v>
      </c>
      <c r="Y115" s="83" cm="1">
        <f t="array" ref="Y115">IF(M115="","",IF(J115="A",INDEX(base_p,4,R115+7*(IF(O115="",M115,O115)-1)),IF(J115="E",INDEX(base_p,15,R115+7*(IF(O115="",M115,O115)-1)),INDEX(base_p,27-Q115,R115+7*(IF(O115="",M115,O115)-1)))))</f>
        <v>3</v>
      </c>
      <c r="Z115" s="83">
        <f>IF(AO115=1,IF(IndG&gt;1,IF(AND(OR(NOT(X115=""),NOT(V115="")),OR(NOT(Y115=""),NOT(W115="")),I115=1),INDEX(base_g,5-IF(V115="",X115,V115),IF(W115="",Y115,W115)),""),P115),"")</f>
        <v>2</v>
      </c>
      <c r="AA115" s="1092"/>
      <c r="AB115" s="83">
        <f t="shared" si="109"/>
        <v>2</v>
      </c>
      <c r="AC115" s="196"/>
      <c r="AD115" s="196" t="s">
        <v>4368</v>
      </c>
      <c r="AE115" s="196"/>
      <c r="AF115" s="196"/>
      <c r="AG115" s="1" t="str">
        <f>IF($AB115=1,$F115&amp;$AB115,"")</f>
        <v/>
      </c>
      <c r="AH115" s="1" t="str">
        <f>IF($AB115=2,$F115&amp;$AB115,"")</f>
        <v>AH.P.Vol2</v>
      </c>
      <c r="AI115" s="1" t="str">
        <f>IF($AB115=3,$F115&amp;$AB115,"")</f>
        <v/>
      </c>
      <c r="AJ115" s="1" t="str">
        <f>IF($AB115=4,$F115&amp;$AB115,"")</f>
        <v/>
      </c>
      <c r="AK115">
        <f>VLOOKUP($B115,Tab_classif,8,FALSE)</f>
        <v>1</v>
      </c>
      <c r="AL115">
        <f>VLOOKUP(D115,Tab_ActS,2,FALSE)</f>
        <v>1</v>
      </c>
      <c r="AM115">
        <f>VLOOKUP(E115,Tab_SDom,3,FALSE)</f>
        <v>1</v>
      </c>
      <c r="AN115">
        <f>VLOOKUP($F115,Tab_event,4,FALSE)</f>
        <v>1</v>
      </c>
      <c r="AO115">
        <f>I115*AK115*AL115*AM115*AN115</f>
        <v>1</v>
      </c>
      <c r="AP115">
        <f>IF(AND(AO115=1,AA115=""),IF(IndG=1,10*L115+M115,10*X115+Y115),"")</f>
        <v>23</v>
      </c>
    </row>
    <row r="116" spans="1:49" ht="19.5" customHeight="1" x14ac:dyDescent="0.25">
      <c r="A116" s="866" t="s">
        <v>6430</v>
      </c>
      <c r="B116" s="1325"/>
      <c r="C116" s="1325"/>
      <c r="D116" s="1325"/>
      <c r="E116" s="1325"/>
      <c r="F116" s="1325"/>
      <c r="G116" s="1325"/>
      <c r="H116" s="1325"/>
      <c r="I116" s="24"/>
      <c r="J116" s="83"/>
      <c r="K116" s="24"/>
      <c r="L116" s="83"/>
      <c r="M116" s="83"/>
      <c r="N116" s="1070"/>
      <c r="O116" s="1070"/>
      <c r="P116" s="169"/>
      <c r="Q116" s="871"/>
      <c r="R116" s="221"/>
      <c r="S116" s="221"/>
      <c r="T116" s="221"/>
      <c r="U116" s="687">
        <f>1</f>
        <v>1</v>
      </c>
      <c r="V116" s="1071"/>
      <c r="W116" s="1071"/>
      <c r="X116" s="83"/>
      <c r="Y116" s="83"/>
      <c r="Z116" s="83"/>
      <c r="AA116" s="1092"/>
      <c r="AB116" s="83"/>
      <c r="AC116" s="200"/>
      <c r="AD116" s="200"/>
      <c r="AE116" s="200"/>
      <c r="AF116" s="200"/>
      <c r="AG116" s="1"/>
      <c r="AH116" s="1"/>
      <c r="AI116" s="1"/>
      <c r="AJ116" s="1"/>
    </row>
    <row r="117" spans="1:49" ht="42.75" customHeight="1" x14ac:dyDescent="0.25">
      <c r="A117" s="894" t="s">
        <v>6421</v>
      </c>
      <c r="B117" s="854" t="s">
        <v>311</v>
      </c>
      <c r="C117" s="856" t="s">
        <v>539</v>
      </c>
      <c r="D117" s="854" t="str">
        <f>Fic</f>
        <v xml:space="preserve">Fichier ou base de données </v>
      </c>
      <c r="E117" s="788" t="str">
        <f>Disp</f>
        <v>Disparition</v>
      </c>
      <c r="F117" s="858" t="s">
        <v>3198</v>
      </c>
      <c r="G117" s="876" t="s">
        <v>6429</v>
      </c>
      <c r="H117" s="850"/>
      <c r="I117" s="24">
        <v>1</v>
      </c>
      <c r="J117" s="83" t="str">
        <f t="shared" ref="J117:J124" si="110">VLOOKUP($F117,Tab_event,5)</f>
        <v>V</v>
      </c>
      <c r="K117" s="24" t="str">
        <f t="shared" ref="K117:K124" si="111">C117</f>
        <v>D</v>
      </c>
      <c r="L117" s="83">
        <f t="shared" ref="L117:L124" si="112">IF(VLOOKUP($B117,Tab_classif,8,FALSE)=1,VLOOKUP($B117,Tab_classif,IF(C117="D",4,IF(C117="I",5,IF(C117="C",6,7))),FALSE),1)</f>
        <v>1</v>
      </c>
      <c r="M117" s="83">
        <f t="shared" ref="M117:M124" si="113">VLOOKUP($F117,Tab_event,3,FALSE)</f>
        <v>3</v>
      </c>
      <c r="N117" s="1070"/>
      <c r="O117" s="1070"/>
      <c r="P117" s="169">
        <f t="shared" ref="P117:P124" si="114">IF(AND(NOT(L117=""),NOT(M117="")),INDEX(base_g,5-IF(N117="",L117,N117),IF(O117="",M117,O117)),"")</f>
        <v>1</v>
      </c>
      <c r="Q117" s="871">
        <f>MIN(S3A08,S4A11)</f>
        <v>1</v>
      </c>
      <c r="R117" s="221">
        <f>S4F02</f>
        <v>1</v>
      </c>
      <c r="S117" s="221">
        <f>1</f>
        <v>1</v>
      </c>
      <c r="T117" s="221">
        <f>1</f>
        <v>1</v>
      </c>
      <c r="U117" s="687"/>
      <c r="V117" s="1071"/>
      <c r="W117" s="1071"/>
      <c r="X117" s="83">
        <f t="shared" ref="X117:X124" si="115">IF(L117="","",IF(K117="D",INDEX(base_i,IF(U117=0,4,5-S117),T117+7*(IF(N117="",L117,N117)-1)),IF(K117="I",INDEX(base_i,IF(U117=0,15,16-S117),T117+7*(IF(N117="",L117,N117)-1)),IF(K117="C",INDEX(base_i,IF(U117=0,26,27-S117),T117+7*(IF(N117="",L117,N117)-1)),INDEX(base_i,38-S117,T117+7*(IF(N117="",L117,N117)-1))))))</f>
        <v>1</v>
      </c>
      <c r="Y117" s="83" cm="1">
        <f t="array" ref="Y117">IF(M117="","",IF(J117="A",INDEX(base_p,4,R117+7*(IF(O117="",M117,O117)-1)),IF(J117="E",INDEX(base_p,15,R117+7*(IF(O117="",M117,O117)-1)),INDEX(base_p,27-Q117,R117+7*(IF(O117="",M117,O117)-1)))))</f>
        <v>3</v>
      </c>
      <c r="Z117" s="83" t="str">
        <f t="shared" ref="Z117:Z124" si="116">IF(AO117=1,IF(IndG&gt;1,IF(AND(OR(NOT(X117=""),NOT(V117="")),OR(NOT(Y117=""),NOT(W117="")),I117=1),INDEX(base_g,5-IF(V117="",X117,V117),IF(W117="",Y117,W117)),""),P117),"")</f>
        <v/>
      </c>
      <c r="AA117" s="1092"/>
      <c r="AB117" s="83" t="str">
        <f t="shared" si="109"/>
        <v/>
      </c>
      <c r="AC117" s="196" t="s">
        <v>6570</v>
      </c>
      <c r="AD117" s="199" t="s">
        <v>635</v>
      </c>
      <c r="AE117" s="196"/>
      <c r="AF117" s="196"/>
      <c r="AG117" s="1" t="str">
        <f t="shared" ref="AG117:AG124" si="117">IF($AB117=1,$F117&amp;$AB117,"")</f>
        <v/>
      </c>
      <c r="AH117" s="1" t="str">
        <f t="shared" ref="AH117:AH124" si="118">IF($AB117=2,$F117&amp;$AB117,"")</f>
        <v/>
      </c>
      <c r="AI117" s="1" t="str">
        <f t="shared" ref="AI117:AI124" si="119">IF($AB117=3,$F117&amp;$AB117,"")</f>
        <v/>
      </c>
      <c r="AJ117" s="1" t="str">
        <f t="shared" ref="AJ117:AJ124" si="120">IF($AB117=4,$F117&amp;$AB117,"")</f>
        <v/>
      </c>
      <c r="AK117">
        <f t="shared" ref="AK117:AK124" si="121">VLOOKUP($B117,Tab_classif,8,FALSE)</f>
        <v>0</v>
      </c>
      <c r="AL117">
        <f t="shared" ref="AL117:AL124" si="122">VLOOKUP(D117,Tab_ActS,2,FALSE)</f>
        <v>1</v>
      </c>
      <c r="AM117">
        <f t="shared" ref="AM117:AM124" si="123">VLOOKUP(E117,Tab_SDom,3,FALSE)</f>
        <v>1</v>
      </c>
      <c r="AN117">
        <f t="shared" ref="AN117:AN124" si="124">VLOOKUP($F117,Tab_event,4,FALSE)</f>
        <v>1</v>
      </c>
      <c r="AO117">
        <f t="shared" ref="AO117:AO124" si="125">I117*AK117*AL117*AM117*AN117</f>
        <v>0</v>
      </c>
      <c r="AP117" t="str">
        <f t="shared" ref="AP117:AP124" si="126">IF(AND(AO117=1,AA117=""),IF(IndG=1,10*L117+M117,10*X117+Y117),"")</f>
        <v/>
      </c>
      <c r="AW117">
        <v>3</v>
      </c>
    </row>
    <row r="118" spans="1:49" ht="39.75" customHeight="1" x14ac:dyDescent="0.25">
      <c r="A118" s="894" t="s">
        <v>6422</v>
      </c>
      <c r="B118" s="854" t="s">
        <v>311</v>
      </c>
      <c r="C118" s="856" t="s">
        <v>539</v>
      </c>
      <c r="D118" s="854" t="str">
        <f>Fic</f>
        <v xml:space="preserve">Fichier ou base de données </v>
      </c>
      <c r="E118" s="788" t="str">
        <f>Inex</f>
        <v>Inexploitabilité</v>
      </c>
      <c r="F118" s="858" t="s">
        <v>3198</v>
      </c>
      <c r="G118" s="858" t="s">
        <v>4789</v>
      </c>
      <c r="H118" s="851"/>
      <c r="I118" s="24">
        <v>1</v>
      </c>
      <c r="J118" s="83" t="str">
        <f t="shared" si="110"/>
        <v>V</v>
      </c>
      <c r="K118" s="24" t="str">
        <f t="shared" si="111"/>
        <v>D</v>
      </c>
      <c r="L118" s="83">
        <f t="shared" si="112"/>
        <v>1</v>
      </c>
      <c r="M118" s="83">
        <f t="shared" si="113"/>
        <v>3</v>
      </c>
      <c r="N118" s="1070"/>
      <c r="O118" s="1070"/>
      <c r="P118" s="169">
        <f t="shared" si="114"/>
        <v>1</v>
      </c>
      <c r="Q118" s="871">
        <f>1</f>
        <v>1</v>
      </c>
      <c r="R118" s="221">
        <f>S4F01</f>
        <v>1</v>
      </c>
      <c r="S118" s="221">
        <f>1</f>
        <v>1</v>
      </c>
      <c r="T118" s="221">
        <f>1</f>
        <v>1</v>
      </c>
      <c r="U118" s="687"/>
      <c r="V118" s="1071"/>
      <c r="W118" s="1071"/>
      <c r="X118" s="83">
        <f t="shared" si="115"/>
        <v>1</v>
      </c>
      <c r="Y118" s="83" cm="1">
        <f t="array" ref="Y118">IF(M118="","",IF(J118="A",INDEX(base_p,4,R118+7*(IF(O118="",M118,O118)-1)),IF(J118="E",INDEX(base_p,15,R118+7*(IF(O118="",M118,O118)-1)),INDEX(base_p,27-Q118,R118+7*(IF(O118="",M118,O118)-1)))))</f>
        <v>3</v>
      </c>
      <c r="Z118" s="83" t="str">
        <f t="shared" si="116"/>
        <v/>
      </c>
      <c r="AA118" s="1092"/>
      <c r="AB118" s="83" t="str">
        <f t="shared" si="109"/>
        <v/>
      </c>
      <c r="AC118" s="167"/>
      <c r="AD118" s="199" t="s">
        <v>637</v>
      </c>
      <c r="AE118" s="165"/>
      <c r="AF118" s="196"/>
      <c r="AG118" s="1" t="str">
        <f t="shared" si="117"/>
        <v/>
      </c>
      <c r="AH118" s="1" t="str">
        <f t="shared" si="118"/>
        <v/>
      </c>
      <c r="AI118" s="1" t="str">
        <f t="shared" si="119"/>
        <v/>
      </c>
      <c r="AJ118" s="1" t="str">
        <f t="shared" si="120"/>
        <v/>
      </c>
      <c r="AK118">
        <f t="shared" si="121"/>
        <v>0</v>
      </c>
      <c r="AL118">
        <f t="shared" si="122"/>
        <v>1</v>
      </c>
      <c r="AM118">
        <f t="shared" si="123"/>
        <v>1</v>
      </c>
      <c r="AN118">
        <f t="shared" si="124"/>
        <v>1</v>
      </c>
      <c r="AO118">
        <f t="shared" si="125"/>
        <v>0</v>
      </c>
      <c r="AP118" t="str">
        <f t="shared" si="126"/>
        <v/>
      </c>
    </row>
    <row r="119" spans="1:49" ht="39.75" customHeight="1" x14ac:dyDescent="0.25">
      <c r="A119" s="894" t="s">
        <v>6423</v>
      </c>
      <c r="B119" s="854" t="s">
        <v>311</v>
      </c>
      <c r="C119" s="856" t="s">
        <v>539</v>
      </c>
      <c r="D119" s="854" t="str">
        <f t="shared" ref="D119:D124" si="127">Msa</f>
        <v>Média support d'archive</v>
      </c>
      <c r="E119" s="788" t="str">
        <f>Inac</f>
        <v>Inaccessibilité</v>
      </c>
      <c r="F119" s="858" t="s">
        <v>3198</v>
      </c>
      <c r="G119" s="858" t="s">
        <v>4775</v>
      </c>
      <c r="H119" s="850"/>
      <c r="I119" s="24">
        <v>1</v>
      </c>
      <c r="J119" s="83" t="str">
        <f t="shared" si="110"/>
        <v>V</v>
      </c>
      <c r="K119" s="24" t="str">
        <f t="shared" si="111"/>
        <v>D</v>
      </c>
      <c r="L119" s="83">
        <f t="shared" si="112"/>
        <v>1</v>
      </c>
      <c r="M119" s="83">
        <f t="shared" si="113"/>
        <v>3</v>
      </c>
      <c r="N119" s="1070"/>
      <c r="O119" s="1070"/>
      <c r="P119" s="169">
        <f t="shared" si="114"/>
        <v>1</v>
      </c>
      <c r="Q119" s="871">
        <f>1</f>
        <v>1</v>
      </c>
      <c r="R119" s="221">
        <f>S4F01</f>
        <v>1</v>
      </c>
      <c r="S119" s="221">
        <f>1</f>
        <v>1</v>
      </c>
      <c r="T119" s="221">
        <f>1</f>
        <v>1</v>
      </c>
      <c r="U119" s="687"/>
      <c r="V119" s="1071"/>
      <c r="W119" s="1071"/>
      <c r="X119" s="83">
        <f t="shared" si="115"/>
        <v>1</v>
      </c>
      <c r="Y119" s="83" cm="1">
        <f t="array" ref="Y119">IF(M119="","",IF(J119="A",INDEX(base_p,4,R119+7*(IF(O119="",M119,O119)-1)),IF(J119="E",INDEX(base_p,15,R119+7*(IF(O119="",M119,O119)-1)),INDEX(base_p,27-Q119,R119+7*(IF(O119="",M119,O119)-1)))))</f>
        <v>3</v>
      </c>
      <c r="Z119" s="83" t="str">
        <f t="shared" si="116"/>
        <v/>
      </c>
      <c r="AA119" s="1092"/>
      <c r="AB119" s="83" t="str">
        <f t="shared" si="109"/>
        <v/>
      </c>
      <c r="AC119" s="167"/>
      <c r="AD119" s="199" t="s">
        <v>637</v>
      </c>
      <c r="AE119" s="197"/>
      <c r="AF119" s="196"/>
      <c r="AG119" s="1" t="str">
        <f t="shared" si="117"/>
        <v/>
      </c>
      <c r="AH119" s="1" t="str">
        <f t="shared" si="118"/>
        <v/>
      </c>
      <c r="AI119" s="1" t="str">
        <f t="shared" si="119"/>
        <v/>
      </c>
      <c r="AJ119" s="1" t="str">
        <f t="shared" si="120"/>
        <v/>
      </c>
      <c r="AK119">
        <f t="shared" si="121"/>
        <v>0</v>
      </c>
      <c r="AL119">
        <f t="shared" si="122"/>
        <v>1</v>
      </c>
      <c r="AM119">
        <f t="shared" si="123"/>
        <v>1</v>
      </c>
      <c r="AN119">
        <f t="shared" si="124"/>
        <v>1</v>
      </c>
      <c r="AO119">
        <f t="shared" si="125"/>
        <v>0</v>
      </c>
      <c r="AP119" t="str">
        <f t="shared" si="126"/>
        <v/>
      </c>
    </row>
    <row r="120" spans="1:49" ht="39.75" customHeight="1" x14ac:dyDescent="0.25">
      <c r="A120" s="894" t="s">
        <v>6424</v>
      </c>
      <c r="B120" s="854" t="s">
        <v>311</v>
      </c>
      <c r="C120" s="856" t="s">
        <v>539</v>
      </c>
      <c r="D120" s="854" t="str">
        <f t="shared" si="127"/>
        <v>Média support d'archive</v>
      </c>
      <c r="E120" s="860" t="str">
        <f>Disp</f>
        <v>Disparition</v>
      </c>
      <c r="F120" s="858" t="s">
        <v>3224</v>
      </c>
      <c r="G120" s="858" t="s">
        <v>4790</v>
      </c>
      <c r="H120" s="861"/>
      <c r="I120" s="24">
        <v>1</v>
      </c>
      <c r="J120" s="83" t="str">
        <f t="shared" si="110"/>
        <v>V</v>
      </c>
      <c r="K120" s="24" t="str">
        <f t="shared" si="111"/>
        <v>D</v>
      </c>
      <c r="L120" s="83">
        <f t="shared" si="112"/>
        <v>1</v>
      </c>
      <c r="M120" s="83">
        <f t="shared" si="113"/>
        <v>3</v>
      </c>
      <c r="N120" s="1070"/>
      <c r="O120" s="1070"/>
      <c r="P120" s="169">
        <f t="shared" si="114"/>
        <v>1</v>
      </c>
      <c r="Q120" s="871">
        <f>1</f>
        <v>1</v>
      </c>
      <c r="R120" s="221">
        <f>S4F03</f>
        <v>1</v>
      </c>
      <c r="S120" s="221">
        <f>1</f>
        <v>1</v>
      </c>
      <c r="T120" s="221">
        <f>1</f>
        <v>1</v>
      </c>
      <c r="U120" s="687"/>
      <c r="V120" s="1071"/>
      <c r="W120" s="1071"/>
      <c r="X120" s="83">
        <f t="shared" si="115"/>
        <v>1</v>
      </c>
      <c r="Y120" s="83" cm="1">
        <f t="array" ref="Y120">IF(M120="","",IF(J120="A",INDEX(base_p,4,R120+7*(IF(O120="",M120,O120)-1)),IF(J120="E",INDEX(base_p,15,R120+7*(IF(O120="",M120,O120)-1)),INDEX(base_p,27-Q120,R120+7*(IF(O120="",M120,O120)-1)))))</f>
        <v>3</v>
      </c>
      <c r="Z120" s="83" t="str">
        <f t="shared" si="116"/>
        <v/>
      </c>
      <c r="AA120" s="1092"/>
      <c r="AB120" s="83" t="str">
        <f t="shared" si="109"/>
        <v/>
      </c>
      <c r="AC120" s="199"/>
      <c r="AD120" s="196" t="s">
        <v>636</v>
      </c>
      <c r="AE120" s="197"/>
      <c r="AF120" s="196"/>
      <c r="AG120" s="1" t="str">
        <f t="shared" si="117"/>
        <v/>
      </c>
      <c r="AH120" s="1" t="str">
        <f t="shared" si="118"/>
        <v/>
      </c>
      <c r="AI120" s="1" t="str">
        <f t="shared" si="119"/>
        <v/>
      </c>
      <c r="AJ120" s="1" t="str">
        <f t="shared" si="120"/>
        <v/>
      </c>
      <c r="AK120">
        <f t="shared" si="121"/>
        <v>0</v>
      </c>
      <c r="AL120">
        <f t="shared" si="122"/>
        <v>1</v>
      </c>
      <c r="AM120">
        <f t="shared" si="123"/>
        <v>1</v>
      </c>
      <c r="AN120">
        <f t="shared" si="124"/>
        <v>1</v>
      </c>
      <c r="AO120">
        <f t="shared" si="125"/>
        <v>0</v>
      </c>
      <c r="AP120" t="str">
        <f t="shared" si="126"/>
        <v/>
      </c>
    </row>
    <row r="121" spans="1:49" ht="36" customHeight="1" x14ac:dyDescent="0.25">
      <c r="A121" s="894" t="s">
        <v>6425</v>
      </c>
      <c r="B121" s="854" t="s">
        <v>311</v>
      </c>
      <c r="C121" s="856" t="s">
        <v>539</v>
      </c>
      <c r="D121" s="854" t="str">
        <f t="shared" si="127"/>
        <v>Média support d'archive</v>
      </c>
      <c r="E121" s="860" t="str">
        <f>Inop</f>
        <v>Inopérabilité</v>
      </c>
      <c r="F121" s="905" t="s">
        <v>3205</v>
      </c>
      <c r="G121" s="858" t="s">
        <v>4791</v>
      </c>
      <c r="H121" s="864"/>
      <c r="I121" s="24">
        <v>1</v>
      </c>
      <c r="J121" s="83" t="str">
        <f t="shared" si="110"/>
        <v>A</v>
      </c>
      <c r="K121" s="24" t="str">
        <f t="shared" si="111"/>
        <v>D</v>
      </c>
      <c r="L121" s="83">
        <f t="shared" si="112"/>
        <v>1</v>
      </c>
      <c r="M121" s="83">
        <f t="shared" si="113"/>
        <v>2</v>
      </c>
      <c r="N121" s="1070"/>
      <c r="O121" s="1070"/>
      <c r="P121" s="169">
        <f t="shared" si="114"/>
        <v>1</v>
      </c>
      <c r="Q121" s="871">
        <f>1</f>
        <v>1</v>
      </c>
      <c r="R121" s="221">
        <f>S4F01</f>
        <v>1</v>
      </c>
      <c r="S121" s="221">
        <f>1</f>
        <v>1</v>
      </c>
      <c r="T121" s="221">
        <f>1</f>
        <v>1</v>
      </c>
      <c r="U121" s="687"/>
      <c r="V121" s="1071"/>
      <c r="W121" s="1071"/>
      <c r="X121" s="83">
        <f t="shared" si="115"/>
        <v>1</v>
      </c>
      <c r="Y121" s="83" cm="1">
        <f t="array" ref="Y121">IF(M121="","",IF(J121="A",INDEX(base_p,4,R121+7*(IF(O121="",M121,O121)-1)),IF(J121="E",INDEX(base_p,15,R121+7*(IF(O121="",M121,O121)-1)),INDEX(base_p,27-Q121,R121+7*(IF(O121="",M121,O121)-1)))))</f>
        <v>2</v>
      </c>
      <c r="Z121" s="83" t="str">
        <f t="shared" si="116"/>
        <v/>
      </c>
      <c r="AA121" s="1092"/>
      <c r="AB121" s="83" t="str">
        <f t="shared" si="109"/>
        <v/>
      </c>
      <c r="AC121" s="167"/>
      <c r="AD121" s="199" t="s">
        <v>637</v>
      </c>
      <c r="AE121" s="165"/>
      <c r="AF121" s="165"/>
      <c r="AG121" s="1" t="str">
        <f t="shared" si="117"/>
        <v/>
      </c>
      <c r="AH121" s="1" t="str">
        <f t="shared" si="118"/>
        <v/>
      </c>
      <c r="AI121" s="1" t="str">
        <f t="shared" si="119"/>
        <v/>
      </c>
      <c r="AJ121" s="1" t="str">
        <f t="shared" si="120"/>
        <v/>
      </c>
      <c r="AK121">
        <f t="shared" si="121"/>
        <v>0</v>
      </c>
      <c r="AL121">
        <f t="shared" si="122"/>
        <v>1</v>
      </c>
      <c r="AM121">
        <f t="shared" si="123"/>
        <v>1</v>
      </c>
      <c r="AN121">
        <f t="shared" si="124"/>
        <v>1</v>
      </c>
      <c r="AO121">
        <f t="shared" si="125"/>
        <v>0</v>
      </c>
      <c r="AP121" t="str">
        <f t="shared" si="126"/>
        <v/>
      </c>
    </row>
    <row r="122" spans="1:49" ht="39.75" customHeight="1" x14ac:dyDescent="0.25">
      <c r="A122" s="894" t="s">
        <v>6426</v>
      </c>
      <c r="B122" s="854" t="s">
        <v>311</v>
      </c>
      <c r="C122" s="856" t="s">
        <v>539</v>
      </c>
      <c r="D122" s="854" t="str">
        <f t="shared" si="127"/>
        <v>Média support d'archive</v>
      </c>
      <c r="E122" s="862" t="str">
        <f>Endp</f>
        <v>Endommagement physique</v>
      </c>
      <c r="F122" s="858" t="s">
        <v>3229</v>
      </c>
      <c r="G122" s="858" t="s">
        <v>3231</v>
      </c>
      <c r="H122" s="863"/>
      <c r="I122" s="24">
        <v>1</v>
      </c>
      <c r="J122" s="83" t="str">
        <f t="shared" si="110"/>
        <v>A</v>
      </c>
      <c r="K122" s="24" t="str">
        <f t="shared" si="111"/>
        <v>D</v>
      </c>
      <c r="L122" s="83">
        <f t="shared" si="112"/>
        <v>1</v>
      </c>
      <c r="M122" s="83">
        <f t="shared" si="113"/>
        <v>2</v>
      </c>
      <c r="N122" s="1070"/>
      <c r="O122" s="1070"/>
      <c r="P122" s="169">
        <f t="shared" si="114"/>
        <v>1</v>
      </c>
      <c r="Q122" s="871">
        <f>1</f>
        <v>1</v>
      </c>
      <c r="R122" s="221">
        <f>S4F03</f>
        <v>1</v>
      </c>
      <c r="S122" s="221">
        <f>S2A03</f>
        <v>1</v>
      </c>
      <c r="T122" s="221">
        <f>1</f>
        <v>1</v>
      </c>
      <c r="U122" s="687"/>
      <c r="V122" s="1071"/>
      <c r="W122" s="1071"/>
      <c r="X122" s="83">
        <f t="shared" si="115"/>
        <v>1</v>
      </c>
      <c r="Y122" s="83" cm="1">
        <f t="array" ref="Y122">IF(M122="","",IF(J122="A",INDEX(base_p,4,R122+7*(IF(O122="",M122,O122)-1)),IF(J122="E",INDEX(base_p,15,R122+7*(IF(O122="",M122,O122)-1)),INDEX(base_p,27-Q122,R122+7*(IF(O122="",M122,O122)-1)))))</f>
        <v>2</v>
      </c>
      <c r="Z122" s="83" t="str">
        <f t="shared" si="116"/>
        <v/>
      </c>
      <c r="AA122" s="1092"/>
      <c r="AB122" s="83" t="str">
        <f t="shared" si="109"/>
        <v/>
      </c>
      <c r="AC122" s="167"/>
      <c r="AD122" s="196" t="s">
        <v>636</v>
      </c>
      <c r="AE122" s="197" t="s">
        <v>632</v>
      </c>
      <c r="AF122" s="196"/>
      <c r="AG122" s="1" t="str">
        <f t="shared" si="117"/>
        <v/>
      </c>
      <c r="AH122" s="1" t="str">
        <f t="shared" si="118"/>
        <v/>
      </c>
      <c r="AI122" s="1" t="str">
        <f t="shared" si="119"/>
        <v/>
      </c>
      <c r="AJ122" s="1" t="str">
        <f t="shared" si="120"/>
        <v/>
      </c>
      <c r="AK122">
        <f t="shared" si="121"/>
        <v>0</v>
      </c>
      <c r="AL122">
        <f t="shared" si="122"/>
        <v>1</v>
      </c>
      <c r="AM122">
        <f t="shared" si="123"/>
        <v>1</v>
      </c>
      <c r="AN122">
        <f t="shared" si="124"/>
        <v>1</v>
      </c>
      <c r="AO122">
        <f t="shared" si="125"/>
        <v>0</v>
      </c>
      <c r="AP122" t="str">
        <f t="shared" si="126"/>
        <v/>
      </c>
    </row>
    <row r="123" spans="1:49" ht="39.75" customHeight="1" x14ac:dyDescent="0.25">
      <c r="A123" s="894" t="s">
        <v>6427</v>
      </c>
      <c r="B123" s="854" t="s">
        <v>311</v>
      </c>
      <c r="C123" s="856" t="s">
        <v>539</v>
      </c>
      <c r="D123" s="854" t="str">
        <f t="shared" si="127"/>
        <v>Média support d'archive</v>
      </c>
      <c r="E123" s="862" t="str">
        <f>Endp</f>
        <v>Endommagement physique</v>
      </c>
      <c r="F123" s="858" t="s">
        <v>3203</v>
      </c>
      <c r="G123" s="858" t="s">
        <v>4792</v>
      </c>
      <c r="H123" s="863"/>
      <c r="I123" s="24">
        <v>1</v>
      </c>
      <c r="J123" s="83" t="str">
        <f t="shared" si="110"/>
        <v>A</v>
      </c>
      <c r="K123" s="24" t="str">
        <f t="shared" si="111"/>
        <v>D</v>
      </c>
      <c r="L123" s="83">
        <f t="shared" si="112"/>
        <v>1</v>
      </c>
      <c r="M123" s="83">
        <f t="shared" si="113"/>
        <v>2</v>
      </c>
      <c r="N123" s="1070"/>
      <c r="O123" s="1070"/>
      <c r="P123" s="169">
        <f t="shared" si="114"/>
        <v>1</v>
      </c>
      <c r="Q123" s="871">
        <f>1</f>
        <v>1</v>
      </c>
      <c r="R123" s="221">
        <f>S4F03</f>
        <v>1</v>
      </c>
      <c r="S123" s="221">
        <f>1</f>
        <v>1</v>
      </c>
      <c r="T123" s="221">
        <f>1</f>
        <v>1</v>
      </c>
      <c r="U123" s="687"/>
      <c r="V123" s="1071"/>
      <c r="W123" s="1071"/>
      <c r="X123" s="83">
        <f t="shared" si="115"/>
        <v>1</v>
      </c>
      <c r="Y123" s="83" cm="1">
        <f t="array" ref="Y123">IF(M123="","",IF(J123="A",INDEX(base_p,4,R123+7*(IF(O123="",M123,O123)-1)),IF(J123="E",INDEX(base_p,15,R123+7*(IF(O123="",M123,O123)-1)),INDEX(base_p,27-Q123,R123+7*(IF(O123="",M123,O123)-1)))))</f>
        <v>2</v>
      </c>
      <c r="Z123" s="83" t="str">
        <f t="shared" si="116"/>
        <v/>
      </c>
      <c r="AA123" s="1092"/>
      <c r="AB123" s="83" t="str">
        <f t="shared" si="109"/>
        <v/>
      </c>
      <c r="AC123" s="167"/>
      <c r="AD123" s="196" t="s">
        <v>636</v>
      </c>
      <c r="AE123" s="197"/>
      <c r="AF123" s="196"/>
      <c r="AG123" s="1" t="str">
        <f t="shared" si="117"/>
        <v/>
      </c>
      <c r="AH123" s="1" t="str">
        <f t="shared" si="118"/>
        <v/>
      </c>
      <c r="AI123" s="1" t="str">
        <f t="shared" si="119"/>
        <v/>
      </c>
      <c r="AJ123" s="1" t="str">
        <f t="shared" si="120"/>
        <v/>
      </c>
      <c r="AK123">
        <f t="shared" si="121"/>
        <v>0</v>
      </c>
      <c r="AL123">
        <f t="shared" si="122"/>
        <v>1</v>
      </c>
      <c r="AM123">
        <f t="shared" si="123"/>
        <v>1</v>
      </c>
      <c r="AN123">
        <f t="shared" si="124"/>
        <v>1</v>
      </c>
      <c r="AO123">
        <f t="shared" si="125"/>
        <v>0</v>
      </c>
      <c r="AP123" t="str">
        <f t="shared" si="126"/>
        <v/>
      </c>
    </row>
    <row r="124" spans="1:49" ht="39.75" customHeight="1" x14ac:dyDescent="0.25">
      <c r="A124" s="894" t="s">
        <v>6428</v>
      </c>
      <c r="B124" s="854" t="s">
        <v>311</v>
      </c>
      <c r="C124" s="856" t="s">
        <v>539</v>
      </c>
      <c r="D124" s="854" t="str">
        <f t="shared" si="127"/>
        <v>Média support d'archive</v>
      </c>
      <c r="E124" s="788" t="str">
        <f>Inex</f>
        <v>Inexploitabilité</v>
      </c>
      <c r="F124" s="858" t="s">
        <v>3198</v>
      </c>
      <c r="G124" s="858" t="s">
        <v>3233</v>
      </c>
      <c r="H124" s="854"/>
      <c r="I124" s="24">
        <v>1</v>
      </c>
      <c r="J124" s="83" t="str">
        <f t="shared" si="110"/>
        <v>V</v>
      </c>
      <c r="K124" s="24" t="str">
        <f t="shared" si="111"/>
        <v>D</v>
      </c>
      <c r="L124" s="83">
        <f t="shared" si="112"/>
        <v>1</v>
      </c>
      <c r="M124" s="83">
        <f t="shared" si="113"/>
        <v>3</v>
      </c>
      <c r="N124" s="1070"/>
      <c r="O124" s="1070"/>
      <c r="P124" s="169">
        <f t="shared" si="114"/>
        <v>1</v>
      </c>
      <c r="Q124" s="871">
        <f>1</f>
        <v>1</v>
      </c>
      <c r="R124" s="221">
        <f>S4F01</f>
        <v>1</v>
      </c>
      <c r="S124" s="221">
        <f>1</f>
        <v>1</v>
      </c>
      <c r="T124" s="221">
        <f>1</f>
        <v>1</v>
      </c>
      <c r="U124" s="687"/>
      <c r="V124" s="1071"/>
      <c r="W124" s="1071"/>
      <c r="X124" s="83">
        <f t="shared" si="115"/>
        <v>1</v>
      </c>
      <c r="Y124" s="83" cm="1">
        <f t="array" ref="Y124">IF(M124="","",IF(J124="A",INDEX(base_p,4,R124+7*(IF(O124="",M124,O124)-1)),IF(J124="E",INDEX(base_p,15,R124+7*(IF(O124="",M124,O124)-1)),INDEX(base_p,27-Q124,R124+7*(IF(O124="",M124,O124)-1)))))</f>
        <v>3</v>
      </c>
      <c r="Z124" s="83" t="str">
        <f t="shared" si="116"/>
        <v/>
      </c>
      <c r="AA124" s="1092"/>
      <c r="AB124" s="83" t="str">
        <f t="shared" si="109"/>
        <v/>
      </c>
      <c r="AC124" s="167"/>
      <c r="AD124" s="199" t="s">
        <v>637</v>
      </c>
      <c r="AE124" s="197"/>
      <c r="AF124" s="196"/>
      <c r="AG124" s="1" t="str">
        <f t="shared" si="117"/>
        <v/>
      </c>
      <c r="AH124" s="1" t="str">
        <f t="shared" si="118"/>
        <v/>
      </c>
      <c r="AI124" s="1" t="str">
        <f t="shared" si="119"/>
        <v/>
      </c>
      <c r="AJ124" s="1" t="str">
        <f t="shared" si="120"/>
        <v/>
      </c>
      <c r="AK124">
        <f t="shared" si="121"/>
        <v>0</v>
      </c>
      <c r="AL124">
        <f t="shared" si="122"/>
        <v>1</v>
      </c>
      <c r="AM124">
        <f t="shared" si="123"/>
        <v>1</v>
      </c>
      <c r="AN124">
        <f t="shared" si="124"/>
        <v>1</v>
      </c>
      <c r="AO124">
        <f t="shared" si="125"/>
        <v>0</v>
      </c>
      <c r="AP124" t="str">
        <f t="shared" si="126"/>
        <v/>
      </c>
    </row>
    <row r="125" spans="1:49" ht="18" customHeight="1" x14ac:dyDescent="0.25">
      <c r="A125" s="866" t="s">
        <v>6435</v>
      </c>
      <c r="B125" s="1325"/>
      <c r="C125" s="1325"/>
      <c r="D125" s="1325"/>
      <c r="E125" s="1325"/>
      <c r="F125" s="1325"/>
      <c r="G125" s="1325"/>
      <c r="H125" s="1325"/>
      <c r="I125" s="24"/>
      <c r="J125" s="83"/>
      <c r="K125" s="24"/>
      <c r="L125" s="83"/>
      <c r="M125" s="83"/>
      <c r="N125" s="1070"/>
      <c r="O125" s="1070"/>
      <c r="P125" s="169"/>
      <c r="Q125" s="871"/>
      <c r="R125" s="221"/>
      <c r="S125" s="221"/>
      <c r="T125" s="221"/>
      <c r="U125" s="687">
        <f>1</f>
        <v>1</v>
      </c>
      <c r="V125" s="1071"/>
      <c r="W125" s="1071"/>
      <c r="X125" s="83"/>
      <c r="Y125" s="83"/>
      <c r="Z125" s="83"/>
      <c r="AA125" s="1092"/>
      <c r="AB125" s="83"/>
      <c r="AC125" s="200"/>
      <c r="AD125" s="200"/>
      <c r="AE125" s="200"/>
      <c r="AF125" s="200"/>
      <c r="AG125" s="1"/>
      <c r="AH125" s="1"/>
      <c r="AI125" s="1"/>
      <c r="AJ125" s="1"/>
    </row>
    <row r="126" spans="1:49" ht="31.5" customHeight="1" x14ac:dyDescent="0.25">
      <c r="A126" s="894" t="s">
        <v>6432</v>
      </c>
      <c r="B126" s="854" t="s">
        <v>311</v>
      </c>
      <c r="C126" s="856" t="s">
        <v>309</v>
      </c>
      <c r="D126" s="854" t="str">
        <f>Fic</f>
        <v xml:space="preserve">Fichier ou base de données </v>
      </c>
      <c r="E126" s="788" t="str">
        <f>Dive</f>
        <v>Divulgation de données</v>
      </c>
      <c r="F126" s="858" t="s">
        <v>3220</v>
      </c>
      <c r="G126" s="858" t="s">
        <v>4793</v>
      </c>
      <c r="H126" s="851" t="s">
        <v>4726</v>
      </c>
      <c r="I126" s="24">
        <v>1</v>
      </c>
      <c r="J126" s="83" t="str">
        <f>VLOOKUP($F126,Tab_event,5)</f>
        <v>V</v>
      </c>
      <c r="K126" s="24" t="str">
        <f>C126</f>
        <v>C</v>
      </c>
      <c r="L126" s="83">
        <f>IF(VLOOKUP($B126,Tab_classif,8,FALSE)=1,VLOOKUP($B126,Tab_classif,IF(C126="D",4,IF(C126="I",5,IF(C126="C",6,7))),FALSE),1)</f>
        <v>1</v>
      </c>
      <c r="M126" s="83">
        <f>VLOOKUP($F126,Tab_event,3,FALSE)</f>
        <v>3</v>
      </c>
      <c r="N126" s="1070"/>
      <c r="O126" s="1070"/>
      <c r="P126" s="169">
        <f>IF(AND(NOT(L126=""),NOT(M126="")),INDEX(base_g,5-IF(N126="",L126,N126),IF(O126="",M126,O126)),"")</f>
        <v>1</v>
      </c>
      <c r="Q126" s="871">
        <f>1</f>
        <v>1</v>
      </c>
      <c r="R126" s="221">
        <f>MAX(S5B02,S4F02)</f>
        <v>1</v>
      </c>
      <c r="S126" s="221">
        <f>1</f>
        <v>1</v>
      </c>
      <c r="T126" s="221">
        <f>1</f>
        <v>1</v>
      </c>
      <c r="U126" s="687"/>
      <c r="V126" s="1071"/>
      <c r="W126" s="1071"/>
      <c r="X126" s="83">
        <f>IF(L126="","",IF(K126="D",INDEX(base_i,IF(U126=0,4,5-S126),T126+7*(IF(N126="",L126,N126)-1)),IF(K126="I",INDEX(base_i,IF(U126=0,15,16-S126),T126+7*(IF(N126="",L126,N126)-1)),IF(K126="C",INDEX(base_i,IF(U126=0,26,27-S126),T126+7*(IF(N126="",L126,N126)-1)),INDEX(base_i,38-S126,T126+7*(IF(N126="",L126,N126)-1))))))</f>
        <v>1</v>
      </c>
      <c r="Y126" s="83" cm="1">
        <f t="array" ref="Y126">IF(M126="","",IF(J126="A",INDEX(base_p,4,R126+7*(IF(O126="",M126,O126)-1)),IF(J126="E",INDEX(base_p,15,R126+7*(IF(O126="",M126,O126)-1)),INDEX(base_p,27-Q126,R126+7*(IF(O126="",M126,O126)-1)))))</f>
        <v>3</v>
      </c>
      <c r="Z126" s="83" t="str">
        <f>IF(AO126=1,IF(IndG&gt;1,IF(AND(OR(NOT(X126=""),NOT(V126="")),OR(NOT(Y126=""),NOT(W126="")),I126=1),INDEX(base_g,5-IF(V126="",X126,V126),IF(W126="",Y126,W126)),""),P126),"")</f>
        <v/>
      </c>
      <c r="AA126" s="1092"/>
      <c r="AB126" s="83" t="str">
        <f t="shared" si="109"/>
        <v/>
      </c>
      <c r="AC126" s="167"/>
      <c r="AD126" s="196" t="s">
        <v>6579</v>
      </c>
      <c r="AE126" s="197"/>
      <c r="AF126" s="196"/>
      <c r="AG126" s="1" t="str">
        <f>IF($AB126=1,$F126&amp;$AB126,"")</f>
        <v/>
      </c>
      <c r="AH126" s="1" t="str">
        <f>IF($AB126=2,$F126&amp;$AB126,"")</f>
        <v/>
      </c>
      <c r="AI126" s="1" t="str">
        <f>IF($AB126=3,$F126&amp;$AB126,"")</f>
        <v/>
      </c>
      <c r="AJ126" s="1" t="str">
        <f>IF($AB126=4,$F126&amp;$AB126,"")</f>
        <v/>
      </c>
      <c r="AK126">
        <f>VLOOKUP($B126,Tab_classif,8,FALSE)</f>
        <v>0</v>
      </c>
      <c r="AL126">
        <f>VLOOKUP(D126,Tab_ActS,2,FALSE)</f>
        <v>1</v>
      </c>
      <c r="AM126">
        <f>VLOOKUP(E126,Tab_SDom,3,FALSE)</f>
        <v>1</v>
      </c>
      <c r="AN126">
        <f>VLOOKUP($F126,Tab_event,4,FALSE)</f>
        <v>1</v>
      </c>
      <c r="AO126">
        <f>I126*AK126*AL126*AM126*AN126</f>
        <v>0</v>
      </c>
      <c r="AP126" t="str">
        <f>IF(AND(AO126=1,AA126=""),IF(IndG=1,10*L126+M126,10*X126+Y126),"")</f>
        <v/>
      </c>
    </row>
    <row r="127" spans="1:49" ht="31.5" customHeight="1" x14ac:dyDescent="0.25">
      <c r="A127" s="894" t="s">
        <v>6433</v>
      </c>
      <c r="B127" s="854" t="s">
        <v>311</v>
      </c>
      <c r="C127" s="856" t="s">
        <v>309</v>
      </c>
      <c r="D127" s="854" t="str">
        <f>Fic</f>
        <v xml:space="preserve">Fichier ou base de données </v>
      </c>
      <c r="E127" s="788" t="str">
        <f>Dive</f>
        <v>Divulgation de données</v>
      </c>
      <c r="F127" s="858" t="s">
        <v>3220</v>
      </c>
      <c r="G127" s="858" t="s">
        <v>4793</v>
      </c>
      <c r="H127" s="898" t="s">
        <v>6431</v>
      </c>
      <c r="I127" s="24">
        <v>1</v>
      </c>
      <c r="J127" s="83" t="str">
        <f>VLOOKUP($F127,Tab_event,5)</f>
        <v>V</v>
      </c>
      <c r="K127" s="24" t="str">
        <f>C127</f>
        <v>C</v>
      </c>
      <c r="L127" s="83">
        <f>IF(VLOOKUP($B127,Tab_classif,8,FALSE)=1,VLOOKUP($B127,Tab_classif,IF(C127="D",4,IF(C127="I",5,IF(C127="C",6,7))),FALSE),1)</f>
        <v>1</v>
      </c>
      <c r="M127" s="83">
        <f>VLOOKUP($F127,Tab_event,3,FALSE)</f>
        <v>3</v>
      </c>
      <c r="N127" s="1070"/>
      <c r="O127" s="1070"/>
      <c r="P127" s="169">
        <f>IF(AND(NOT(L127=""),NOT(M127="")),INDEX(base_g,5-IF(N127="",L127,N127),IF(O127="",M127,O127)),"")</f>
        <v>1</v>
      </c>
      <c r="Q127" s="871">
        <f>S3A08</f>
        <v>1</v>
      </c>
      <c r="R127" s="221">
        <f>S5B02</f>
        <v>1</v>
      </c>
      <c r="S127" s="221">
        <f>1</f>
        <v>1</v>
      </c>
      <c r="T127" s="221">
        <f>1</f>
        <v>1</v>
      </c>
      <c r="U127" s="687"/>
      <c r="V127" s="1071"/>
      <c r="W127" s="1071"/>
      <c r="X127" s="83">
        <f>IF(L127="","",IF(K127="D",INDEX(base_i,IF(U127=0,4,5-S127),T127+7*(IF(N127="",L127,N127)-1)),IF(K127="I",INDEX(base_i,IF(U127=0,15,16-S127),T127+7*(IF(N127="",L127,N127)-1)),IF(K127="C",INDEX(base_i,IF(U127=0,26,27-S127),T127+7*(IF(N127="",L127,N127)-1)),INDEX(base_i,38-S127,T127+7*(IF(N127="",L127,N127)-1))))))</f>
        <v>1</v>
      </c>
      <c r="Y127" s="83" cm="1">
        <f t="array" ref="Y127">IF(M127="","",IF(J127="A",INDEX(base_p,4,R127+7*(IF(O127="",M127,O127)-1)),IF(J127="E",INDEX(base_p,15,R127+7*(IF(O127="",M127,O127)-1)),INDEX(base_p,27-Q127,R127+7*(IF(O127="",M127,O127)-1)))))</f>
        <v>3</v>
      </c>
      <c r="Z127" s="83" t="str">
        <f>IF(AO127=1,IF(IndG&gt;1,IF(AND(OR(NOT(X127=""),NOT(V127="")),OR(NOT(Y127=""),NOT(W127="")),I127=1),INDEX(base_g,5-IF(V127="",X127,V127),IF(W127="",Y127,W127)),""),P127),"")</f>
        <v/>
      </c>
      <c r="AA127" s="1092"/>
      <c r="AB127" s="83" t="str">
        <f t="shared" si="109"/>
        <v/>
      </c>
      <c r="AC127" s="167" t="s">
        <v>820</v>
      </c>
      <c r="AD127" s="196" t="s">
        <v>641</v>
      </c>
      <c r="AE127" s="197"/>
      <c r="AF127" s="196"/>
      <c r="AG127" s="1" t="str">
        <f>IF($AB127=1,$F127&amp;$AB127,"")</f>
        <v/>
      </c>
      <c r="AH127" s="1" t="str">
        <f>IF($AB127=2,$F127&amp;$AB127,"")</f>
        <v/>
      </c>
      <c r="AI127" s="1" t="str">
        <f>IF($AB127=3,$F127&amp;$AB127,"")</f>
        <v/>
      </c>
      <c r="AJ127" s="1" t="str">
        <f>IF($AB127=4,$F127&amp;$AB127,"")</f>
        <v/>
      </c>
      <c r="AK127">
        <f>VLOOKUP($B127,Tab_classif,8,FALSE)</f>
        <v>0</v>
      </c>
      <c r="AL127">
        <f>VLOOKUP(D127,Tab_ActS,2,FALSE)</f>
        <v>1</v>
      </c>
      <c r="AM127">
        <f>VLOOKUP(E127,Tab_SDom,3,FALSE)</f>
        <v>1</v>
      </c>
      <c r="AN127">
        <f>VLOOKUP($F127,Tab_event,4,FALSE)</f>
        <v>1</v>
      </c>
      <c r="AO127">
        <f>I127*AK127*AL127*AM127*AN127</f>
        <v>0</v>
      </c>
      <c r="AP127" t="str">
        <f>IF(AND(AO127=1,AA127=""),IF(IndG=1,10*L127+M127,10*X127+Y127),"")</f>
        <v/>
      </c>
    </row>
    <row r="128" spans="1:49" ht="31.5" customHeight="1" x14ac:dyDescent="0.25">
      <c r="A128" s="894" t="s">
        <v>6434</v>
      </c>
      <c r="B128" s="854" t="s">
        <v>311</v>
      </c>
      <c r="C128" s="856" t="s">
        <v>309</v>
      </c>
      <c r="D128" s="854" t="str">
        <f>Msa</f>
        <v>Média support d'archive</v>
      </c>
      <c r="E128" s="788" t="str">
        <f>Dive</f>
        <v>Divulgation de données</v>
      </c>
      <c r="F128" s="858" t="s">
        <v>3224</v>
      </c>
      <c r="G128" s="858" t="s">
        <v>4785</v>
      </c>
      <c r="H128" s="850"/>
      <c r="I128" s="24">
        <v>1</v>
      </c>
      <c r="J128" s="83" t="str">
        <f>VLOOKUP($F128,Tab_event,5)</f>
        <v>V</v>
      </c>
      <c r="K128" s="24" t="str">
        <f>C128</f>
        <v>C</v>
      </c>
      <c r="L128" s="83">
        <f>IF(VLOOKUP($B128,Tab_classif,8,FALSE)=1,VLOOKUP($B128,Tab_classif,IF(C128="D",4,IF(C128="I",5,IF(C128="C",6,7))),FALSE),1)</f>
        <v>1</v>
      </c>
      <c r="M128" s="83">
        <f>VLOOKUP($F128,Tab_event,3,FALSE)</f>
        <v>3</v>
      </c>
      <c r="N128" s="1070"/>
      <c r="O128" s="1070"/>
      <c r="P128" s="169">
        <f>IF(AND(NOT(L128=""),NOT(M128="")),INDEX(base_g,5-IF(N128="",L128,N128),IF(O128="",M128,O128)),"")</f>
        <v>1</v>
      </c>
      <c r="Q128" s="871">
        <f>1</f>
        <v>1</v>
      </c>
      <c r="R128" s="221">
        <f>MAX(S5B02,S4F02)</f>
        <v>1</v>
      </c>
      <c r="S128" s="221">
        <f>1</f>
        <v>1</v>
      </c>
      <c r="T128" s="221">
        <f>1</f>
        <v>1</v>
      </c>
      <c r="U128" s="687"/>
      <c r="V128" s="1071"/>
      <c r="W128" s="1071"/>
      <c r="X128" s="83">
        <f>IF(L128="","",IF(K128="D",INDEX(base_i,IF(U128=0,4,5-S128),T128+7*(IF(N128="",L128,N128)-1)),IF(K128="I",INDEX(base_i,IF(U128=0,15,16-S128),T128+7*(IF(N128="",L128,N128)-1)),IF(K128="C",INDEX(base_i,IF(U128=0,26,27-S128),T128+7*(IF(N128="",L128,N128)-1)),INDEX(base_i,38-S128,T128+7*(IF(N128="",L128,N128)-1))))))</f>
        <v>1</v>
      </c>
      <c r="Y128" s="83" cm="1">
        <f t="array" ref="Y128">IF(M128="","",IF(J128="A",INDEX(base_p,4,R128+7*(IF(O128="",M128,O128)-1)),IF(J128="E",INDEX(base_p,15,R128+7*(IF(O128="",M128,O128)-1)),INDEX(base_p,27-Q128,R128+7*(IF(O128="",M128,O128)-1)))))</f>
        <v>3</v>
      </c>
      <c r="Z128" s="83" t="str">
        <f>IF(AO128=1,IF(IndG&gt;1,IF(AND(OR(NOT(X128=""),NOT(V128="")),OR(NOT(Y128=""),NOT(W128="")),I128=1),INDEX(base_g,5-IF(V128="",X128,V128),IF(W128="",Y128,W128)),""),P128),"")</f>
        <v/>
      </c>
      <c r="AA128" s="1092"/>
      <c r="AB128" s="83" t="str">
        <f t="shared" si="109"/>
        <v/>
      </c>
      <c r="AC128" s="167"/>
      <c r="AD128" s="196" t="s">
        <v>6579</v>
      </c>
      <c r="AE128" s="197"/>
      <c r="AF128" s="196"/>
      <c r="AG128" s="1" t="str">
        <f>IF($AB128=1,$F128&amp;$AB128,"")</f>
        <v/>
      </c>
      <c r="AH128" s="1" t="str">
        <f>IF($AB128=2,$F128&amp;$AB128,"")</f>
        <v/>
      </c>
      <c r="AI128" s="1" t="str">
        <f>IF($AB128=3,$F128&amp;$AB128,"")</f>
        <v/>
      </c>
      <c r="AJ128" s="1" t="str">
        <f>IF($AB128=4,$F128&amp;$AB128,"")</f>
        <v/>
      </c>
      <c r="AK128">
        <f>VLOOKUP($B128,Tab_classif,8,FALSE)</f>
        <v>0</v>
      </c>
      <c r="AL128">
        <f>VLOOKUP(D128,Tab_ActS,2,FALSE)</f>
        <v>1</v>
      </c>
      <c r="AM128">
        <f>VLOOKUP(E128,Tab_SDom,3,FALSE)</f>
        <v>1</v>
      </c>
      <c r="AN128">
        <f>VLOOKUP($F128,Tab_event,4,FALSE)</f>
        <v>1</v>
      </c>
      <c r="AO128">
        <f>I128*AK128*AL128*AM128*AN128</f>
        <v>0</v>
      </c>
      <c r="AP128" t="str">
        <f>IF(AND(AO128=1,AA128=""),IF(IndG=1,10*L128+M128,10*X128+Y128),"")</f>
        <v/>
      </c>
    </row>
    <row r="129" spans="1:49" ht="18" customHeight="1" x14ac:dyDescent="0.25">
      <c r="A129" s="866" t="s">
        <v>6436</v>
      </c>
      <c r="B129" s="1325"/>
      <c r="C129" s="1325"/>
      <c r="D129" s="1325"/>
      <c r="E129" s="1325"/>
      <c r="F129" s="1325"/>
      <c r="G129" s="1325"/>
      <c r="H129" s="1325"/>
      <c r="I129" s="24"/>
      <c r="J129" s="83"/>
      <c r="K129" s="24"/>
      <c r="L129" s="83"/>
      <c r="M129" s="83"/>
      <c r="N129" s="1070"/>
      <c r="O129" s="1070"/>
      <c r="P129" s="169"/>
      <c r="Q129" s="871"/>
      <c r="R129" s="221"/>
      <c r="S129" s="221"/>
      <c r="T129" s="221"/>
      <c r="U129" s="687">
        <f>1</f>
        <v>1</v>
      </c>
      <c r="V129" s="1071"/>
      <c r="W129" s="1071"/>
      <c r="X129" s="83"/>
      <c r="Y129" s="83"/>
      <c r="Z129" s="83"/>
      <c r="AA129" s="1092"/>
      <c r="AB129" s="83"/>
      <c r="AC129" s="200"/>
      <c r="AD129" s="200"/>
      <c r="AE129" s="200"/>
      <c r="AF129" s="200"/>
      <c r="AG129" s="1"/>
      <c r="AH129" s="1"/>
      <c r="AI129" s="1"/>
      <c r="AJ129" s="1"/>
    </row>
    <row r="130" spans="1:49" ht="36" customHeight="1" x14ac:dyDescent="0.25">
      <c r="A130" s="854" t="s">
        <v>6437</v>
      </c>
      <c r="B130" s="854" t="s">
        <v>267</v>
      </c>
      <c r="C130" s="856" t="s">
        <v>539</v>
      </c>
      <c r="D130" s="854" t="str">
        <f>Fic</f>
        <v xml:space="preserve">Fichier ou base de données </v>
      </c>
      <c r="E130" s="788" t="str">
        <f>Disp</f>
        <v>Disparition</v>
      </c>
      <c r="F130" s="858" t="s">
        <v>546</v>
      </c>
      <c r="G130" s="895" t="s">
        <v>6438</v>
      </c>
      <c r="H130" s="850"/>
      <c r="I130" s="24">
        <v>1</v>
      </c>
      <c r="J130" s="83" t="str">
        <f>VLOOKUP($F130,Tab_event,5)</f>
        <v>E</v>
      </c>
      <c r="K130" s="24" t="str">
        <f>C130</f>
        <v>D</v>
      </c>
      <c r="L130" s="83">
        <f>IF(VLOOKUP($B130,Tab_classif,8,FALSE)=1,VLOOKUP($B130,Tab_classif,IF(C130="D",4,IF(C130="I",5,IF(C130="C",6,7))),FALSE),1)</f>
        <v>2</v>
      </c>
      <c r="M130" s="83">
        <f>VLOOKUP($F130,Tab_event,3,FALSE)</f>
        <v>3</v>
      </c>
      <c r="N130" s="1070"/>
      <c r="O130" s="1070"/>
      <c r="P130" s="169">
        <f>IF(AND(NOT(L130=""),NOT(M130="")),INDEX(base_g,5-IF(N130="",L130,N130),IF(O130="",M130,O130)),"")</f>
        <v>2</v>
      </c>
      <c r="Q130" s="871">
        <f>1</f>
        <v>1</v>
      </c>
      <c r="R130" s="221">
        <f>1</f>
        <v>1</v>
      </c>
      <c r="S130" s="221">
        <f>S5A05</f>
        <v>1</v>
      </c>
      <c r="T130" s="221">
        <f>S4A03</f>
        <v>1</v>
      </c>
      <c r="U130" s="687"/>
      <c r="V130" s="1071"/>
      <c r="W130" s="1071"/>
      <c r="X130" s="83">
        <f>IF(L130="","",IF(K130="D",INDEX(base_i,IF(U130=0,4,5-S130),T130+7*(IF(N130="",L130,N130)-1)),IF(K130="I",INDEX(base_i,IF(U130=0,15,16-S130),T130+7*(IF(N130="",L130,N130)-1)),IF(K130="C",INDEX(base_i,IF(U130=0,26,27-S130),T130+7*(IF(N130="",L130,N130)-1)),INDEX(base_i,38-S130,T130+7*(IF(N130="",L130,N130)-1))))))</f>
        <v>2</v>
      </c>
      <c r="Y130" s="83" cm="1">
        <f t="array" ref="Y130">IF(M130="","",IF(J130="A",INDEX(base_p,4,R130+7*(IF(O130="",M130,O130)-1)),IF(J130="E",INDEX(base_p,15,R130+7*(IF(O130="",M130,O130)-1)),INDEX(base_p,27-Q130,R130+7*(IF(O130="",M130,O130)-1)))))</f>
        <v>3</v>
      </c>
      <c r="Z130" s="83">
        <f>IF(AO130=1,IF(IndG&gt;1,IF(AND(OR(NOT(X130=""),NOT(V130="")),OR(NOT(Y130=""),NOT(W130="")),I130=1),INDEX(base_g,5-IF(V130="",X130,V130),IF(W130="",Y130,W130)),""),P130),"")</f>
        <v>2</v>
      </c>
      <c r="AA130" s="1092"/>
      <c r="AB130" s="83">
        <f t="shared" si="109"/>
        <v>2</v>
      </c>
      <c r="AC130" s="167"/>
      <c r="AD130" s="196"/>
      <c r="AE130" s="196" t="s">
        <v>4391</v>
      </c>
      <c r="AF130" s="196" t="s">
        <v>622</v>
      </c>
      <c r="AG130" s="1" t="str">
        <f>IF($AB130=1,$F130&amp;$AB130,"")</f>
        <v/>
      </c>
      <c r="AH130" s="1" t="str">
        <f>IF($AB130=2,$F130&amp;$AB130,"")</f>
        <v>ER.P.Pro2</v>
      </c>
      <c r="AI130" s="1" t="str">
        <f>IF($AB130=3,$F130&amp;$AB130,"")</f>
        <v/>
      </c>
      <c r="AJ130" s="1" t="str">
        <f>IF($AB130=4,$F130&amp;$AB130,"")</f>
        <v/>
      </c>
      <c r="AK130">
        <f>VLOOKUP($B130,Tab_classif,8,FALSE)</f>
        <v>1</v>
      </c>
      <c r="AL130">
        <f>VLOOKUP(D130,Tab_ActS,2,FALSE)</f>
        <v>1</v>
      </c>
      <c r="AM130">
        <f>VLOOKUP(E130,Tab_SDom,3,FALSE)</f>
        <v>1</v>
      </c>
      <c r="AN130">
        <f>VLOOKUP($F130,Tab_event,4,FALSE)</f>
        <v>1</v>
      </c>
      <c r="AO130">
        <f>I130*AK130*AL130*AM130*AN130</f>
        <v>1</v>
      </c>
      <c r="AP130">
        <f>IF(AND(AO130=1,AA130=""),IF(IndG=1,10*L130+M130,10*X130+Y130),"")</f>
        <v>23</v>
      </c>
    </row>
    <row r="131" spans="1:49" ht="18" customHeight="1" x14ac:dyDescent="0.25">
      <c r="A131" s="866" t="s">
        <v>6441</v>
      </c>
      <c r="B131" s="1325"/>
      <c r="C131" s="1325"/>
      <c r="D131" s="1325"/>
      <c r="E131" s="1325"/>
      <c r="F131" s="1325"/>
      <c r="G131" s="1325"/>
      <c r="H131" s="1325"/>
      <c r="I131" s="24"/>
      <c r="J131" s="83"/>
      <c r="K131" s="24"/>
      <c r="L131" s="83"/>
      <c r="M131" s="83"/>
      <c r="N131" s="1070"/>
      <c r="O131" s="1070"/>
      <c r="P131" s="169"/>
      <c r="Q131" s="871"/>
      <c r="R131" s="221"/>
      <c r="S131" s="221"/>
      <c r="T131" s="221"/>
      <c r="U131" s="687">
        <f>S4A03</f>
        <v>1</v>
      </c>
      <c r="V131" s="1071"/>
      <c r="W131" s="1071"/>
      <c r="X131" s="83"/>
      <c r="Y131" s="83"/>
      <c r="Z131" s="83"/>
      <c r="AA131" s="1092"/>
      <c r="AB131" s="83"/>
      <c r="AC131" s="200"/>
      <c r="AD131" s="200"/>
      <c r="AE131" s="200"/>
      <c r="AF131" s="200"/>
      <c r="AG131" s="1"/>
      <c r="AH131" s="1"/>
      <c r="AI131" s="1"/>
      <c r="AJ131" s="1"/>
    </row>
    <row r="132" spans="1:49" ht="34.5" customHeight="1" x14ac:dyDescent="0.25">
      <c r="A132" s="894" t="s">
        <v>6439</v>
      </c>
      <c r="B132" s="854" t="s">
        <v>267</v>
      </c>
      <c r="C132" s="856" t="s">
        <v>268</v>
      </c>
      <c r="D132" s="854" t="str">
        <f>Fic</f>
        <v xml:space="preserve">Fichier ou base de données </v>
      </c>
      <c r="E132" s="788" t="str">
        <f>Altd</f>
        <v>Altération (non détectée) de donnée</v>
      </c>
      <c r="F132" s="858" t="s">
        <v>3211</v>
      </c>
      <c r="G132" s="858" t="s">
        <v>4766</v>
      </c>
      <c r="H132" s="895" t="s">
        <v>6716</v>
      </c>
      <c r="I132" s="24">
        <v>1</v>
      </c>
      <c r="J132" s="83" t="str">
        <f>VLOOKUP($F132,Tab_event,5)</f>
        <v>V</v>
      </c>
      <c r="K132" s="24" t="str">
        <f>C132</f>
        <v>I</v>
      </c>
      <c r="L132" s="83">
        <f>IF(VLOOKUP($B132,Tab_classif,8,FALSE)=1,VLOOKUP($B132,Tab_classif,IF(C132="D",4,IF(C132="I",5,IF(C132="C",6,7))),FALSE),1)</f>
        <v>2</v>
      </c>
      <c r="M132" s="83">
        <f>VLOOKUP($F132,Tab_event,3,FALSE)</f>
        <v>3</v>
      </c>
      <c r="N132" s="1070"/>
      <c r="O132" s="1070"/>
      <c r="P132" s="169">
        <f>IF(AND(NOT(L132=""),NOT(M132="")),INDEX(base_g,5-IF(N132="",L132,N132),IF(O132="",M132,O132)),"")</f>
        <v>2</v>
      </c>
      <c r="Q132" s="871">
        <f>MIN(S3A08,S4A11)</f>
        <v>1</v>
      </c>
      <c r="R132" s="221">
        <f>S5A05</f>
        <v>1</v>
      </c>
      <c r="S132" s="221">
        <f>S5A05</f>
        <v>1</v>
      </c>
      <c r="T132" s="221">
        <f>1</f>
        <v>1</v>
      </c>
      <c r="U132" s="687"/>
      <c r="V132" s="1071"/>
      <c r="W132" s="1071"/>
      <c r="X132" s="83">
        <f>IF(L132="","",IF(K132="D",INDEX(base_i,IF(U132=0,4,5-S132),T132+7*(IF(N132="",L132,N132)-1)),IF(K132="I",INDEX(base_i,IF(U132=0,15,16-S132),T132+7*(IF(N132="",L132,N132)-1)),IF(K132="C",INDEX(base_i,IF(U132=0,26,27-S132),T132+7*(IF(N132="",L132,N132)-1)),INDEX(base_i,38-S132,T132+7*(IF(N132="",L132,N132)-1))))))</f>
        <v>2</v>
      </c>
      <c r="Y132" s="83" cm="1">
        <f t="array" ref="Y132">IF(M132="","",IF(J132="A",INDEX(base_p,4,R132+7*(IF(O132="",M132,O132)-1)),IF(J132="E",INDEX(base_p,15,R132+7*(IF(O132="",M132,O132)-1)),INDEX(base_p,27-Q132,R132+7*(IF(O132="",M132,O132)-1)))))</f>
        <v>3</v>
      </c>
      <c r="Z132" s="83">
        <f>IF(AO132=1,IF(IndG&gt;1,IF(AND(OR(NOT(X132=""),NOT(V132="")),OR(NOT(Y132=""),NOT(W132="")),I132=1),INDEX(base_g,5-IF(V132="",X132,V132),IF(W132="",Y132,W132)),""),P132),"")</f>
        <v>2</v>
      </c>
      <c r="AA132" s="1092"/>
      <c r="AB132" s="83">
        <f t="shared" si="109"/>
        <v>2</v>
      </c>
      <c r="AC132" s="196" t="s">
        <v>6570</v>
      </c>
      <c r="AD132" s="196" t="s">
        <v>4391</v>
      </c>
      <c r="AE132" s="196" t="s">
        <v>4391</v>
      </c>
      <c r="AF132" s="196"/>
      <c r="AG132" s="1" t="str">
        <f>IF($AB132=1,$F132&amp;$AB132,"")</f>
        <v/>
      </c>
      <c r="AH132" s="1" t="str">
        <f>IF($AB132=2,$F132&amp;$AB132,"")</f>
        <v>AH.L.Fal2</v>
      </c>
      <c r="AI132" s="1" t="str">
        <f>IF($AB132=3,$F132&amp;$AB132,"")</f>
        <v/>
      </c>
      <c r="AJ132" s="1" t="str">
        <f>IF($AB132=4,$F132&amp;$AB132,"")</f>
        <v/>
      </c>
      <c r="AK132">
        <f>VLOOKUP($B132,Tab_classif,8,FALSE)</f>
        <v>1</v>
      </c>
      <c r="AL132">
        <f>VLOOKUP(D132,Tab_ActS,2,FALSE)</f>
        <v>1</v>
      </c>
      <c r="AM132">
        <f>VLOOKUP(E132,Tab_SDom,3,FALSE)</f>
        <v>1</v>
      </c>
      <c r="AN132">
        <f>VLOOKUP($F132,Tab_event,4,FALSE)</f>
        <v>1</v>
      </c>
      <c r="AO132">
        <f>I132*AK132*AL132*AM132*AN132</f>
        <v>1</v>
      </c>
      <c r="AP132">
        <f>IF(AND(AO132=1,AA132=""),IF(IndG=1,10*L132+M132,10*X132+Y132),"")</f>
        <v>23</v>
      </c>
      <c r="AW132">
        <v>3</v>
      </c>
    </row>
    <row r="133" spans="1:49" ht="34.5" customHeight="1" x14ac:dyDescent="0.25">
      <c r="A133" s="894" t="s">
        <v>6440</v>
      </c>
      <c r="B133" s="854" t="s">
        <v>267</v>
      </c>
      <c r="C133" s="856" t="s">
        <v>268</v>
      </c>
      <c r="D133" s="854" t="str">
        <f>Fic</f>
        <v xml:space="preserve">Fichier ou base de données </v>
      </c>
      <c r="E133" s="788" t="str">
        <f>Altd</f>
        <v>Altération (non détectée) de donnée</v>
      </c>
      <c r="F133" s="858" t="s">
        <v>3211</v>
      </c>
      <c r="G133" s="858" t="s">
        <v>4766</v>
      </c>
      <c r="H133" s="850" t="s">
        <v>4726</v>
      </c>
      <c r="I133" s="24">
        <v>1</v>
      </c>
      <c r="J133" s="83" t="str">
        <f>VLOOKUP($F133,Tab_event,5)</f>
        <v>V</v>
      </c>
      <c r="K133" s="24" t="str">
        <f>C133</f>
        <v>I</v>
      </c>
      <c r="L133" s="83">
        <f>IF(VLOOKUP($B133,Tab_classif,8,FALSE)=1,VLOOKUP($B133,Tab_classif,IF(C133="D",4,IF(C133="I",5,IF(C133="C",6,7))),FALSE),1)</f>
        <v>2</v>
      </c>
      <c r="M133" s="83">
        <f>VLOOKUP($F133,Tab_event,3,FALSE)</f>
        <v>3</v>
      </c>
      <c r="N133" s="1070"/>
      <c r="O133" s="1070"/>
      <c r="P133" s="169">
        <f>IF(AND(NOT(L133=""),NOT(M133="")),INDEX(base_g,5-IF(N133="",L133,N133),IF(O133="",M133,O133)),"")</f>
        <v>2</v>
      </c>
      <c r="Q133" s="871">
        <f>1</f>
        <v>1</v>
      </c>
      <c r="R133" s="221">
        <f>MAX(MIN(S3A04,S3A07),S5A05)</f>
        <v>1</v>
      </c>
      <c r="S133" s="221">
        <f>S5A05</f>
        <v>1</v>
      </c>
      <c r="T133" s="221">
        <f>1</f>
        <v>1</v>
      </c>
      <c r="U133" s="687"/>
      <c r="V133" s="1071"/>
      <c r="W133" s="1071"/>
      <c r="X133" s="83">
        <f>IF(L133="","",IF(K133="D",INDEX(base_i,IF(U133=0,4,5-S133),T133+7*(IF(N133="",L133,N133)-1)),IF(K133="I",INDEX(base_i,IF(U133=0,15,16-S133),T133+7*(IF(N133="",L133,N133)-1)),IF(K133="C",INDEX(base_i,IF(U133=0,26,27-S133),T133+7*(IF(N133="",L133,N133)-1)),INDEX(base_i,38-S133,T133+7*(IF(N133="",L133,N133)-1))))))</f>
        <v>2</v>
      </c>
      <c r="Y133" s="83" cm="1">
        <f t="array" ref="Y133">IF(M133="","",IF(J133="A",INDEX(base_p,4,R133+7*(IF(O133="",M133,O133)-1)),IF(J133="E",INDEX(base_p,15,R133+7*(IF(O133="",M133,O133)-1)),INDEX(base_p,27-Q133,R133+7*(IF(O133="",M133,O133)-1)))))</f>
        <v>3</v>
      </c>
      <c r="Z133" s="83">
        <f>IF(AO133=1,IF(IndG&gt;1,IF(AND(OR(NOT(X133=""),NOT(V133="")),OR(NOT(Y133=""),NOT(W133="")),I133=1),INDEX(base_g,5-IF(V133="",X133,V133),IF(W133="",Y133,W133)),""),P133),"")</f>
        <v>2</v>
      </c>
      <c r="AA133" s="1092"/>
      <c r="AB133" s="83">
        <f t="shared" si="109"/>
        <v>2</v>
      </c>
      <c r="AC133" s="196"/>
      <c r="AD133" s="199" t="s">
        <v>4655</v>
      </c>
      <c r="AE133" s="196" t="s">
        <v>4391</v>
      </c>
      <c r="AF133" s="196"/>
      <c r="AG133" s="1" t="str">
        <f>IF($AB133=1,$F133&amp;$AB133,"")</f>
        <v/>
      </c>
      <c r="AH133" s="1" t="str">
        <f>IF($AB133=2,$F133&amp;$AB133,"")</f>
        <v>AH.L.Fal2</v>
      </c>
      <c r="AI133" s="1" t="str">
        <f>IF($AB133=3,$F133&amp;$AB133,"")</f>
        <v/>
      </c>
      <c r="AJ133" s="1" t="str">
        <f>IF($AB133=4,$F133&amp;$AB133,"")</f>
        <v/>
      </c>
      <c r="AK133">
        <f>VLOOKUP($B133,Tab_classif,8,FALSE)</f>
        <v>1</v>
      </c>
      <c r="AL133">
        <f>VLOOKUP(D133,Tab_ActS,2,FALSE)</f>
        <v>1</v>
      </c>
      <c r="AM133">
        <f>VLOOKUP(E133,Tab_SDom,3,FALSE)</f>
        <v>1</v>
      </c>
      <c r="AN133">
        <f>VLOOKUP($F133,Tab_event,4,FALSE)</f>
        <v>1</v>
      </c>
      <c r="AO133">
        <f>I133*AK133*AL133*AM133*AN133</f>
        <v>1</v>
      </c>
      <c r="AP133">
        <f>IF(AND(AO133=1,AA133=""),IF(IndG=1,10*L133+M133,10*X133+Y133),"")</f>
        <v>23</v>
      </c>
    </row>
    <row r="134" spans="1:49" ht="18" customHeight="1" x14ac:dyDescent="0.25">
      <c r="A134" s="866" t="s">
        <v>6442</v>
      </c>
      <c r="B134" s="1325"/>
      <c r="C134" s="1325"/>
      <c r="D134" s="1325"/>
      <c r="E134" s="1325"/>
      <c r="F134" s="1325"/>
      <c r="G134" s="1325"/>
      <c r="H134" s="1325"/>
      <c r="I134" s="24"/>
      <c r="J134" s="83"/>
      <c r="K134" s="24"/>
      <c r="L134" s="83"/>
      <c r="M134" s="83"/>
      <c r="N134" s="1070"/>
      <c r="O134" s="1070"/>
      <c r="P134" s="169"/>
      <c r="Q134" s="871"/>
      <c r="R134" s="221"/>
      <c r="S134" s="221"/>
      <c r="T134" s="221"/>
      <c r="U134" s="687">
        <f>1</f>
        <v>1</v>
      </c>
      <c r="V134" s="1071"/>
      <c r="W134" s="1071"/>
      <c r="X134" s="83"/>
      <c r="Y134" s="83"/>
      <c r="Z134" s="83"/>
      <c r="AA134" s="1092"/>
      <c r="AB134" s="83"/>
      <c r="AC134" s="200"/>
      <c r="AD134" s="200"/>
      <c r="AE134" s="200"/>
      <c r="AF134" s="200"/>
      <c r="AG134" s="1"/>
      <c r="AH134" s="1"/>
      <c r="AI134" s="1"/>
      <c r="AJ134" s="1"/>
    </row>
    <row r="135" spans="1:49" ht="36" customHeight="1" x14ac:dyDescent="0.25">
      <c r="A135" s="854" t="s">
        <v>6443</v>
      </c>
      <c r="B135" s="854" t="s">
        <v>520</v>
      </c>
      <c r="C135" s="856" t="s">
        <v>539</v>
      </c>
      <c r="D135" s="854" t="str">
        <f>Fic</f>
        <v xml:space="preserve">Fichier ou base de données </v>
      </c>
      <c r="E135" s="788" t="str">
        <f>Disp</f>
        <v>Disparition</v>
      </c>
      <c r="F135" s="858" t="s">
        <v>546</v>
      </c>
      <c r="G135" s="895" t="s">
        <v>6438</v>
      </c>
      <c r="H135" s="850"/>
      <c r="I135" s="24">
        <v>1</v>
      </c>
      <c r="J135" s="83" t="str">
        <f>VLOOKUP($F135,Tab_event,5)</f>
        <v>E</v>
      </c>
      <c r="K135" s="24" t="str">
        <f>C135</f>
        <v>D</v>
      </c>
      <c r="L135" s="83">
        <f>IF(VLOOKUP($B135,Tab_classif,8,FALSE)=1,VLOOKUP($B135,Tab_classif,IF(C135="D",4,IF(C135="I",5,IF(C135="C",6,7))),FALSE),1)</f>
        <v>3</v>
      </c>
      <c r="M135" s="83">
        <f>VLOOKUP($F135,Tab_event,3,FALSE)</f>
        <v>3</v>
      </c>
      <c r="N135" s="1070"/>
      <c r="O135" s="1070"/>
      <c r="P135" s="169">
        <f>IF(AND(NOT(L135=""),NOT(M135="")),INDEX(base_g,5-IF(N135="",L135,N135),IF(O135="",M135,O135)),"")</f>
        <v>3</v>
      </c>
      <c r="Q135" s="871">
        <f>1</f>
        <v>1</v>
      </c>
      <c r="R135" s="221">
        <f>1</f>
        <v>1</v>
      </c>
      <c r="S135" s="221">
        <f>1</f>
        <v>1</v>
      </c>
      <c r="T135" s="221">
        <f>S4A04</f>
        <v>1</v>
      </c>
      <c r="U135" s="687"/>
      <c r="V135" s="1071"/>
      <c r="W135" s="1071"/>
      <c r="X135" s="83">
        <f>IF(L135="","",IF(K135="D",INDEX(base_i,IF(U135=0,4,5-S135),T135+7*(IF(N135="",L135,N135)-1)),IF(K135="I",INDEX(base_i,IF(U135=0,15,16-S135),T135+7*(IF(N135="",L135,N135)-1)),IF(K135="C",INDEX(base_i,IF(U135=0,26,27-S135),T135+7*(IF(N135="",L135,N135)-1)),INDEX(base_i,38-S135,T135+7*(IF(N135="",L135,N135)-1))))))</f>
        <v>3</v>
      </c>
      <c r="Y135" s="83" cm="1">
        <f t="array" ref="Y135">IF(M135="","",IF(J135="A",INDEX(base_p,4,R135+7*(IF(O135="",M135,O135)-1)),IF(J135="E",INDEX(base_p,15,R135+7*(IF(O135="",M135,O135)-1)),INDEX(base_p,27-Q135,R135+7*(IF(O135="",M135,O135)-1)))))</f>
        <v>3</v>
      </c>
      <c r="Z135" s="83">
        <f>IF(AO135=1,IF(IndG&gt;1,IF(AND(OR(NOT(X135=""),NOT(V135="")),OR(NOT(Y135=""),NOT(W135="")),I135=1),INDEX(base_g,5-IF(V135="",X135,V135),IF(W135="",Y135,W135)),""),P135),"")</f>
        <v>3</v>
      </c>
      <c r="AA135" s="1092"/>
      <c r="AB135" s="83">
        <f>IF(OR(AA135="A",AA135="a",AA135="E",AA135="e",AA135="T",AA135="t",Z135=""),"",Z135)</f>
        <v>3</v>
      </c>
      <c r="AC135" s="167"/>
      <c r="AD135" s="196"/>
      <c r="AE135" s="196"/>
      <c r="AF135" s="196" t="s">
        <v>739</v>
      </c>
      <c r="AG135" s="1" t="str">
        <f>IF($AB135=1,$F135&amp;$AB135,"")</f>
        <v/>
      </c>
      <c r="AH135" s="1" t="str">
        <f>IF($AB135=2,$F135&amp;$AB135,"")</f>
        <v/>
      </c>
      <c r="AI135" s="1" t="str">
        <f>IF($AB135=3,$F135&amp;$AB135,"")</f>
        <v>ER.P.Pro3</v>
      </c>
      <c r="AJ135" s="1" t="str">
        <f>IF($AB135=4,$F135&amp;$AB135,"")</f>
        <v/>
      </c>
      <c r="AK135">
        <f>VLOOKUP($B135,Tab_classif,8,FALSE)</f>
        <v>1</v>
      </c>
      <c r="AL135">
        <f>VLOOKUP(D135,Tab_ActS,2,FALSE)</f>
        <v>1</v>
      </c>
      <c r="AM135">
        <f>VLOOKUP(E135,Tab_SDom,3,FALSE)</f>
        <v>1</v>
      </c>
      <c r="AN135">
        <f>VLOOKUP($F135,Tab_event,4,FALSE)</f>
        <v>1</v>
      </c>
      <c r="AO135">
        <f>I135*AK135*AL135*AM135*AN135</f>
        <v>1</v>
      </c>
      <c r="AP135">
        <f>IF(AND(AO135=1,AA135=""),IF(IndG=1,10*L135+M135,10*X135+Y135),"")</f>
        <v>33</v>
      </c>
    </row>
    <row r="136" spans="1:49" ht="36" customHeight="1" x14ac:dyDescent="0.25">
      <c r="A136" s="894" t="s">
        <v>6444</v>
      </c>
      <c r="B136" s="854" t="s">
        <v>520</v>
      </c>
      <c r="C136" s="856" t="s">
        <v>539</v>
      </c>
      <c r="D136" s="854" t="str">
        <f>Fic</f>
        <v xml:space="preserve">Fichier ou base de données </v>
      </c>
      <c r="E136" s="788" t="str">
        <f>Disp</f>
        <v>Disparition</v>
      </c>
      <c r="F136" s="858" t="s">
        <v>3198</v>
      </c>
      <c r="G136" s="895" t="s">
        <v>6539</v>
      </c>
      <c r="H136" s="895" t="s">
        <v>6716</v>
      </c>
      <c r="I136" s="24">
        <v>1</v>
      </c>
      <c r="J136" s="83" t="str">
        <f>VLOOKUP($F136,Tab_event,5)</f>
        <v>V</v>
      </c>
      <c r="K136" s="24" t="str">
        <f>C136</f>
        <v>D</v>
      </c>
      <c r="L136" s="83">
        <f>IF(VLOOKUP($B136,Tab_classif,8,FALSE)=1,VLOOKUP($B136,Tab_classif,IF(C136="D",4,IF(C136="I",5,IF(C136="C",6,7))),FALSE),1)</f>
        <v>3</v>
      </c>
      <c r="M136" s="83">
        <f>VLOOKUP($F136,Tab_event,3,FALSE)</f>
        <v>3</v>
      </c>
      <c r="N136" s="1070"/>
      <c r="O136" s="1070"/>
      <c r="P136" s="169">
        <f>IF(AND(NOT(L136=""),NOT(M136="")),INDEX(base_g,5-IF(N136="",L136,N136),IF(O136="",M136,O136)),"")</f>
        <v>3</v>
      </c>
      <c r="Q136" s="871">
        <f>1</f>
        <v>1</v>
      </c>
      <c r="R136" s="221">
        <f>1</f>
        <v>1</v>
      </c>
      <c r="S136" s="221">
        <f>1</f>
        <v>1</v>
      </c>
      <c r="T136" s="221">
        <f>S4A04</f>
        <v>1</v>
      </c>
      <c r="U136" s="687"/>
      <c r="V136" s="1071"/>
      <c r="W136" s="1071"/>
      <c r="X136" s="83">
        <f>IF(L136="","",IF(K136="D",INDEX(base_i,IF(U136=0,4,5-S136),T136+7*(IF(N136="",L136,N136)-1)),IF(K136="I",INDEX(base_i,IF(U136=0,15,16-S136),T136+7*(IF(N136="",L136,N136)-1)),IF(K136="C",INDEX(base_i,IF(U136=0,26,27-S136),T136+7*(IF(N136="",L136,N136)-1)),INDEX(base_i,38-S136,T136+7*(IF(N136="",L136,N136)-1))))))</f>
        <v>3</v>
      </c>
      <c r="Y136" s="83" cm="1">
        <f t="array" ref="Y136">IF(M136="","",IF(J136="A",INDEX(base_p,4,R136+7*(IF(O136="",M136,O136)-1)),IF(J136="E",INDEX(base_p,15,R136+7*(IF(O136="",M136,O136)-1)),INDEX(base_p,27-Q136,R136+7*(IF(O136="",M136,O136)-1)))))</f>
        <v>3</v>
      </c>
      <c r="Z136" s="83">
        <f>IF(AO136=1,IF(IndG&gt;1,IF(AND(OR(NOT(X136=""),NOT(V136="")),OR(NOT(Y136=""),NOT(W136="")),I136=1),INDEX(base_g,5-IF(V136="",X136,V136),IF(W136="",Y136,W136)),""),P136),"")</f>
        <v>3</v>
      </c>
      <c r="AA136" s="1092"/>
      <c r="AB136" s="83">
        <f t="shared" si="109"/>
        <v>3</v>
      </c>
      <c r="AC136" s="196"/>
      <c r="AD136" s="199"/>
      <c r="AE136" s="196"/>
      <c r="AF136" s="196" t="s">
        <v>739</v>
      </c>
      <c r="AG136" s="1" t="str">
        <f>IF($AB136=1,$F136&amp;$AB136,"")</f>
        <v/>
      </c>
      <c r="AH136" s="1" t="str">
        <f>IF($AB136=2,$F136&amp;$AB136,"")</f>
        <v/>
      </c>
      <c r="AI136" s="1" t="str">
        <f>IF($AB136=3,$F136&amp;$AB136,"")</f>
        <v>AH.L.Del3</v>
      </c>
      <c r="AJ136" s="1" t="str">
        <f>IF($AB136=4,$F136&amp;$AB136,"")</f>
        <v/>
      </c>
      <c r="AK136">
        <f>VLOOKUP($B136,Tab_classif,8,FALSE)</f>
        <v>1</v>
      </c>
      <c r="AL136">
        <f>VLOOKUP(D136,Tab_ActS,2,FALSE)</f>
        <v>1</v>
      </c>
      <c r="AM136">
        <f>VLOOKUP(E136,Tab_SDom,3,FALSE)</f>
        <v>1</v>
      </c>
      <c r="AN136">
        <f>VLOOKUP($F136,Tab_event,4,FALSE)</f>
        <v>1</v>
      </c>
      <c r="AO136">
        <f>I136*AK136*AL136*AM136*AN136</f>
        <v>1</v>
      </c>
      <c r="AP136">
        <f>IF(AND(AO136=1,AA136=""),IF(IndG=1,10*L136+M136,10*X136+Y136),"")</f>
        <v>33</v>
      </c>
      <c r="AW136">
        <v>3</v>
      </c>
    </row>
    <row r="137" spans="1:49" ht="36" customHeight="1" x14ac:dyDescent="0.25">
      <c r="A137" s="894" t="s">
        <v>6445</v>
      </c>
      <c r="B137" s="854" t="s">
        <v>520</v>
      </c>
      <c r="C137" s="856" t="s">
        <v>539</v>
      </c>
      <c r="D137" s="854" t="str">
        <f>Fic</f>
        <v xml:space="preserve">Fichier ou base de données </v>
      </c>
      <c r="E137" s="788" t="str">
        <f>Disp</f>
        <v>Disparition</v>
      </c>
      <c r="F137" s="858" t="s">
        <v>3198</v>
      </c>
      <c r="G137" s="895" t="s">
        <v>6539</v>
      </c>
      <c r="H137" s="850" t="s">
        <v>4726</v>
      </c>
      <c r="I137" s="24">
        <v>1</v>
      </c>
      <c r="J137" s="83" t="str">
        <f>VLOOKUP($F137,Tab_event,5)</f>
        <v>V</v>
      </c>
      <c r="K137" s="24" t="str">
        <f>C137</f>
        <v>D</v>
      </c>
      <c r="L137" s="83">
        <f>IF(VLOOKUP($B137,Tab_classif,8,FALSE)=1,VLOOKUP($B137,Tab_classif,IF(C137="D",4,IF(C137="I",5,IF(C137="C",6,7))),FALSE),1)</f>
        <v>3</v>
      </c>
      <c r="M137" s="83">
        <f>VLOOKUP($F137,Tab_event,3,FALSE)</f>
        <v>3</v>
      </c>
      <c r="N137" s="1070"/>
      <c r="O137" s="1070"/>
      <c r="P137" s="169">
        <f>IF(AND(NOT(L137=""),NOT(M137="")),INDEX(base_g,5-IF(N137="",L137,N137),IF(O137="",M137,O137)),"")</f>
        <v>3</v>
      </c>
      <c r="Q137" s="871">
        <f>1</f>
        <v>1</v>
      </c>
      <c r="R137" s="221">
        <f>S3A09</f>
        <v>1</v>
      </c>
      <c r="S137" s="221">
        <f>1</f>
        <v>1</v>
      </c>
      <c r="T137" s="221">
        <f>S4A04</f>
        <v>1</v>
      </c>
      <c r="U137" s="687"/>
      <c r="V137" s="1071"/>
      <c r="W137" s="1071"/>
      <c r="X137" s="83">
        <f>IF(L137="","",IF(K137="D",INDEX(base_i,IF(U137=0,4,5-S137),T137+7*(IF(N137="",L137,N137)-1)),IF(K137="I",INDEX(base_i,IF(U137=0,15,16-S137),T137+7*(IF(N137="",L137,N137)-1)),IF(K137="C",INDEX(base_i,IF(U137=0,26,27-S137),T137+7*(IF(N137="",L137,N137)-1)),INDEX(base_i,38-S137,T137+7*(IF(N137="",L137,N137)-1))))))</f>
        <v>3</v>
      </c>
      <c r="Y137" s="83" cm="1">
        <f t="array" ref="Y137">IF(M137="","",IF(J137="A",INDEX(base_p,4,R137+7*(IF(O137="",M137,O137)-1)),IF(J137="E",INDEX(base_p,15,R137+7*(IF(O137="",M137,O137)-1)),INDEX(base_p,27-Q137,R137+7*(IF(O137="",M137,O137)-1)))))</f>
        <v>3</v>
      </c>
      <c r="Z137" s="83">
        <f>IF(AO137=1,IF(IndG&gt;1,IF(AND(OR(NOT(X137=""),NOT(V137="")),OR(NOT(Y137=""),NOT(W137="")),I137=1),INDEX(base_g,5-IF(V137="",X137,V137),IF(W137="",Y137,W137)),""),P137),"")</f>
        <v>3</v>
      </c>
      <c r="AA137" s="1092"/>
      <c r="AB137" s="83">
        <f t="shared" si="109"/>
        <v>3</v>
      </c>
      <c r="AC137" s="196"/>
      <c r="AD137" s="199" t="s">
        <v>3096</v>
      </c>
      <c r="AE137" s="196"/>
      <c r="AF137" s="196" t="s">
        <v>739</v>
      </c>
      <c r="AG137" s="1" t="str">
        <f>IF($AB137=1,$F137&amp;$AB137,"")</f>
        <v/>
      </c>
      <c r="AH137" s="1" t="str">
        <f>IF($AB137=2,$F137&amp;$AB137,"")</f>
        <v/>
      </c>
      <c r="AI137" s="1" t="str">
        <f>IF($AB137=3,$F137&amp;$AB137,"")</f>
        <v>AH.L.Del3</v>
      </c>
      <c r="AJ137" s="1" t="str">
        <f>IF($AB137=4,$F137&amp;$AB137,"")</f>
        <v/>
      </c>
      <c r="AK137">
        <f>VLOOKUP($B137,Tab_classif,8,FALSE)</f>
        <v>1</v>
      </c>
      <c r="AL137">
        <f>VLOOKUP(D137,Tab_ActS,2,FALSE)</f>
        <v>1</v>
      </c>
      <c r="AM137">
        <f>VLOOKUP(E137,Tab_SDom,3,FALSE)</f>
        <v>1</v>
      </c>
      <c r="AN137">
        <f>VLOOKUP($F137,Tab_event,4,FALSE)</f>
        <v>1</v>
      </c>
      <c r="AO137">
        <f>I137*AK137*AL137*AM137*AN137</f>
        <v>1</v>
      </c>
      <c r="AP137">
        <f>IF(AND(AO137=1,AA137=""),IF(IndG=1,10*L137+M137,10*X137+Y137),"")</f>
        <v>33</v>
      </c>
    </row>
    <row r="138" spans="1:49" ht="52.5" customHeight="1" x14ac:dyDescent="0.25">
      <c r="A138" s="854" t="s">
        <v>6446</v>
      </c>
      <c r="B138" s="854" t="s">
        <v>520</v>
      </c>
      <c r="C138" s="856" t="s">
        <v>539</v>
      </c>
      <c r="D138" s="854" t="str">
        <f>Mes</f>
        <v>Données en transit</v>
      </c>
      <c r="E138" s="854" t="str">
        <f>Disp</f>
        <v>Disparition</v>
      </c>
      <c r="F138" s="858" t="s">
        <v>546</v>
      </c>
      <c r="G138" s="858" t="s">
        <v>6447</v>
      </c>
      <c r="H138" s="850"/>
      <c r="I138" s="24">
        <v>1</v>
      </c>
      <c r="J138" s="83" t="str">
        <f>VLOOKUP($F138,Tab_event,5)</f>
        <v>E</v>
      </c>
      <c r="K138" s="24" t="str">
        <f>C138</f>
        <v>D</v>
      </c>
      <c r="L138" s="83">
        <f>IF(VLOOKUP($B138,Tab_classif,8,FALSE)=1,VLOOKUP($B138,Tab_classif,IF(C138="D",4,IF(C138="I",5,IF(C138="C",6,7))),FALSE),1)</f>
        <v>3</v>
      </c>
      <c r="M138" s="83">
        <f>VLOOKUP($F138,Tab_event,3,FALSE)</f>
        <v>3</v>
      </c>
      <c r="N138" s="1070"/>
      <c r="O138" s="1070"/>
      <c r="P138" s="169">
        <f>IF(AND(NOT(L138=""),NOT(M138="")),INDEX(base_g,5-IF(N138="",L138,N138),IF(O138="",M138,O138)),"")</f>
        <v>3</v>
      </c>
      <c r="Q138" s="871">
        <f>1</f>
        <v>1</v>
      </c>
      <c r="R138" s="221">
        <f>S5E04</f>
        <v>1</v>
      </c>
      <c r="S138" s="221">
        <f>1</f>
        <v>1</v>
      </c>
      <c r="T138" s="221">
        <f>1</f>
        <v>1</v>
      </c>
      <c r="U138" s="687"/>
      <c r="V138" s="1071"/>
      <c r="W138" s="1071"/>
      <c r="X138" s="83">
        <f>IF(L138="","",IF(K138="D",INDEX(base_i,IF(U138=0,4,5-S138),T138+7*(IF(N138="",L138,N138)-1)),IF(K138="I",INDEX(base_i,IF(U138=0,15,16-S138),T138+7*(IF(N138="",L138,N138)-1)),IF(K138="C",INDEX(base_i,IF(U138=0,26,27-S138),T138+7*(IF(N138="",L138,N138)-1)),INDEX(base_i,38-S138,T138+7*(IF(N138="",L138,N138)-1))))))</f>
        <v>3</v>
      </c>
      <c r="Y138" s="83" cm="1">
        <f t="array" ref="Y138">IF(M138="","",IF(J138="A",INDEX(base_p,4,R138+7*(IF(O138="",M138,O138)-1)),IF(J138="E",INDEX(base_p,15,R138+7*(IF(O138="",M138,O138)-1)),INDEX(base_p,27-Q138,R138+7*(IF(O138="",M138,O138)-1)))))</f>
        <v>3</v>
      </c>
      <c r="Z138" s="83">
        <f>IF(AO138=1,IF(IndG&gt;1,IF(AND(OR(NOT(X138=""),NOT(V138="")),OR(NOT(Y138=""),NOT(W138="")),I138=1),INDEX(base_g,5-IF(V138="",X138,V138),IF(W138="",Y138,W138)),""),P138),"")</f>
        <v>3</v>
      </c>
      <c r="AA138" s="1092"/>
      <c r="AB138" s="83">
        <f t="shared" si="109"/>
        <v>3</v>
      </c>
      <c r="AC138" s="199"/>
      <c r="AD138" s="199" t="s">
        <v>4591</v>
      </c>
      <c r="AE138" s="165"/>
      <c r="AF138" s="165"/>
      <c r="AG138" s="1" t="str">
        <f>IF($AB138=1,$F138&amp;$AB138,"")</f>
        <v/>
      </c>
      <c r="AH138" s="1" t="str">
        <f>IF($AB138=2,$F138&amp;$AB138,"")</f>
        <v/>
      </c>
      <c r="AI138" s="1" t="str">
        <f>IF($AB138=3,$F138&amp;$AB138,"")</f>
        <v>ER.P.Pro3</v>
      </c>
      <c r="AJ138" s="1" t="str">
        <f>IF($AB138=4,$F138&amp;$AB138,"")</f>
        <v/>
      </c>
      <c r="AK138">
        <f>VLOOKUP($B138,Tab_classif,8,FALSE)</f>
        <v>1</v>
      </c>
      <c r="AL138">
        <f>VLOOKUP(D138,Tab_ActS,2,FALSE)</f>
        <v>1</v>
      </c>
      <c r="AM138">
        <f>VLOOKUP(E138,Tab_SDom,3,FALSE)</f>
        <v>1</v>
      </c>
      <c r="AN138">
        <f>VLOOKUP($F138,Tab_event,4,FALSE)</f>
        <v>1</v>
      </c>
      <c r="AO138">
        <f>I138*AK138*AL138*AM138*AN138</f>
        <v>1</v>
      </c>
      <c r="AP138">
        <f>IF(AND(AO138=1,AA138=""),IF(IndG=1,10*L138+M138,10*X138+Y138),"")</f>
        <v>33</v>
      </c>
    </row>
    <row r="139" spans="1:49" ht="18" customHeight="1" x14ac:dyDescent="0.25">
      <c r="A139" s="866" t="s">
        <v>6450</v>
      </c>
      <c r="B139" s="1325"/>
      <c r="C139" s="1325"/>
      <c r="D139" s="1325"/>
      <c r="E139" s="1325"/>
      <c r="F139" s="1325"/>
      <c r="G139" s="1325"/>
      <c r="H139" s="1325"/>
      <c r="I139" s="24"/>
      <c r="J139" s="83"/>
      <c r="K139" s="24"/>
      <c r="L139" s="83"/>
      <c r="M139" s="83"/>
      <c r="N139" s="1070"/>
      <c r="O139" s="1070"/>
      <c r="P139" s="169"/>
      <c r="Q139" s="871"/>
      <c r="R139" s="221"/>
      <c r="S139" s="221"/>
      <c r="T139" s="221"/>
      <c r="U139" s="687">
        <f>1</f>
        <v>1</v>
      </c>
      <c r="V139" s="1071"/>
      <c r="W139" s="1071"/>
      <c r="X139" s="83"/>
      <c r="Y139" s="83"/>
      <c r="Z139" s="83"/>
      <c r="AA139" s="1092"/>
      <c r="AB139" s="83"/>
      <c r="AC139" s="200"/>
      <c r="AD139" s="200"/>
      <c r="AE139" s="200"/>
      <c r="AF139" s="200"/>
      <c r="AG139" s="1"/>
      <c r="AH139" s="1"/>
      <c r="AI139" s="1"/>
      <c r="AJ139" s="1"/>
    </row>
    <row r="140" spans="1:49" ht="36" customHeight="1" x14ac:dyDescent="0.25">
      <c r="A140" s="894" t="s">
        <v>6451</v>
      </c>
      <c r="B140" s="854" t="s">
        <v>520</v>
      </c>
      <c r="C140" s="856" t="s">
        <v>268</v>
      </c>
      <c r="D140" s="854" t="str">
        <f>Fic</f>
        <v xml:space="preserve">Fichier ou base de données </v>
      </c>
      <c r="E140" s="788" t="str">
        <f>Altd</f>
        <v>Altération (non détectée) de donnée</v>
      </c>
      <c r="F140" s="858" t="s">
        <v>3211</v>
      </c>
      <c r="G140" s="858" t="s">
        <v>4766</v>
      </c>
      <c r="H140" s="850"/>
      <c r="I140" s="24">
        <v>1</v>
      </c>
      <c r="J140" s="83" t="str">
        <f>VLOOKUP($F140,Tab_event,5)</f>
        <v>V</v>
      </c>
      <c r="K140" s="24" t="str">
        <f>C140</f>
        <v>I</v>
      </c>
      <c r="L140" s="83">
        <f>IF(VLOOKUP($B140,Tab_classif,8,FALSE)=1,VLOOKUP($B140,Tab_classif,IF(C140="D",4,IF(C140="I",5,IF(C140="C",6,7))),FALSE),1)</f>
        <v>3</v>
      </c>
      <c r="M140" s="83">
        <f>VLOOKUP($F140,Tab_event,3,FALSE)</f>
        <v>3</v>
      </c>
      <c r="N140" s="1070"/>
      <c r="O140" s="1070"/>
      <c r="P140" s="169">
        <f>IF(AND(NOT(L140=""),NOT(M140="")),INDEX(base_g,5-IF(N140="",L140,N140),IF(O140="",M140,O140)),"")</f>
        <v>3</v>
      </c>
      <c r="Q140" s="871">
        <f>1</f>
        <v>1</v>
      </c>
      <c r="R140" s="221">
        <f>MAX(S3A09,S5F02)</f>
        <v>1</v>
      </c>
      <c r="S140" s="221">
        <f>1</f>
        <v>1</v>
      </c>
      <c r="T140" s="221">
        <f>1</f>
        <v>1</v>
      </c>
      <c r="U140" s="687"/>
      <c r="V140" s="1071"/>
      <c r="W140" s="1071"/>
      <c r="X140" s="83">
        <f>IF(L140="","",IF(K140="D",INDEX(base_i,IF(U140=0,4,5-S140),T140+7*(IF(N140="",L140,N140)-1)),IF(K140="I",INDEX(base_i,IF(U140=0,15,16-S140),T140+7*(IF(N140="",L140,N140)-1)),IF(K140="C",INDEX(base_i,IF(U140=0,26,27-S140),T140+7*(IF(N140="",L140,N140)-1)),INDEX(base_i,38-S140,T140+7*(IF(N140="",L140,N140)-1))))))</f>
        <v>3</v>
      </c>
      <c r="Y140" s="83" cm="1">
        <f t="array" ref="Y140">IF(M140="","",IF(J140="A",INDEX(base_p,4,R140+7*(IF(O140="",M140,O140)-1)),IF(J140="E",INDEX(base_p,15,R140+7*(IF(O140="",M140,O140)-1)),INDEX(base_p,27-Q140,R140+7*(IF(O140="",M140,O140)-1)))))</f>
        <v>3</v>
      </c>
      <c r="Z140" s="83">
        <f>IF(AO140=1,IF(IndG&gt;1,IF(AND(OR(NOT(X140=""),NOT(V140="")),OR(NOT(Y140=""),NOT(W140="")),I140=1),INDEX(base_g,5-IF(V140="",X140,V140),IF(W140="",Y140,W140)),""),P140),"")</f>
        <v>3</v>
      </c>
      <c r="AA140" s="1092"/>
      <c r="AB140" s="83">
        <f t="shared" si="109"/>
        <v>3</v>
      </c>
      <c r="AC140" s="196"/>
      <c r="AD140" s="199" t="s">
        <v>4608</v>
      </c>
      <c r="AE140" s="196"/>
      <c r="AF140" s="196"/>
      <c r="AG140" s="1" t="str">
        <f>IF($AB140=1,$F140&amp;$AB140,"")</f>
        <v/>
      </c>
      <c r="AH140" s="1" t="str">
        <f>IF($AB140=2,$F140&amp;$AB140,"")</f>
        <v/>
      </c>
      <c r="AI140" s="1" t="str">
        <f>IF($AB140=3,$F140&amp;$AB140,"")</f>
        <v>AH.L.Fal3</v>
      </c>
      <c r="AJ140" s="1" t="str">
        <f>IF($AB140=4,$F140&amp;$AB140,"")</f>
        <v/>
      </c>
      <c r="AK140">
        <f>VLOOKUP($B140,Tab_classif,8,FALSE)</f>
        <v>1</v>
      </c>
      <c r="AL140">
        <f>VLOOKUP(D140,Tab_ActS,2,FALSE)</f>
        <v>1</v>
      </c>
      <c r="AM140">
        <f>VLOOKUP(E140,Tab_SDom,3,FALSE)</f>
        <v>1</v>
      </c>
      <c r="AN140">
        <f>VLOOKUP($F140,Tab_event,4,FALSE)</f>
        <v>1</v>
      </c>
      <c r="AO140">
        <f>I140*AK140*AL140*AM140*AN140</f>
        <v>1</v>
      </c>
      <c r="AP140">
        <f>IF(AND(AO140=1,AA140=""),IF(IndG=1,10*L140+M140,10*X140+Y140),"")</f>
        <v>33</v>
      </c>
      <c r="AW140">
        <v>3</v>
      </c>
    </row>
    <row r="141" spans="1:49" ht="39" customHeight="1" x14ac:dyDescent="0.25">
      <c r="A141" s="894" t="s">
        <v>6452</v>
      </c>
      <c r="B141" s="854" t="s">
        <v>520</v>
      </c>
      <c r="C141" s="856" t="s">
        <v>268</v>
      </c>
      <c r="D141" s="854" t="str">
        <f>Mes</f>
        <v>Données en transit</v>
      </c>
      <c r="E141" s="795" t="str">
        <f>Altd</f>
        <v>Altération (non détectée) de donnée</v>
      </c>
      <c r="F141" s="858" t="s">
        <v>546</v>
      </c>
      <c r="G141" s="876" t="s">
        <v>6448</v>
      </c>
      <c r="H141" s="850"/>
      <c r="I141" s="24">
        <v>1</v>
      </c>
      <c r="J141" s="83" t="str">
        <f>VLOOKUP($F141,Tab_event,5)</f>
        <v>E</v>
      </c>
      <c r="K141" s="24" t="str">
        <f>C141</f>
        <v>I</v>
      </c>
      <c r="L141" s="83">
        <f>IF(VLOOKUP($B141,Tab_classif,8,FALSE)=1,VLOOKUP($B141,Tab_classif,IF(C141="D",4,IF(C141="I",5,IF(C141="C",6,7))),FALSE),1)</f>
        <v>3</v>
      </c>
      <c r="M141" s="83">
        <f>VLOOKUP($F141,Tab_event,3,FALSE)</f>
        <v>3</v>
      </c>
      <c r="N141" s="1070"/>
      <c r="O141" s="1070"/>
      <c r="P141" s="169">
        <f>IF(AND(NOT(L141=""),NOT(M141="")),INDEX(base_g,5-IF(N141="",L141,N141),IF(O141="",M141,O141)),"")</f>
        <v>3</v>
      </c>
      <c r="Q141" s="871">
        <f>1</f>
        <v>1</v>
      </c>
      <c r="R141" s="221">
        <f>S5F01</f>
        <v>1</v>
      </c>
      <c r="S141" s="221">
        <f>1</f>
        <v>1</v>
      </c>
      <c r="T141" s="221">
        <f>1</f>
        <v>1</v>
      </c>
      <c r="U141" s="687"/>
      <c r="V141" s="1071"/>
      <c r="W141" s="1071"/>
      <c r="X141" s="83">
        <f>IF(L141="","",IF(K141="D",INDEX(base_i,IF(U141=0,4,5-S141),T141+7*(IF(N141="",L141,N141)-1)),IF(K141="I",INDEX(base_i,IF(U141=0,15,16-S141),T141+7*(IF(N141="",L141,N141)-1)),IF(K141="C",INDEX(base_i,IF(U141=0,26,27-S141),T141+7*(IF(N141="",L141,N141)-1)),INDEX(base_i,38-S141,T141+7*(IF(N141="",L141,N141)-1))))))</f>
        <v>3</v>
      </c>
      <c r="Y141" s="83" cm="1">
        <f t="array" ref="Y141">IF(M141="","",IF(J141="A",INDEX(base_p,4,R141+7*(IF(O141="",M141,O141)-1)),IF(J141="E",INDEX(base_p,15,R141+7*(IF(O141="",M141,O141)-1)),INDEX(base_p,27-Q141,R141+7*(IF(O141="",M141,O141)-1)))))</f>
        <v>3</v>
      </c>
      <c r="Z141" s="83">
        <f>IF(AO141=1,IF(IndG&gt;1,IF(AND(OR(NOT(X141=""),NOT(V141="")),OR(NOT(Y141=""),NOT(W141="")),I141=1),INDEX(base_g,5-IF(V141="",X141,V141),IF(W141="",Y141,W141)),""),P141),"")</f>
        <v>3</v>
      </c>
      <c r="AA141" s="1092"/>
      <c r="AB141" s="83">
        <f t="shared" si="109"/>
        <v>3</v>
      </c>
      <c r="AC141" s="165"/>
      <c r="AD141" s="196" t="s">
        <v>1607</v>
      </c>
      <c r="AE141" s="165"/>
      <c r="AF141" s="165"/>
      <c r="AG141" s="1" t="str">
        <f>IF($AB141=1,$F141&amp;$AB141,"")</f>
        <v/>
      </c>
      <c r="AH141" s="1" t="str">
        <f>IF($AB141=2,$F141&amp;$AB141,"")</f>
        <v/>
      </c>
      <c r="AI141" s="1" t="str">
        <f>IF($AB141=3,$F141&amp;$AB141,"")</f>
        <v>ER.P.Pro3</v>
      </c>
      <c r="AJ141" s="1" t="str">
        <f>IF($AB141=4,$F141&amp;$AB141,"")</f>
        <v/>
      </c>
      <c r="AK141">
        <f>VLOOKUP($B141,Tab_classif,8,FALSE)</f>
        <v>1</v>
      </c>
      <c r="AL141">
        <f>VLOOKUP(D141,Tab_ActS,2,FALSE)</f>
        <v>1</v>
      </c>
      <c r="AM141">
        <f>VLOOKUP(E141,Tab_SDom,3,FALSE)</f>
        <v>1</v>
      </c>
      <c r="AN141">
        <f>VLOOKUP($F141,Tab_event,4,FALSE)</f>
        <v>1</v>
      </c>
      <c r="AO141">
        <f>I141*AK141*AL141*AM141*AN141</f>
        <v>1</v>
      </c>
      <c r="AP141">
        <f>IF(AND(AO141=1,AA141=""),IF(IndG=1,10*L141+M141,10*X141+Y141),"")</f>
        <v>33</v>
      </c>
    </row>
    <row r="142" spans="1:49" ht="37.5" customHeight="1" x14ac:dyDescent="0.25">
      <c r="A142" s="894" t="s">
        <v>6453</v>
      </c>
      <c r="B142" s="854" t="s">
        <v>520</v>
      </c>
      <c r="C142" s="856" t="s">
        <v>268</v>
      </c>
      <c r="D142" s="854" t="str">
        <f>Mes</f>
        <v>Données en transit</v>
      </c>
      <c r="E142" s="788" t="str">
        <f>Altd</f>
        <v>Altération (non détectée) de donnée</v>
      </c>
      <c r="F142" s="858" t="s">
        <v>3211</v>
      </c>
      <c r="G142" s="876" t="s">
        <v>6449</v>
      </c>
      <c r="H142" s="848"/>
      <c r="I142" s="24">
        <v>1</v>
      </c>
      <c r="J142" s="83" t="str">
        <f>VLOOKUP($F142,Tab_event,5)</f>
        <v>V</v>
      </c>
      <c r="K142" s="24" t="str">
        <f>C142</f>
        <v>I</v>
      </c>
      <c r="L142" s="83">
        <f>IF(VLOOKUP($B142,Tab_classif,8,FALSE)=1,VLOOKUP($B142,Tab_classif,IF(C142="D",4,IF(C142="I",5,IF(C142="C",6,7))),FALSE),1)</f>
        <v>3</v>
      </c>
      <c r="M142" s="83">
        <f>VLOOKUP($F142,Tab_event,3,FALSE)</f>
        <v>3</v>
      </c>
      <c r="N142" s="1070"/>
      <c r="O142" s="1070"/>
      <c r="P142" s="169">
        <f>IF(AND(NOT(L142=""),NOT(M142="")),INDEX(base_g,5-IF(N142="",L142,N142),IF(O142="",M142,O142)),"")</f>
        <v>3</v>
      </c>
      <c r="Q142" s="871">
        <f>1</f>
        <v>1</v>
      </c>
      <c r="R142" s="221">
        <f>MAX(S5F01,S5G01)</f>
        <v>1</v>
      </c>
      <c r="S142" s="221">
        <f>1</f>
        <v>1</v>
      </c>
      <c r="T142" s="221">
        <f>1</f>
        <v>1</v>
      </c>
      <c r="U142" s="687"/>
      <c r="V142" s="1071"/>
      <c r="W142" s="1071"/>
      <c r="X142" s="83">
        <f>IF(L142="","",IF(K142="D",INDEX(base_i,IF(U142=0,4,5-S142),T142+7*(IF(N142="",L142,N142)-1)),IF(K142="I",INDEX(base_i,IF(U142=0,15,16-S142),T142+7*(IF(N142="",L142,N142)-1)),IF(K142="C",INDEX(base_i,IF(U142=0,26,27-S142),T142+7*(IF(N142="",L142,N142)-1)),INDEX(base_i,38-S142,T142+7*(IF(N142="",L142,N142)-1))))))</f>
        <v>3</v>
      </c>
      <c r="Y142" s="83" cm="1">
        <f t="array" ref="Y142">IF(M142="","",IF(J142="A",INDEX(base_p,4,R142+7*(IF(O142="",M142,O142)-1)),IF(J142="E",INDEX(base_p,15,R142+7*(IF(O142="",M142,O142)-1)),INDEX(base_p,27-Q142,R142+7*(IF(O142="",M142,O142)-1)))))</f>
        <v>3</v>
      </c>
      <c r="Z142" s="83">
        <f>IF(AO142=1,IF(IndG&gt;1,IF(AND(OR(NOT(X142=""),NOT(V142="")),OR(NOT(Y142=""),NOT(W142="")),I142=1),INDEX(base_g,5-IF(V142="",X142,V142),IF(W142="",Y142,W142)),""),P142),"")</f>
        <v>3</v>
      </c>
      <c r="AA142" s="1092"/>
      <c r="AB142" s="83">
        <f t="shared" si="109"/>
        <v>3</v>
      </c>
      <c r="AC142" s="196"/>
      <c r="AD142" s="196" t="s">
        <v>2048</v>
      </c>
      <c r="AE142" s="165"/>
      <c r="AF142" s="165"/>
      <c r="AG142" s="1" t="str">
        <f>IF($AB142=1,$F142&amp;$AB142,"")</f>
        <v/>
      </c>
      <c r="AH142" s="1" t="str">
        <f>IF($AB142=2,$F142&amp;$AB142,"")</f>
        <v/>
      </c>
      <c r="AI142" s="1" t="str">
        <f>IF($AB142=3,$F142&amp;$AB142,"")</f>
        <v>AH.L.Fal3</v>
      </c>
      <c r="AJ142" s="1" t="str">
        <f>IF($AB142=4,$F142&amp;$AB142,"")</f>
        <v/>
      </c>
      <c r="AK142">
        <f>VLOOKUP($B142,Tab_classif,8,FALSE)</f>
        <v>1</v>
      </c>
      <c r="AL142">
        <f>VLOOKUP(D142,Tab_ActS,2,FALSE)</f>
        <v>1</v>
      </c>
      <c r="AM142">
        <f>VLOOKUP(E142,Tab_SDom,3,FALSE)</f>
        <v>1</v>
      </c>
      <c r="AN142">
        <f>VLOOKUP($F142,Tab_event,4,FALSE)</f>
        <v>1</v>
      </c>
      <c r="AO142">
        <f>I142*AK142*AL142*AM142*AN142</f>
        <v>1</v>
      </c>
      <c r="AP142">
        <f>IF(AND(AO142=1,AA142=""),IF(IndG=1,10*L142+M142,10*X142+Y142),"")</f>
        <v>33</v>
      </c>
    </row>
    <row r="143" spans="1:49" ht="18" customHeight="1" x14ac:dyDescent="0.25">
      <c r="A143" s="866" t="s">
        <v>6457</v>
      </c>
      <c r="B143" s="1325"/>
      <c r="C143" s="1325"/>
      <c r="D143" s="1325"/>
      <c r="E143" s="1325"/>
      <c r="F143" s="1325"/>
      <c r="G143" s="1325"/>
      <c r="H143" s="1325"/>
      <c r="I143" s="24"/>
      <c r="J143" s="83"/>
      <c r="K143" s="24"/>
      <c r="L143" s="83"/>
      <c r="M143" s="83"/>
      <c r="N143" s="1070"/>
      <c r="O143" s="1070"/>
      <c r="P143" s="169"/>
      <c r="Q143" s="871"/>
      <c r="R143" s="221"/>
      <c r="S143" s="221"/>
      <c r="T143" s="221"/>
      <c r="U143" s="687">
        <f>1</f>
        <v>1</v>
      </c>
      <c r="V143" s="1071"/>
      <c r="W143" s="1071"/>
      <c r="X143" s="83"/>
      <c r="Y143" s="83"/>
      <c r="Z143" s="83"/>
      <c r="AA143" s="1092"/>
      <c r="AB143" s="83"/>
      <c r="AC143" s="200"/>
      <c r="AD143" s="200"/>
      <c r="AE143" s="200"/>
      <c r="AF143" s="200"/>
      <c r="AG143" s="1"/>
      <c r="AH143" s="1"/>
      <c r="AI143" s="1"/>
      <c r="AJ143" s="1"/>
    </row>
    <row r="144" spans="1:49" ht="36" customHeight="1" x14ac:dyDescent="0.25">
      <c r="A144" s="894" t="s">
        <v>6454</v>
      </c>
      <c r="B144" s="854" t="s">
        <v>520</v>
      </c>
      <c r="C144" s="856" t="s">
        <v>309</v>
      </c>
      <c r="D144" s="854" t="str">
        <f>Fic</f>
        <v xml:space="preserve">Fichier ou base de données </v>
      </c>
      <c r="E144" s="788" t="str">
        <f>Dive</f>
        <v>Divulgation de données</v>
      </c>
      <c r="F144" s="858" t="s">
        <v>3220</v>
      </c>
      <c r="G144" s="858" t="s">
        <v>4794</v>
      </c>
      <c r="H144" s="850"/>
      <c r="I144" s="24">
        <v>1</v>
      </c>
      <c r="J144" s="83" t="str">
        <f>VLOOKUP($F144,Tab_event,5)</f>
        <v>V</v>
      </c>
      <c r="K144" s="24" t="str">
        <f>C144</f>
        <v>C</v>
      </c>
      <c r="L144" s="83">
        <f>IF(VLOOKUP($B144,Tab_classif,8,FALSE)=1,VLOOKUP($B144,Tab_classif,IF(C144="D",4,IF(C144="I",5,IF(C144="C",6,7))),FALSE),1)</f>
        <v>3</v>
      </c>
      <c r="M144" s="83">
        <f>VLOOKUP($F144,Tab_event,3,FALSE)</f>
        <v>3</v>
      </c>
      <c r="N144" s="1070"/>
      <c r="O144" s="1070"/>
      <c r="P144" s="169">
        <f>IF(AND(NOT(L144=""),NOT(M144="")),INDEX(base_g,5-IF(N144="",L144,N144),IF(O144="",M144,O144)),"")</f>
        <v>3</v>
      </c>
      <c r="Q144" s="871">
        <f>1</f>
        <v>1</v>
      </c>
      <c r="R144" s="221">
        <f>MAX(S3A09,S5G02)</f>
        <v>1</v>
      </c>
      <c r="S144" s="221">
        <f>1</f>
        <v>1</v>
      </c>
      <c r="T144" s="221">
        <f>1</f>
        <v>1</v>
      </c>
      <c r="U144" s="687"/>
      <c r="V144" s="1071"/>
      <c r="W144" s="1071"/>
      <c r="X144" s="83">
        <f>IF(L144="","",IF(K144="D",INDEX(base_i,IF(U144=0,4,5-S144),T144+7*(IF(N144="",L144,N144)-1)),IF(K144="I",INDEX(base_i,IF(U144=0,15,16-S144),T144+7*(IF(N144="",L144,N144)-1)),IF(K144="C",INDEX(base_i,IF(U144=0,26,27-S144),T144+7*(IF(N144="",L144,N144)-1)),INDEX(base_i,38-S144,T144+7*(IF(N144="",L144,N144)-1))))))</f>
        <v>3</v>
      </c>
      <c r="Y144" s="83" cm="1">
        <f t="array" ref="Y144">IF(M144="","",IF(J144="A",INDEX(base_p,4,R144+7*(IF(O144="",M144,O144)-1)),IF(J144="E",INDEX(base_p,15,R144+7*(IF(O144="",M144,O144)-1)),INDEX(base_p,27-Q144,R144+7*(IF(O144="",M144,O144)-1)))))</f>
        <v>3</v>
      </c>
      <c r="Z144" s="83">
        <f>IF(AO144=1,IF(IndG&gt;1,IF(AND(OR(NOT(X144=""),NOT(V144="")),OR(NOT(Y144=""),NOT(W144="")),I144=1),INDEX(base_g,5-IF(V144="",X144,V144),IF(W144="",Y144,W144)),""),P144),"")</f>
        <v>3</v>
      </c>
      <c r="AA144" s="1092"/>
      <c r="AB144" s="83">
        <f t="shared" si="109"/>
        <v>3</v>
      </c>
      <c r="AC144" s="196"/>
      <c r="AD144" s="199" t="s">
        <v>4610</v>
      </c>
      <c r="AE144" s="196"/>
      <c r="AF144" s="196"/>
      <c r="AG144" s="1" t="str">
        <f>IF($AB144=1,$F144&amp;$AB144,"")</f>
        <v/>
      </c>
      <c r="AH144" s="1" t="str">
        <f>IF($AB144=2,$F144&amp;$AB144,"")</f>
        <v/>
      </c>
      <c r="AI144" s="1" t="str">
        <f>IF($AB144=3,$F144&amp;$AB144,"")</f>
        <v>AH.L.Vol3</v>
      </c>
      <c r="AJ144" s="1" t="str">
        <f>IF($AB144=4,$F144&amp;$AB144,"")</f>
        <v/>
      </c>
      <c r="AK144">
        <f>VLOOKUP($B144,Tab_classif,8,FALSE)</f>
        <v>1</v>
      </c>
      <c r="AL144">
        <f>VLOOKUP(D144,Tab_ActS,2,FALSE)</f>
        <v>1</v>
      </c>
      <c r="AM144">
        <f>VLOOKUP(E144,Tab_SDom,3,FALSE)</f>
        <v>1</v>
      </c>
      <c r="AN144">
        <f>VLOOKUP($F144,Tab_event,4,FALSE)</f>
        <v>1</v>
      </c>
      <c r="AO144">
        <f>I144*AK144*AL144*AM144*AN144</f>
        <v>1</v>
      </c>
      <c r="AP144">
        <f>IF(AND(AO144=1,AA144=""),IF(IndG=1,10*L144+M144,10*X144+Y144),"")</f>
        <v>33</v>
      </c>
      <c r="AW144">
        <v>3</v>
      </c>
    </row>
    <row r="145" spans="1:49" ht="51" customHeight="1" x14ac:dyDescent="0.25">
      <c r="A145" s="894" t="s">
        <v>6455</v>
      </c>
      <c r="B145" s="854" t="s">
        <v>520</v>
      </c>
      <c r="C145" s="856" t="s">
        <v>309</v>
      </c>
      <c r="D145" s="854" t="str" cm="1">
        <f t="array" ref="D145">Det</f>
        <v>Données en transit</v>
      </c>
      <c r="E145" s="788" t="str">
        <f>Dive</f>
        <v>Divulgation de données</v>
      </c>
      <c r="F145" s="858" t="s">
        <v>3208</v>
      </c>
      <c r="G145" s="858" t="s">
        <v>6717</v>
      </c>
      <c r="H145" s="850"/>
      <c r="I145" s="24">
        <v>1</v>
      </c>
      <c r="J145" s="83" t="str">
        <f>VLOOKUP($F145,Tab_event,5)</f>
        <v>V</v>
      </c>
      <c r="K145" s="24" t="str">
        <f>C145</f>
        <v>C</v>
      </c>
      <c r="L145" s="83">
        <f>IF(VLOOKUP($B145,Tab_classif,8,FALSE)=1,VLOOKUP($B145,Tab_classif,IF(C145="D",4,IF(C145="I",5,IF(C145="C",6,7))),FALSE),1)</f>
        <v>3</v>
      </c>
      <c r="M145" s="83">
        <f>VLOOKUP($F145,Tab_event,3,FALSE)</f>
        <v>2</v>
      </c>
      <c r="N145" s="1070"/>
      <c r="O145" s="1070"/>
      <c r="P145" s="169">
        <f>IF(AND(NOT(L145=""),NOT(M145="")),INDEX(base_g,5-IF(N145="",L145,N145),IF(O145="",M145,O145)),"")</f>
        <v>3</v>
      </c>
      <c r="Q145" s="871">
        <f>1</f>
        <v>1</v>
      </c>
      <c r="R145" s="221">
        <f>S5G01</f>
        <v>1</v>
      </c>
      <c r="S145" s="221">
        <f>1</f>
        <v>1</v>
      </c>
      <c r="T145" s="221">
        <f>1</f>
        <v>1</v>
      </c>
      <c r="U145" s="687"/>
      <c r="V145" s="1071"/>
      <c r="W145" s="1071"/>
      <c r="X145" s="83">
        <f>IF(L145="","",IF(K145="D",INDEX(base_i,IF(U145=0,4,5-S145),T145+7*(IF(N145="",L145,N145)-1)),IF(K145="I",INDEX(base_i,IF(U145=0,15,16-S145),T145+7*(IF(N145="",L145,N145)-1)),IF(K145="C",INDEX(base_i,IF(U145=0,26,27-S145),T145+7*(IF(N145="",L145,N145)-1)),INDEX(base_i,38-S145,T145+7*(IF(N145="",L145,N145)-1))))))</f>
        <v>3</v>
      </c>
      <c r="Y145" s="83" cm="1">
        <f t="array" ref="Y145">IF(M145="","",IF(J145="A",INDEX(base_p,4,R145+7*(IF(O145="",M145,O145)-1)),IF(J145="E",INDEX(base_p,15,R145+7*(IF(O145="",M145,O145)-1)),INDEX(base_p,27-Q145,R145+7*(IF(O145="",M145,O145)-1)))))</f>
        <v>2</v>
      </c>
      <c r="Z145" s="83">
        <f>IF(AO145=1,IF(IndG&gt;1,IF(AND(OR(NOT(X145=""),NOT(V145="")),OR(NOT(Y145=""),NOT(W145="")),I145=1),INDEX(base_g,5-IF(V145="",X145,V145),IF(W145="",Y145,W145)),""),P145),"")</f>
        <v>3</v>
      </c>
      <c r="AA145" s="1092"/>
      <c r="AB145" s="83">
        <f t="shared" si="109"/>
        <v>3</v>
      </c>
      <c r="AC145" s="167"/>
      <c r="AD145" s="196" t="s">
        <v>1610</v>
      </c>
      <c r="AE145" s="197"/>
      <c r="AF145" s="198"/>
      <c r="AG145" s="1" t="str">
        <f>IF($AB145=1,$F145&amp;$AB145,"")</f>
        <v/>
      </c>
      <c r="AH145" s="1" t="str">
        <f>IF($AB145=2,$F145&amp;$AB145,"")</f>
        <v/>
      </c>
      <c r="AI145" s="1" t="str">
        <f>IF($AB145=3,$F145&amp;$AB145,"")</f>
        <v>AH.L.Cap3</v>
      </c>
      <c r="AJ145" s="1" t="str">
        <f>IF($AB145=4,$F145&amp;$AB145,"")</f>
        <v/>
      </c>
      <c r="AK145">
        <f>VLOOKUP($B145,Tab_classif,8,FALSE)</f>
        <v>1</v>
      </c>
      <c r="AL145">
        <f>VLOOKUP(D145,Tab_ActS,2,FALSE)</f>
        <v>1</v>
      </c>
      <c r="AM145">
        <f>VLOOKUP(E145,Tab_SDom,3,FALSE)</f>
        <v>1</v>
      </c>
      <c r="AN145">
        <f>VLOOKUP($F145,Tab_event,4,FALSE)</f>
        <v>1</v>
      </c>
      <c r="AO145">
        <f>I145*AK145*AL145*AM145*AN145</f>
        <v>1</v>
      </c>
      <c r="AP145">
        <f>IF(AND(AO145=1,AA145=""),IF(IndG=1,10*L145+M145,10*X145+Y145),"")</f>
        <v>32</v>
      </c>
    </row>
    <row r="146" spans="1:49" ht="51" customHeight="1" x14ac:dyDescent="0.25">
      <c r="A146" s="894" t="s">
        <v>6456</v>
      </c>
      <c r="B146" s="854" t="s">
        <v>520</v>
      </c>
      <c r="C146" s="856" t="s">
        <v>309</v>
      </c>
      <c r="D146" s="854" t="str" cm="1">
        <f t="array" ref="D146">Det</f>
        <v>Données en transit</v>
      </c>
      <c r="E146" s="788" t="str">
        <f>Dive</f>
        <v>Divulgation de données</v>
      </c>
      <c r="F146" s="858" t="s">
        <v>4804</v>
      </c>
      <c r="G146" s="858" t="s">
        <v>4771</v>
      </c>
      <c r="H146" s="850"/>
      <c r="I146" s="24">
        <v>1</v>
      </c>
      <c r="J146" s="83" t="str">
        <f>VLOOKUP($F146,Tab_event,5)</f>
        <v>V</v>
      </c>
      <c r="K146" s="24" t="str">
        <f>C146</f>
        <v>C</v>
      </c>
      <c r="L146" s="83">
        <f>IF(VLOOKUP($B146,Tab_classif,8,FALSE)=1,VLOOKUP($B146,Tab_classif,IF(C146="D",4,IF(C146="I",5,IF(C146="C",6,7))),FALSE),1)</f>
        <v>3</v>
      </c>
      <c r="M146" s="83">
        <f>VLOOKUP($F146,Tab_event,3,FALSE)</f>
        <v>3</v>
      </c>
      <c r="N146" s="1070"/>
      <c r="O146" s="1070"/>
      <c r="P146" s="169">
        <f>IF(AND(NOT(L146=""),NOT(M146="")),INDEX(base_g,5-IF(N146="",L146,N146),IF(O146="",M146,O146)),"")</f>
        <v>3</v>
      </c>
      <c r="Q146" s="871">
        <f>1</f>
        <v>1</v>
      </c>
      <c r="R146" s="221">
        <f>S2D05</f>
        <v>1</v>
      </c>
      <c r="S146" s="221">
        <f>1</f>
        <v>1</v>
      </c>
      <c r="T146" s="221">
        <f>1</f>
        <v>1</v>
      </c>
      <c r="U146" s="687"/>
      <c r="V146" s="1071"/>
      <c r="W146" s="1071"/>
      <c r="X146" s="83">
        <f>IF(L146="","",IF(K146="D",INDEX(base_i,IF(U146=0,4,5-S146),T146+7*(IF(N146="",L146,N146)-1)),IF(K146="I",INDEX(base_i,IF(U146=0,15,16-S146),T146+7*(IF(N146="",L146,N146)-1)),IF(K146="C",INDEX(base_i,IF(U146=0,26,27-S146),T146+7*(IF(N146="",L146,N146)-1)),INDEX(base_i,38-S146,T146+7*(IF(N146="",L146,N146)-1))))))</f>
        <v>3</v>
      </c>
      <c r="Y146" s="83" cm="1">
        <f t="array" ref="Y146">IF(M146="","",IF(J146="A",INDEX(base_p,4,R146+7*(IF(O146="",M146,O146)-1)),IF(J146="E",INDEX(base_p,15,R146+7*(IF(O146="",M146,O146)-1)),INDEX(base_p,27-Q146,R146+7*(IF(O146="",M146,O146)-1)))))</f>
        <v>3</v>
      </c>
      <c r="Z146" s="83">
        <f>IF(AO146=1,IF(IndG&gt;1,IF(AND(OR(NOT(X146=""),NOT(V146="")),OR(NOT(Y146=""),NOT(W146="")),I146=1),INDEX(base_g,5-IF(V146="",X146,V146),IF(W146="",Y146,W146)),""),P146),"")</f>
        <v>3</v>
      </c>
      <c r="AA146" s="1092"/>
      <c r="AB146" s="83">
        <f t="shared" si="109"/>
        <v>3</v>
      </c>
      <c r="AC146" s="167"/>
      <c r="AD146" s="196" t="s">
        <v>4459</v>
      </c>
      <c r="AE146" s="197"/>
      <c r="AF146" s="198"/>
      <c r="AG146" s="1" t="str">
        <f>IF($AB146=1,$F146&amp;$AB146,"")</f>
        <v/>
      </c>
      <c r="AH146" s="1" t="str">
        <f>IF($AB146=2,$F146&amp;$AB146,"")</f>
        <v/>
      </c>
      <c r="AI146" s="1" t="str">
        <f>IF($AB146=3,$F146&amp;$AB146,"")</f>
        <v>AH.L.Cav3</v>
      </c>
      <c r="AJ146" s="1" t="str">
        <f>IF($AB146=4,$F146&amp;$AB146,"")</f>
        <v/>
      </c>
      <c r="AK146">
        <f>VLOOKUP($B146,Tab_classif,8,FALSE)</f>
        <v>1</v>
      </c>
      <c r="AL146">
        <f>VLOOKUP(D146,Tab_ActS,2,FALSE)</f>
        <v>1</v>
      </c>
      <c r="AM146">
        <f>VLOOKUP(E146,Tab_SDom,3,FALSE)</f>
        <v>1</v>
      </c>
      <c r="AN146">
        <f>VLOOKUP($F146,Tab_event,4,FALSE)</f>
        <v>1</v>
      </c>
      <c r="AO146">
        <f>I146*AK146*AL146*AM146*AN146</f>
        <v>1</v>
      </c>
      <c r="AP146">
        <f>IF(AND(AO146=1,AA146=""),IF(IndG=1,10*L146+M146,10*X146+Y146),"")</f>
        <v>33</v>
      </c>
    </row>
    <row r="147" spans="1:49" ht="18" customHeight="1" x14ac:dyDescent="0.25">
      <c r="A147" s="866" t="s">
        <v>6489</v>
      </c>
      <c r="B147" s="1325"/>
      <c r="C147" s="1325"/>
      <c r="D147" s="1325"/>
      <c r="E147" s="1325"/>
      <c r="F147" s="1325"/>
      <c r="G147" s="1325"/>
      <c r="H147" s="1325"/>
      <c r="I147" s="24"/>
      <c r="J147" s="83"/>
      <c r="K147" s="24"/>
      <c r="L147" s="83"/>
      <c r="M147" s="83"/>
      <c r="N147" s="1070"/>
      <c r="O147" s="1070"/>
      <c r="P147" s="169"/>
      <c r="Q147" s="871"/>
      <c r="R147" s="221"/>
      <c r="S147" s="221"/>
      <c r="T147" s="221"/>
      <c r="U147" s="687">
        <f>1</f>
        <v>1</v>
      </c>
      <c r="V147" s="1071"/>
      <c r="W147" s="1071"/>
      <c r="X147" s="83"/>
      <c r="Y147" s="83"/>
      <c r="Z147" s="83"/>
      <c r="AA147" s="1092"/>
      <c r="AB147" s="83"/>
      <c r="AC147" s="200"/>
      <c r="AD147" s="200"/>
      <c r="AE147" s="200"/>
      <c r="AF147" s="200"/>
      <c r="AG147" s="1"/>
      <c r="AH147" s="1"/>
      <c r="AI147" s="1"/>
      <c r="AJ147" s="1"/>
    </row>
    <row r="148" spans="1:49" ht="40.5" customHeight="1" x14ac:dyDescent="0.25">
      <c r="A148" s="894" t="s">
        <v>6458</v>
      </c>
      <c r="B148" s="854" t="s">
        <v>396</v>
      </c>
      <c r="C148" s="856" t="s">
        <v>539</v>
      </c>
      <c r="D148" s="854" t="str">
        <f t="shared" ref="D148:D156" si="128">Cfg</f>
        <v>Configuration systèmes et applications</v>
      </c>
      <c r="E148" s="788" t="str">
        <f>Disp</f>
        <v>Disparition</v>
      </c>
      <c r="F148" s="858" t="s">
        <v>3210</v>
      </c>
      <c r="G148" s="858" t="s">
        <v>4795</v>
      </c>
      <c r="H148" s="850" t="s">
        <v>4726</v>
      </c>
      <c r="I148" s="24">
        <v>1</v>
      </c>
      <c r="J148" s="83" t="str">
        <f t="shared" ref="J148:J176" si="129">VLOOKUP($F148,Tab_event,5)</f>
        <v>V</v>
      </c>
      <c r="K148" s="24" t="str">
        <f t="shared" ref="K148:K176" si="130">C148</f>
        <v>D</v>
      </c>
      <c r="L148" s="83">
        <f t="shared" ref="L148:L176" si="131">IF(VLOOKUP($B148,Tab_classif,8,FALSE)=1,VLOOKUP($B148,Tab_classif,IF(C148="D",4,IF(C148="I",5,IF(C148="C",6,7))),FALSE),1)</f>
        <v>2</v>
      </c>
      <c r="M148" s="83">
        <f t="shared" ref="M148:M176" si="132">VLOOKUP($F148,Tab_event,3,FALSE)</f>
        <v>2</v>
      </c>
      <c r="N148" s="1070"/>
      <c r="O148" s="1070"/>
      <c r="P148" s="169">
        <f t="shared" ref="P148:P176" si="133">IF(AND(NOT(L148=""),NOT(M148="")),INDEX(base_g,5-IF(N148="",L148,N148),IF(O148="",M148,O148)),"")</f>
        <v>2</v>
      </c>
      <c r="Q148" s="871">
        <f>MIN(S3A08,S4A11)</f>
        <v>1</v>
      </c>
      <c r="R148" s="221">
        <f>MIN(S3A04,S3A07)</f>
        <v>1</v>
      </c>
      <c r="S148" s="221">
        <f>1</f>
        <v>1</v>
      </c>
      <c r="T148" s="221">
        <f>S4A03</f>
        <v>1</v>
      </c>
      <c r="U148" s="687"/>
      <c r="V148" s="1071"/>
      <c r="W148" s="1071"/>
      <c r="X148" s="83">
        <f t="shared" ref="X148:X176" si="134">IF(L148="","",IF(K148="D",INDEX(base_i,IF(U148=0,4,5-S148),T148+7*(IF(N148="",L148,N148)-1)),IF(K148="I",INDEX(base_i,IF(U148=0,15,16-S148),T148+7*(IF(N148="",L148,N148)-1)),IF(K148="C",INDEX(base_i,IF(U148=0,26,27-S148),T148+7*(IF(N148="",L148,N148)-1)),INDEX(base_i,38-S148,T148+7*(IF(N148="",L148,N148)-1))))))</f>
        <v>2</v>
      </c>
      <c r="Y148" s="83" cm="1">
        <f t="array" ref="Y148">IF(M148="","",IF(J148="A",INDEX(base_p,4,R148+7*(IF(O148="",M148,O148)-1)),IF(J148="E",INDEX(base_p,15,R148+7*(IF(O148="",M148,O148)-1)),INDEX(base_p,27-Q148,R148+7*(IF(O148="",M148,O148)-1)))))</f>
        <v>2</v>
      </c>
      <c r="Z148" s="83">
        <f t="shared" ref="Z148:Z176" si="135">IF(AO148=1,IF(IndG&gt;1,IF(AND(OR(NOT(X148=""),NOT(V148="")),OR(NOT(Y148=""),NOT(W148="")),I148=1),INDEX(base_g,5-IF(V148="",X148,V148),IF(W148="",Y148,W148)),""),P148),"")</f>
        <v>2</v>
      </c>
      <c r="AA148" s="1092"/>
      <c r="AB148" s="83">
        <f t="shared" si="109"/>
        <v>2</v>
      </c>
      <c r="AC148" s="196" t="s">
        <v>6570</v>
      </c>
      <c r="AD148" s="199" t="s">
        <v>2041</v>
      </c>
      <c r="AE148" s="380"/>
      <c r="AF148" s="196" t="s">
        <v>622</v>
      </c>
      <c r="AG148" s="1" t="str">
        <f t="shared" ref="AG148:AG176" si="136">IF($AB148=1,$F148&amp;$AB148,"")</f>
        <v/>
      </c>
      <c r="AH148" s="1" t="str">
        <f>IF($AB148=2,$F148&amp;$AB148,"")</f>
        <v>AH.L.Cfg2</v>
      </c>
      <c r="AI148" s="1" t="str">
        <f t="shared" ref="AI148:AI176" si="137">IF($AB148=3,$F148&amp;$AB148,"")</f>
        <v/>
      </c>
      <c r="AJ148" s="1" t="str">
        <f t="shared" ref="AJ148:AJ176" si="138">IF($AB148=4,$F148&amp;$AB148,"")</f>
        <v/>
      </c>
      <c r="AK148">
        <f t="shared" ref="AK148:AK176" si="139">VLOOKUP($B148,Tab_classif,8,FALSE)</f>
        <v>1</v>
      </c>
      <c r="AL148">
        <f t="shared" ref="AL148:AL176" si="140">VLOOKUP(D148,Tab_ActS,2,FALSE)</f>
        <v>1</v>
      </c>
      <c r="AM148">
        <f t="shared" ref="AM148:AM176" si="141">VLOOKUP(E148,Tab_SDom,3,FALSE)</f>
        <v>1</v>
      </c>
      <c r="AN148">
        <f t="shared" ref="AN148:AN176" si="142">VLOOKUP($F148,Tab_event,4,FALSE)</f>
        <v>1</v>
      </c>
      <c r="AO148">
        <f t="shared" ref="AO148:AO176" si="143">I148*AK148*AL148*AM148*AN148</f>
        <v>1</v>
      </c>
      <c r="AP148">
        <f t="shared" ref="AP148:AP176" si="144">IF(AND(AO148=1,AA148=""),IF(IndG=1,10*L148+M148,10*X148+Y148),"")</f>
        <v>22</v>
      </c>
    </row>
    <row r="149" spans="1:49" ht="40.5" customHeight="1" x14ac:dyDescent="0.25">
      <c r="A149" s="894" t="s">
        <v>6459</v>
      </c>
      <c r="B149" s="854" t="s">
        <v>396</v>
      </c>
      <c r="C149" s="856" t="s">
        <v>539</v>
      </c>
      <c r="D149" s="854" t="str">
        <f t="shared" si="128"/>
        <v>Configuration systèmes et applications</v>
      </c>
      <c r="E149" s="788" t="str">
        <f>Disp</f>
        <v>Disparition</v>
      </c>
      <c r="F149" s="858" t="s">
        <v>3210</v>
      </c>
      <c r="G149" s="858" t="s">
        <v>4795</v>
      </c>
      <c r="H149" s="850" t="s">
        <v>4735</v>
      </c>
      <c r="I149" s="24">
        <v>1</v>
      </c>
      <c r="J149" s="83" t="str">
        <f t="shared" si="129"/>
        <v>V</v>
      </c>
      <c r="K149" s="24" t="str">
        <f t="shared" si="130"/>
        <v>D</v>
      </c>
      <c r="L149" s="83">
        <f t="shared" si="131"/>
        <v>2</v>
      </c>
      <c r="M149" s="83">
        <f t="shared" si="132"/>
        <v>2</v>
      </c>
      <c r="N149" s="1070"/>
      <c r="O149" s="1070"/>
      <c r="P149" s="169">
        <f t="shared" si="133"/>
        <v>2</v>
      </c>
      <c r="Q149" s="871">
        <f>S3A08</f>
        <v>1</v>
      </c>
      <c r="R149" s="221">
        <f>1</f>
        <v>1</v>
      </c>
      <c r="S149" s="221">
        <f>1</f>
        <v>1</v>
      </c>
      <c r="T149" s="221">
        <f>S4A03</f>
        <v>1</v>
      </c>
      <c r="U149" s="687"/>
      <c r="V149" s="1071"/>
      <c r="W149" s="1071"/>
      <c r="X149" s="83">
        <f t="shared" si="134"/>
        <v>2</v>
      </c>
      <c r="Y149" s="83" cm="1">
        <f t="array" ref="Y149">IF(M149="","",IF(J149="A",INDEX(base_p,4,R149+7*(IF(O149="",M149,O149)-1)),IF(J149="E",INDEX(base_p,15,R149+7*(IF(O149="",M149,O149)-1)),INDEX(base_p,27-Q149,R149+7*(IF(O149="",M149,O149)-1)))))</f>
        <v>2</v>
      </c>
      <c r="Z149" s="83">
        <f t="shared" si="135"/>
        <v>2</v>
      </c>
      <c r="AA149" s="1092"/>
      <c r="AB149" s="83">
        <f t="shared" si="109"/>
        <v>2</v>
      </c>
      <c r="AC149" s="196" t="s">
        <v>820</v>
      </c>
      <c r="AD149" s="199"/>
      <c r="AE149" s="380"/>
      <c r="AF149" s="196" t="s">
        <v>622</v>
      </c>
      <c r="AG149" s="1" t="str">
        <f t="shared" si="136"/>
        <v/>
      </c>
      <c r="AH149" s="1"/>
      <c r="AI149" s="1" t="str">
        <f t="shared" si="137"/>
        <v/>
      </c>
      <c r="AJ149" s="1" t="str">
        <f t="shared" si="138"/>
        <v/>
      </c>
      <c r="AK149">
        <f t="shared" si="139"/>
        <v>1</v>
      </c>
      <c r="AL149">
        <f t="shared" si="140"/>
        <v>1</v>
      </c>
      <c r="AM149">
        <f t="shared" si="141"/>
        <v>1</v>
      </c>
      <c r="AN149">
        <f t="shared" si="142"/>
        <v>1</v>
      </c>
      <c r="AO149">
        <f t="shared" si="143"/>
        <v>1</v>
      </c>
      <c r="AP149">
        <f t="shared" si="144"/>
        <v>22</v>
      </c>
    </row>
    <row r="150" spans="1:49" ht="54.75" customHeight="1" x14ac:dyDescent="0.25">
      <c r="A150" s="894" t="s">
        <v>6460</v>
      </c>
      <c r="B150" s="854" t="s">
        <v>396</v>
      </c>
      <c r="C150" s="856" t="s">
        <v>539</v>
      </c>
      <c r="D150" s="854" t="str">
        <f t="shared" si="128"/>
        <v>Configuration systèmes et applications</v>
      </c>
      <c r="E150" s="862" t="str">
        <f>Inop</f>
        <v>Inopérabilité</v>
      </c>
      <c r="F150" s="858" t="s">
        <v>3198</v>
      </c>
      <c r="G150" s="899" t="s">
        <v>6726</v>
      </c>
      <c r="H150" s="851"/>
      <c r="I150" s="24">
        <v>1</v>
      </c>
      <c r="J150" s="83" t="str">
        <f t="shared" si="129"/>
        <v>V</v>
      </c>
      <c r="K150" s="24" t="str">
        <f t="shared" si="130"/>
        <v>D</v>
      </c>
      <c r="L150" s="83">
        <f t="shared" si="131"/>
        <v>2</v>
      </c>
      <c r="M150" s="83">
        <f t="shared" si="132"/>
        <v>3</v>
      </c>
      <c r="N150" s="1070"/>
      <c r="O150" s="1070"/>
      <c r="P150" s="169">
        <f t="shared" si="133"/>
        <v>2</v>
      </c>
      <c r="Q150" s="871">
        <f>1</f>
        <v>1</v>
      </c>
      <c r="R150" s="221">
        <f>S5D04</f>
        <v>1</v>
      </c>
      <c r="S150" s="221">
        <f>1</f>
        <v>1</v>
      </c>
      <c r="T150" s="221">
        <f>1</f>
        <v>1</v>
      </c>
      <c r="U150" s="687"/>
      <c r="V150" s="1071"/>
      <c r="W150" s="1071"/>
      <c r="X150" s="83">
        <f t="shared" si="134"/>
        <v>2</v>
      </c>
      <c r="Y150" s="83" cm="1">
        <f t="array" ref="Y150">IF(M150="","",IF(J150="A",INDEX(base_p,4,R150+7*(IF(O150="",M150,O150)-1)),IF(J150="E",INDEX(base_p,15,R150+7*(IF(O150="",M150,O150)-1)),INDEX(base_p,27-Q150,R150+7*(IF(O150="",M150,O150)-1)))))</f>
        <v>3</v>
      </c>
      <c r="Z150" s="83">
        <f t="shared" si="135"/>
        <v>2</v>
      </c>
      <c r="AA150" s="1092"/>
      <c r="AB150" s="83">
        <f t="shared" si="109"/>
        <v>2</v>
      </c>
      <c r="AC150" s="196"/>
      <c r="AD150" s="196" t="s">
        <v>4476</v>
      </c>
      <c r="AE150" s="196"/>
      <c r="AF150" s="196"/>
      <c r="AG150" s="1" t="str">
        <f t="shared" si="136"/>
        <v/>
      </c>
      <c r="AH150" s="1" t="str">
        <f t="shared" ref="AH150:AH176" si="145">IF($AB150=2,$F150&amp;$AB150,"")</f>
        <v>AH.L.Del2</v>
      </c>
      <c r="AI150" s="1" t="str">
        <f t="shared" si="137"/>
        <v/>
      </c>
      <c r="AJ150" s="1" t="str">
        <f t="shared" si="138"/>
        <v/>
      </c>
      <c r="AK150">
        <f t="shared" si="139"/>
        <v>1</v>
      </c>
      <c r="AL150">
        <f t="shared" si="140"/>
        <v>1</v>
      </c>
      <c r="AM150">
        <f t="shared" si="141"/>
        <v>1</v>
      </c>
      <c r="AN150">
        <f t="shared" si="142"/>
        <v>1</v>
      </c>
      <c r="AO150">
        <f t="shared" si="143"/>
        <v>1</v>
      </c>
      <c r="AP150">
        <f t="shared" si="144"/>
        <v>23</v>
      </c>
    </row>
    <row r="151" spans="1:49" ht="38.25" customHeight="1" x14ac:dyDescent="0.25">
      <c r="A151" s="894" t="s">
        <v>6461</v>
      </c>
      <c r="B151" s="854" t="s">
        <v>396</v>
      </c>
      <c r="C151" s="856" t="s">
        <v>539</v>
      </c>
      <c r="D151" s="854" t="str">
        <f t="shared" si="128"/>
        <v>Configuration systèmes et applications</v>
      </c>
      <c r="E151" s="862" t="str">
        <f>Inop</f>
        <v>Inopérabilité</v>
      </c>
      <c r="F151" s="858" t="s">
        <v>585</v>
      </c>
      <c r="G151" s="858" t="s">
        <v>4474</v>
      </c>
      <c r="H151" s="851"/>
      <c r="I151" s="24">
        <v>1</v>
      </c>
      <c r="J151" s="83" t="str">
        <f t="shared" si="129"/>
        <v>A</v>
      </c>
      <c r="K151" s="24" t="str">
        <f t="shared" si="130"/>
        <v>D</v>
      </c>
      <c r="L151" s="83">
        <f t="shared" si="131"/>
        <v>2</v>
      </c>
      <c r="M151" s="83">
        <f t="shared" si="132"/>
        <v>3</v>
      </c>
      <c r="N151" s="1070"/>
      <c r="O151" s="1070"/>
      <c r="P151" s="169">
        <f t="shared" si="133"/>
        <v>2</v>
      </c>
      <c r="Q151" s="871">
        <f>1</f>
        <v>1</v>
      </c>
      <c r="R151" s="221">
        <f>1</f>
        <v>1</v>
      </c>
      <c r="S151" s="221">
        <f>1</f>
        <v>1</v>
      </c>
      <c r="T151" s="221">
        <f>S1E03</f>
        <v>1</v>
      </c>
      <c r="U151" s="687"/>
      <c r="V151" s="1071"/>
      <c r="W151" s="1071"/>
      <c r="X151" s="83">
        <f t="shared" si="134"/>
        <v>2</v>
      </c>
      <c r="Y151" s="83" cm="1">
        <f t="array" ref="Y151">IF(M151="","",IF(J151="A",INDEX(base_p,4,R151+7*(IF(O151="",M151,O151)-1)),IF(J151="E",INDEX(base_p,15,R151+7*(IF(O151="",M151,O151)-1)),INDEX(base_p,27-Q151,R151+7*(IF(O151="",M151,O151)-1)))))</f>
        <v>3</v>
      </c>
      <c r="Z151" s="83">
        <f t="shared" si="135"/>
        <v>2</v>
      </c>
      <c r="AA151" s="1092"/>
      <c r="AB151" s="83">
        <f t="shared" si="109"/>
        <v>2</v>
      </c>
      <c r="AC151" s="196"/>
      <c r="AD151" s="196"/>
      <c r="AE151" s="196"/>
      <c r="AF151" s="196" t="s">
        <v>701</v>
      </c>
      <c r="AG151" s="1" t="str">
        <f t="shared" si="136"/>
        <v/>
      </c>
      <c r="AH151" s="1" t="str">
        <f t="shared" si="145"/>
        <v>AB.P.Per2</v>
      </c>
      <c r="AI151" s="1" t="str">
        <f t="shared" si="137"/>
        <v/>
      </c>
      <c r="AJ151" s="1" t="str">
        <f t="shared" si="138"/>
        <v/>
      </c>
      <c r="AK151">
        <f t="shared" si="139"/>
        <v>1</v>
      </c>
      <c r="AL151">
        <f t="shared" si="140"/>
        <v>1</v>
      </c>
      <c r="AM151">
        <f t="shared" si="141"/>
        <v>1</v>
      </c>
      <c r="AN151">
        <f t="shared" si="142"/>
        <v>1</v>
      </c>
      <c r="AO151">
        <f t="shared" si="143"/>
        <v>1</v>
      </c>
      <c r="AP151">
        <f t="shared" si="144"/>
        <v>23</v>
      </c>
      <c r="AW151">
        <v>1</v>
      </c>
    </row>
    <row r="152" spans="1:49" ht="40.5" customHeight="1" x14ac:dyDescent="0.25">
      <c r="A152" s="894" t="s">
        <v>6462</v>
      </c>
      <c r="B152" s="854" t="s">
        <v>396</v>
      </c>
      <c r="C152" s="856" t="s">
        <v>539</v>
      </c>
      <c r="D152" s="854" t="str">
        <f t="shared" si="128"/>
        <v>Configuration systèmes et applications</v>
      </c>
      <c r="E152" s="867" t="str">
        <f>Inex</f>
        <v>Inexploitabilité</v>
      </c>
      <c r="F152" s="858" t="s">
        <v>546</v>
      </c>
      <c r="G152" s="858" t="s">
        <v>4486</v>
      </c>
      <c r="H152" s="851"/>
      <c r="I152" s="24">
        <v>1</v>
      </c>
      <c r="J152" s="83" t="str">
        <f t="shared" si="129"/>
        <v>E</v>
      </c>
      <c r="K152" s="24" t="str">
        <f t="shared" si="130"/>
        <v>D</v>
      </c>
      <c r="L152" s="83">
        <f t="shared" si="131"/>
        <v>2</v>
      </c>
      <c r="M152" s="83">
        <f t="shared" si="132"/>
        <v>3</v>
      </c>
      <c r="N152" s="1070"/>
      <c r="O152" s="1070"/>
      <c r="P152" s="169">
        <f t="shared" si="133"/>
        <v>2</v>
      </c>
      <c r="Q152" s="871">
        <f>1</f>
        <v>1</v>
      </c>
      <c r="R152" s="221">
        <f>S7B02</f>
        <v>1</v>
      </c>
      <c r="S152" s="221">
        <f>1</f>
        <v>1</v>
      </c>
      <c r="T152" s="221">
        <f>1</f>
        <v>1</v>
      </c>
      <c r="U152" s="687"/>
      <c r="V152" s="1071"/>
      <c r="W152" s="1071"/>
      <c r="X152" s="83">
        <f t="shared" si="134"/>
        <v>2</v>
      </c>
      <c r="Y152" s="83" cm="1">
        <f t="array" ref="Y152">IF(M152="","",IF(J152="A",INDEX(base_p,4,R152+7*(IF(O152="",M152,O152)-1)),IF(J152="E",INDEX(base_p,15,R152+7*(IF(O152="",M152,O152)-1)),INDEX(base_p,27-Q152,R152+7*(IF(O152="",M152,O152)-1)))))</f>
        <v>3</v>
      </c>
      <c r="Z152" s="83">
        <f t="shared" si="135"/>
        <v>2</v>
      </c>
      <c r="AA152" s="1092"/>
      <c r="AB152" s="83">
        <f t="shared" si="109"/>
        <v>2</v>
      </c>
      <c r="AC152" s="196"/>
      <c r="AD152" s="196" t="s">
        <v>780</v>
      </c>
      <c r="AE152" s="196"/>
      <c r="AF152" s="196"/>
      <c r="AG152" s="1" t="str">
        <f t="shared" si="136"/>
        <v/>
      </c>
      <c r="AH152" s="1" t="str">
        <f t="shared" si="145"/>
        <v>ER.P.Pro2</v>
      </c>
      <c r="AI152" s="1" t="str">
        <f t="shared" si="137"/>
        <v/>
      </c>
      <c r="AJ152" s="1" t="str">
        <f t="shared" si="138"/>
        <v/>
      </c>
      <c r="AK152">
        <f t="shared" si="139"/>
        <v>1</v>
      </c>
      <c r="AL152">
        <f t="shared" si="140"/>
        <v>1</v>
      </c>
      <c r="AM152">
        <f t="shared" si="141"/>
        <v>1</v>
      </c>
      <c r="AN152">
        <f t="shared" si="142"/>
        <v>1</v>
      </c>
      <c r="AO152">
        <f t="shared" si="143"/>
        <v>1</v>
      </c>
      <c r="AP152">
        <f t="shared" si="144"/>
        <v>23</v>
      </c>
    </row>
    <row r="153" spans="1:49" ht="40.5" customHeight="1" x14ac:dyDescent="0.25">
      <c r="A153" s="894" t="s">
        <v>6463</v>
      </c>
      <c r="B153" s="854" t="s">
        <v>396</v>
      </c>
      <c r="C153" s="856" t="s">
        <v>539</v>
      </c>
      <c r="D153" s="854" t="str">
        <f t="shared" si="128"/>
        <v>Configuration systèmes et applications</v>
      </c>
      <c r="E153" s="867" t="str">
        <f>Inex</f>
        <v>Inexploitabilité</v>
      </c>
      <c r="F153" s="858" t="s">
        <v>203</v>
      </c>
      <c r="G153" s="858" t="s">
        <v>4487</v>
      </c>
      <c r="H153" s="849"/>
      <c r="I153" s="24">
        <v>1</v>
      </c>
      <c r="J153" s="83" t="str">
        <f t="shared" si="129"/>
        <v>A</v>
      </c>
      <c r="K153" s="24" t="str">
        <f t="shared" si="130"/>
        <v>D</v>
      </c>
      <c r="L153" s="83">
        <f t="shared" si="131"/>
        <v>2</v>
      </c>
      <c r="M153" s="83">
        <f t="shared" si="132"/>
        <v>2</v>
      </c>
      <c r="N153" s="1070"/>
      <c r="O153" s="1070"/>
      <c r="P153" s="169">
        <f t="shared" si="133"/>
        <v>2</v>
      </c>
      <c r="Q153" s="871">
        <f>1</f>
        <v>1</v>
      </c>
      <c r="R153" s="221">
        <f>1</f>
        <v>1</v>
      </c>
      <c r="S153" s="221">
        <f>1</f>
        <v>1</v>
      </c>
      <c r="T153" s="221">
        <f>S4C01</f>
        <v>1</v>
      </c>
      <c r="U153" s="687"/>
      <c r="V153" s="1071"/>
      <c r="W153" s="1071"/>
      <c r="X153" s="83">
        <f t="shared" si="134"/>
        <v>2</v>
      </c>
      <c r="Y153" s="83" cm="1">
        <f t="array" ref="Y153">IF(M153="","",IF(J153="A",INDEX(base_p,4,R153+7*(IF(O153="",M153,O153)-1)),IF(J153="E",INDEX(base_p,15,R153+7*(IF(O153="",M153,O153)-1)),INDEX(base_p,27-Q153,R153+7*(IF(O153="",M153,O153)-1)))))</f>
        <v>2</v>
      </c>
      <c r="Z153" s="83">
        <f t="shared" si="135"/>
        <v>2</v>
      </c>
      <c r="AA153" s="1092"/>
      <c r="AB153" s="83">
        <f t="shared" si="109"/>
        <v>2</v>
      </c>
      <c r="AC153" s="196"/>
      <c r="AD153" s="196"/>
      <c r="AE153" s="197"/>
      <c r="AF153" s="196" t="s">
        <v>619</v>
      </c>
      <c r="AG153" s="1" t="str">
        <f t="shared" si="136"/>
        <v/>
      </c>
      <c r="AH153" s="1" t="str">
        <f t="shared" si="145"/>
        <v>IF.L.Lsp2</v>
      </c>
      <c r="AI153" s="1" t="str">
        <f t="shared" si="137"/>
        <v/>
      </c>
      <c r="AJ153" s="1" t="str">
        <f t="shared" si="138"/>
        <v/>
      </c>
      <c r="AK153">
        <f t="shared" si="139"/>
        <v>1</v>
      </c>
      <c r="AL153">
        <f t="shared" si="140"/>
        <v>1</v>
      </c>
      <c r="AM153">
        <f t="shared" si="141"/>
        <v>1</v>
      </c>
      <c r="AN153">
        <f t="shared" si="142"/>
        <v>1</v>
      </c>
      <c r="AO153">
        <f t="shared" si="143"/>
        <v>1</v>
      </c>
      <c r="AP153">
        <f t="shared" si="144"/>
        <v>22</v>
      </c>
    </row>
    <row r="154" spans="1:49" ht="40.5" customHeight="1" x14ac:dyDescent="0.25">
      <c r="A154" s="894" t="s">
        <v>6464</v>
      </c>
      <c r="B154" s="854" t="s">
        <v>396</v>
      </c>
      <c r="C154" s="856" t="s">
        <v>539</v>
      </c>
      <c r="D154" s="854" t="str">
        <f t="shared" si="128"/>
        <v>Configuration systèmes et applications</v>
      </c>
      <c r="E154" s="867" t="str">
        <f>Inex</f>
        <v>Inexploitabilité</v>
      </c>
      <c r="F154" s="858" t="s">
        <v>3207</v>
      </c>
      <c r="G154" s="858" t="s">
        <v>4796</v>
      </c>
      <c r="H154" s="851"/>
      <c r="I154" s="24">
        <v>1</v>
      </c>
      <c r="J154" s="83" t="str">
        <f t="shared" si="129"/>
        <v>V</v>
      </c>
      <c r="K154" s="24" t="str">
        <f t="shared" si="130"/>
        <v>D</v>
      </c>
      <c r="L154" s="83">
        <f t="shared" si="131"/>
        <v>2</v>
      </c>
      <c r="M154" s="83">
        <f t="shared" si="132"/>
        <v>2</v>
      </c>
      <c r="N154" s="1070"/>
      <c r="O154" s="1070"/>
      <c r="P154" s="169">
        <f t="shared" si="133"/>
        <v>2</v>
      </c>
      <c r="Q154" s="871">
        <f>1</f>
        <v>1</v>
      </c>
      <c r="R154" s="221">
        <f>1</f>
        <v>1</v>
      </c>
      <c r="S154" s="221">
        <f>S4A10</f>
        <v>1</v>
      </c>
      <c r="T154" s="221">
        <f>S4C05</f>
        <v>1</v>
      </c>
      <c r="U154" s="687"/>
      <c r="V154" s="1071"/>
      <c r="W154" s="1071"/>
      <c r="X154" s="83">
        <f t="shared" si="134"/>
        <v>2</v>
      </c>
      <c r="Y154" s="83" cm="1">
        <f t="array" ref="Y154">IF(M154="","",IF(J154="A",INDEX(base_p,4,R154+7*(IF(O154="",M154,O154)-1)),IF(J154="E",INDEX(base_p,15,R154+7*(IF(O154="",M154,O154)-1)),INDEX(base_p,27-Q154,R154+7*(IF(O154="",M154,O154)-1)))))</f>
        <v>2</v>
      </c>
      <c r="Z154" s="83">
        <f t="shared" si="135"/>
        <v>2</v>
      </c>
      <c r="AA154" s="1092"/>
      <c r="AB154" s="83">
        <f t="shared" si="109"/>
        <v>2</v>
      </c>
      <c r="AC154" s="196"/>
      <c r="AD154" s="196"/>
      <c r="AE154" s="196" t="s">
        <v>624</v>
      </c>
      <c r="AF154" s="196" t="s">
        <v>621</v>
      </c>
      <c r="AG154" s="1" t="str">
        <f t="shared" si="136"/>
        <v/>
      </c>
      <c r="AH154" s="1" t="str">
        <f t="shared" si="145"/>
        <v>AH.L.Blo2</v>
      </c>
      <c r="AI154" s="1" t="str">
        <f t="shared" si="137"/>
        <v/>
      </c>
      <c r="AJ154" s="1" t="str">
        <f t="shared" si="138"/>
        <v/>
      </c>
      <c r="AK154">
        <f t="shared" si="139"/>
        <v>1</v>
      </c>
      <c r="AL154">
        <f t="shared" si="140"/>
        <v>1</v>
      </c>
      <c r="AM154">
        <f t="shared" si="141"/>
        <v>1</v>
      </c>
      <c r="AN154">
        <f t="shared" si="142"/>
        <v>1</v>
      </c>
      <c r="AO154">
        <f t="shared" si="143"/>
        <v>1</v>
      </c>
      <c r="AP154">
        <f t="shared" si="144"/>
        <v>22</v>
      </c>
    </row>
    <row r="155" spans="1:49" ht="37.5" customHeight="1" x14ac:dyDescent="0.25">
      <c r="A155" s="894" t="s">
        <v>6465</v>
      </c>
      <c r="B155" s="854" t="s">
        <v>396</v>
      </c>
      <c r="C155" s="856" t="s">
        <v>539</v>
      </c>
      <c r="D155" s="854" t="str">
        <f t="shared" si="128"/>
        <v>Configuration systèmes et applications</v>
      </c>
      <c r="E155" s="788" t="str">
        <f>Endl</f>
        <v>Endommagement logique</v>
      </c>
      <c r="F155" s="858" t="s">
        <v>3211</v>
      </c>
      <c r="G155" s="858" t="s">
        <v>4491</v>
      </c>
      <c r="H155" s="855"/>
      <c r="I155" s="24">
        <v>1</v>
      </c>
      <c r="J155" s="83" t="str">
        <f t="shared" si="129"/>
        <v>V</v>
      </c>
      <c r="K155" s="24" t="str">
        <f t="shared" si="130"/>
        <v>D</v>
      </c>
      <c r="L155" s="83">
        <f t="shared" si="131"/>
        <v>2</v>
      </c>
      <c r="M155" s="83">
        <f t="shared" si="132"/>
        <v>3</v>
      </c>
      <c r="N155" s="1070"/>
      <c r="O155" s="1070"/>
      <c r="P155" s="169">
        <f t="shared" si="133"/>
        <v>2</v>
      </c>
      <c r="Q155" s="871">
        <f>1</f>
        <v>1</v>
      </c>
      <c r="R155" s="221">
        <f>1</f>
        <v>1</v>
      </c>
      <c r="S155" s="221">
        <f>S5A03</f>
        <v>1</v>
      </c>
      <c r="T155" s="221">
        <f>S4A03</f>
        <v>1</v>
      </c>
      <c r="U155" s="687"/>
      <c r="V155" s="1071"/>
      <c r="W155" s="1071"/>
      <c r="X155" s="83">
        <f t="shared" si="134"/>
        <v>2</v>
      </c>
      <c r="Y155" s="83" cm="1">
        <f t="array" ref="Y155">IF(M155="","",IF(J155="A",INDEX(base_p,4,R155+7*(IF(O155="",M155,O155)-1)),IF(J155="E",INDEX(base_p,15,R155+7*(IF(O155="",M155,O155)-1)),INDEX(base_p,27-Q155,R155+7*(IF(O155="",M155,O155)-1)))))</f>
        <v>3</v>
      </c>
      <c r="Z155" s="83">
        <f t="shared" si="135"/>
        <v>2</v>
      </c>
      <c r="AA155" s="1092"/>
      <c r="AB155" s="83">
        <f t="shared" si="109"/>
        <v>2</v>
      </c>
      <c r="AC155" s="196"/>
      <c r="AD155" s="196"/>
      <c r="AE155" s="196" t="s">
        <v>638</v>
      </c>
      <c r="AF155" s="196" t="s">
        <v>622</v>
      </c>
      <c r="AG155" s="1" t="str">
        <f t="shared" si="136"/>
        <v/>
      </c>
      <c r="AH155" s="1" t="str">
        <f t="shared" si="145"/>
        <v>AH.L.Fal2</v>
      </c>
      <c r="AI155" s="1" t="str">
        <f t="shared" si="137"/>
        <v/>
      </c>
      <c r="AJ155" s="1" t="str">
        <f t="shared" si="138"/>
        <v/>
      </c>
      <c r="AK155">
        <f t="shared" si="139"/>
        <v>1</v>
      </c>
      <c r="AL155">
        <f t="shared" si="140"/>
        <v>1</v>
      </c>
      <c r="AM155">
        <f t="shared" si="141"/>
        <v>1</v>
      </c>
      <c r="AN155">
        <f t="shared" si="142"/>
        <v>1</v>
      </c>
      <c r="AO155">
        <f t="shared" si="143"/>
        <v>1</v>
      </c>
      <c r="AP155">
        <f t="shared" si="144"/>
        <v>23</v>
      </c>
    </row>
    <row r="156" spans="1:49" ht="37.5" customHeight="1" x14ac:dyDescent="0.25">
      <c r="A156" s="894" t="s">
        <v>6466</v>
      </c>
      <c r="B156" s="854" t="s">
        <v>396</v>
      </c>
      <c r="C156" s="856" t="s">
        <v>539</v>
      </c>
      <c r="D156" s="854" t="str">
        <f t="shared" si="128"/>
        <v>Configuration systèmes et applications</v>
      </c>
      <c r="E156" s="788" t="str">
        <f>Endl</f>
        <v>Endommagement logique</v>
      </c>
      <c r="F156" s="858" t="s">
        <v>454</v>
      </c>
      <c r="G156" s="858" t="s">
        <v>4797</v>
      </c>
      <c r="H156" s="855"/>
      <c r="I156" s="24">
        <v>1</v>
      </c>
      <c r="J156" s="83" t="str">
        <f t="shared" si="129"/>
        <v>A</v>
      </c>
      <c r="K156" s="24" t="str">
        <f t="shared" si="130"/>
        <v>D</v>
      </c>
      <c r="L156" s="83">
        <f t="shared" si="131"/>
        <v>2</v>
      </c>
      <c r="M156" s="83">
        <f t="shared" si="132"/>
        <v>3</v>
      </c>
      <c r="N156" s="1070"/>
      <c r="O156" s="1070"/>
      <c r="P156" s="169">
        <f t="shared" si="133"/>
        <v>2</v>
      </c>
      <c r="Q156" s="871">
        <f>1</f>
        <v>1</v>
      </c>
      <c r="R156" s="221">
        <f>1</f>
        <v>1</v>
      </c>
      <c r="S156" s="221">
        <f>1</f>
        <v>1</v>
      </c>
      <c r="T156" s="221">
        <f>S4C01</f>
        <v>1</v>
      </c>
      <c r="U156" s="687"/>
      <c r="V156" s="1071"/>
      <c r="W156" s="1071"/>
      <c r="X156" s="83">
        <f t="shared" si="134"/>
        <v>2</v>
      </c>
      <c r="Y156" s="83" cm="1">
        <f t="array" ref="Y156">IF(M156="","",IF(J156="A",INDEX(base_p,4,R156+7*(IF(O156="",M156,O156)-1)),IF(J156="E",INDEX(base_p,15,R156+7*(IF(O156="",M156,O156)-1)),INDEX(base_p,27-Q156,R156+7*(IF(O156="",M156,O156)-1)))))</f>
        <v>3</v>
      </c>
      <c r="Z156" s="83">
        <f t="shared" si="135"/>
        <v>2</v>
      </c>
      <c r="AA156" s="1092"/>
      <c r="AB156" s="83">
        <f>IF(OR(AA156="A",AA156="a",AA156="E",AA156="e",AA156="T",AA156="t",Z156=""),"",Z156)</f>
        <v>2</v>
      </c>
      <c r="AC156" s="196"/>
      <c r="AD156" s="196"/>
      <c r="AE156" s="196"/>
      <c r="AF156" s="196" t="s">
        <v>619</v>
      </c>
      <c r="AG156" s="1" t="str">
        <f t="shared" si="136"/>
        <v/>
      </c>
      <c r="AH156" s="1" t="str">
        <f t="shared" si="145"/>
        <v>AC.M.Equ2</v>
      </c>
      <c r="AI156" s="1" t="str">
        <f t="shared" si="137"/>
        <v/>
      </c>
      <c r="AJ156" s="1" t="str">
        <f t="shared" si="138"/>
        <v/>
      </c>
      <c r="AK156">
        <f t="shared" si="139"/>
        <v>1</v>
      </c>
      <c r="AL156">
        <f t="shared" si="140"/>
        <v>1</v>
      </c>
      <c r="AM156">
        <f t="shared" si="141"/>
        <v>1</v>
      </c>
      <c r="AN156">
        <f t="shared" si="142"/>
        <v>1</v>
      </c>
      <c r="AO156">
        <f t="shared" si="143"/>
        <v>1</v>
      </c>
      <c r="AP156">
        <f t="shared" si="144"/>
        <v>23</v>
      </c>
    </row>
    <row r="157" spans="1:49" ht="29.25" customHeight="1" x14ac:dyDescent="0.25">
      <c r="A157" s="894" t="s">
        <v>6467</v>
      </c>
      <c r="B157" s="854" t="s">
        <v>396</v>
      </c>
      <c r="C157" s="856" t="s">
        <v>539</v>
      </c>
      <c r="D157" s="854" t="str">
        <f t="shared" ref="D157:D164" si="146">Msl</f>
        <v>Media support de logiciel</v>
      </c>
      <c r="E157" s="788" t="str">
        <f>Inac</f>
        <v>Inaccessibilité</v>
      </c>
      <c r="F157" s="858" t="s">
        <v>3198</v>
      </c>
      <c r="G157" s="858" t="s">
        <v>4775</v>
      </c>
      <c r="H157" s="850"/>
      <c r="I157" s="24">
        <v>1</v>
      </c>
      <c r="J157" s="83" t="str">
        <f t="shared" si="129"/>
        <v>V</v>
      </c>
      <c r="K157" s="24" t="str">
        <f t="shared" si="130"/>
        <v>D</v>
      </c>
      <c r="L157" s="83">
        <f t="shared" si="131"/>
        <v>2</v>
      </c>
      <c r="M157" s="83">
        <f t="shared" si="132"/>
        <v>3</v>
      </c>
      <c r="N157" s="1070"/>
      <c r="O157" s="1070"/>
      <c r="P157" s="169">
        <f t="shared" si="133"/>
        <v>2</v>
      </c>
      <c r="Q157" s="871">
        <f>1</f>
        <v>1</v>
      </c>
      <c r="R157" s="221">
        <f>S4E01</f>
        <v>1</v>
      </c>
      <c r="S157" s="221">
        <f>1</f>
        <v>1</v>
      </c>
      <c r="T157" s="221">
        <f t="shared" ref="T157:T162" si="147">S4A14</f>
        <v>1</v>
      </c>
      <c r="U157" s="687"/>
      <c r="V157" s="1071"/>
      <c r="W157" s="1071"/>
      <c r="X157" s="83">
        <f t="shared" si="134"/>
        <v>2</v>
      </c>
      <c r="Y157" s="83" cm="1">
        <f t="array" ref="Y157">IF(M157="","",IF(J157="A",INDEX(base_p,4,R157+7*(IF(O157="",M157,O157)-1)),IF(J157="E",INDEX(base_p,15,R157+7*(IF(O157="",M157,O157)-1)),INDEX(base_p,27-Q157,R157+7*(IF(O157="",M157,O157)-1)))))</f>
        <v>3</v>
      </c>
      <c r="Z157" s="83">
        <f t="shared" si="135"/>
        <v>2</v>
      </c>
      <c r="AA157" s="1092"/>
      <c r="AB157" s="83">
        <f t="shared" si="109"/>
        <v>2</v>
      </c>
      <c r="AC157" s="196"/>
      <c r="AD157" s="196" t="s">
        <v>651</v>
      </c>
      <c r="AE157" s="196"/>
      <c r="AF157" s="196" t="s">
        <v>1060</v>
      </c>
      <c r="AG157" s="1" t="str">
        <f t="shared" si="136"/>
        <v/>
      </c>
      <c r="AH157" s="1" t="str">
        <f t="shared" si="145"/>
        <v>AH.L.Del2</v>
      </c>
      <c r="AI157" s="1" t="str">
        <f t="shared" si="137"/>
        <v/>
      </c>
      <c r="AJ157" s="1" t="str">
        <f t="shared" si="138"/>
        <v/>
      </c>
      <c r="AK157">
        <f t="shared" si="139"/>
        <v>1</v>
      </c>
      <c r="AL157">
        <f t="shared" si="140"/>
        <v>1</v>
      </c>
      <c r="AM157">
        <f t="shared" si="141"/>
        <v>1</v>
      </c>
      <c r="AN157">
        <f t="shared" si="142"/>
        <v>1</v>
      </c>
      <c r="AO157">
        <f t="shared" si="143"/>
        <v>1</v>
      </c>
      <c r="AP157">
        <f t="shared" si="144"/>
        <v>23</v>
      </c>
    </row>
    <row r="158" spans="1:49" ht="27.75" customHeight="1" x14ac:dyDescent="0.25">
      <c r="A158" s="894" t="s">
        <v>6468</v>
      </c>
      <c r="B158" s="854" t="s">
        <v>396</v>
      </c>
      <c r="C158" s="856" t="s">
        <v>539</v>
      </c>
      <c r="D158" s="854" t="str">
        <f t="shared" si="146"/>
        <v>Media support de logiciel</v>
      </c>
      <c r="E158" s="867" t="str">
        <f>Disp</f>
        <v>Disparition</v>
      </c>
      <c r="F158" s="905" t="s">
        <v>455</v>
      </c>
      <c r="G158" s="858" t="s">
        <v>477</v>
      </c>
      <c r="H158" s="850"/>
      <c r="I158" s="24">
        <v>1</v>
      </c>
      <c r="J158" s="83" t="str">
        <f t="shared" si="129"/>
        <v>E</v>
      </c>
      <c r="K158" s="24" t="str">
        <f t="shared" si="130"/>
        <v>D</v>
      </c>
      <c r="L158" s="83">
        <f t="shared" si="131"/>
        <v>2</v>
      </c>
      <c r="M158" s="83">
        <f t="shared" si="132"/>
        <v>3</v>
      </c>
      <c r="N158" s="1070"/>
      <c r="O158" s="1070"/>
      <c r="P158" s="169">
        <f t="shared" si="133"/>
        <v>2</v>
      </c>
      <c r="Q158" s="871">
        <f>1</f>
        <v>1</v>
      </c>
      <c r="R158" s="221">
        <f>1</f>
        <v>1</v>
      </c>
      <c r="S158" s="221">
        <f>1</f>
        <v>1</v>
      </c>
      <c r="T158" s="221">
        <f t="shared" si="147"/>
        <v>1</v>
      </c>
      <c r="U158" s="687"/>
      <c r="V158" s="1071"/>
      <c r="W158" s="1071"/>
      <c r="X158" s="83">
        <f t="shared" si="134"/>
        <v>2</v>
      </c>
      <c r="Y158" s="83" cm="1">
        <f t="array" ref="Y158">IF(M158="","",IF(J158="A",INDEX(base_p,4,R158+7*(IF(O158="",M158,O158)-1)),IF(J158="E",INDEX(base_p,15,R158+7*(IF(O158="",M158,O158)-1)),INDEX(base_p,27-Q158,R158+7*(IF(O158="",M158,O158)-1)))))</f>
        <v>3</v>
      </c>
      <c r="Z158" s="83">
        <f t="shared" si="135"/>
        <v>2</v>
      </c>
      <c r="AA158" s="1092"/>
      <c r="AB158" s="83">
        <f>IF(OR(AA158="A",AA158="a",AA158="E",AA158="e",AA158="T",AA158="t",Z158=""),"",Z158)</f>
        <v>2</v>
      </c>
      <c r="AC158" s="199"/>
      <c r="AD158" s="196"/>
      <c r="AE158" s="196"/>
      <c r="AF158" s="196" t="s">
        <v>1060</v>
      </c>
      <c r="AG158" s="1" t="str">
        <f t="shared" si="136"/>
        <v/>
      </c>
      <c r="AH158" s="1" t="str">
        <f t="shared" si="145"/>
        <v>ER.P.Peo2</v>
      </c>
      <c r="AI158" s="1" t="str">
        <f t="shared" si="137"/>
        <v/>
      </c>
      <c r="AJ158" s="1" t="str">
        <f t="shared" si="138"/>
        <v/>
      </c>
      <c r="AK158">
        <f t="shared" si="139"/>
        <v>1</v>
      </c>
      <c r="AL158">
        <f t="shared" si="140"/>
        <v>1</v>
      </c>
      <c r="AM158">
        <f t="shared" si="141"/>
        <v>1</v>
      </c>
      <c r="AN158">
        <f t="shared" si="142"/>
        <v>1</v>
      </c>
      <c r="AO158">
        <f t="shared" si="143"/>
        <v>1</v>
      </c>
      <c r="AP158">
        <f t="shared" si="144"/>
        <v>23</v>
      </c>
    </row>
    <row r="159" spans="1:49" ht="27.75" customHeight="1" x14ac:dyDescent="0.25">
      <c r="A159" s="894" t="s">
        <v>6470</v>
      </c>
      <c r="B159" s="854" t="s">
        <v>396</v>
      </c>
      <c r="C159" s="856" t="s">
        <v>539</v>
      </c>
      <c r="D159" s="854" t="str">
        <f t="shared" si="146"/>
        <v>Media support de logiciel</v>
      </c>
      <c r="E159" s="867" t="str">
        <f>Disp</f>
        <v>Disparition</v>
      </c>
      <c r="F159" s="858" t="s">
        <v>3224</v>
      </c>
      <c r="G159" s="876" t="s">
        <v>6540</v>
      </c>
      <c r="H159" s="848" t="s">
        <v>4726</v>
      </c>
      <c r="I159" s="24">
        <v>1</v>
      </c>
      <c r="J159" s="83" t="str">
        <f t="shared" si="129"/>
        <v>V</v>
      </c>
      <c r="K159" s="24" t="str">
        <f t="shared" si="130"/>
        <v>D</v>
      </c>
      <c r="L159" s="83">
        <f t="shared" si="131"/>
        <v>2</v>
      </c>
      <c r="M159" s="83">
        <f t="shared" si="132"/>
        <v>3</v>
      </c>
      <c r="N159" s="1070"/>
      <c r="O159" s="1070"/>
      <c r="P159" s="169">
        <f t="shared" si="133"/>
        <v>2</v>
      </c>
      <c r="Q159" s="871">
        <f>S2B03</f>
        <v>1</v>
      </c>
      <c r="R159" s="221">
        <f>MIN(S2B01,S2B02)</f>
        <v>1</v>
      </c>
      <c r="S159" s="221">
        <f>1</f>
        <v>1</v>
      </c>
      <c r="T159" s="221">
        <f t="shared" si="147"/>
        <v>1</v>
      </c>
      <c r="U159" s="687"/>
      <c r="V159" s="1071"/>
      <c r="W159" s="1071"/>
      <c r="X159" s="83">
        <f t="shared" si="134"/>
        <v>2</v>
      </c>
      <c r="Y159" s="83" cm="1">
        <f t="array" ref="Y159">IF(M159="","",IF(J159="A",INDEX(base_p,4,R159+7*(IF(O159="",M159,O159)-1)),IF(J159="E",INDEX(base_p,15,R159+7*(IF(O159="",M159,O159)-1)),INDEX(base_p,27-Q159,R159+7*(IF(O159="",M159,O159)-1)))))</f>
        <v>3</v>
      </c>
      <c r="Z159" s="83">
        <f t="shared" si="135"/>
        <v>2</v>
      </c>
      <c r="AA159" s="1092"/>
      <c r="AB159" s="83">
        <f t="shared" si="109"/>
        <v>2</v>
      </c>
      <c r="AC159" s="199" t="s">
        <v>618</v>
      </c>
      <c r="AD159" s="196" t="s">
        <v>2049</v>
      </c>
      <c r="AE159" s="196"/>
      <c r="AF159" s="196" t="s">
        <v>1060</v>
      </c>
      <c r="AG159" s="1" t="str">
        <f t="shared" si="136"/>
        <v/>
      </c>
      <c r="AH159" s="1" t="str">
        <f t="shared" si="145"/>
        <v>AH.P.Vol2</v>
      </c>
      <c r="AI159" s="1" t="str">
        <f t="shared" si="137"/>
        <v/>
      </c>
      <c r="AJ159" s="1" t="str">
        <f t="shared" si="138"/>
        <v/>
      </c>
      <c r="AK159">
        <f t="shared" si="139"/>
        <v>1</v>
      </c>
      <c r="AL159">
        <f t="shared" si="140"/>
        <v>1</v>
      </c>
      <c r="AM159">
        <f t="shared" si="141"/>
        <v>1</v>
      </c>
      <c r="AN159">
        <f t="shared" si="142"/>
        <v>1</v>
      </c>
      <c r="AO159">
        <f t="shared" si="143"/>
        <v>1</v>
      </c>
      <c r="AP159">
        <f t="shared" si="144"/>
        <v>23</v>
      </c>
    </row>
    <row r="160" spans="1:49" ht="27.75" customHeight="1" x14ac:dyDescent="0.25">
      <c r="A160" s="894" t="s">
        <v>6471</v>
      </c>
      <c r="B160" s="854" t="s">
        <v>396</v>
      </c>
      <c r="C160" s="856" t="s">
        <v>539</v>
      </c>
      <c r="D160" s="854" t="str">
        <f t="shared" si="146"/>
        <v>Media support de logiciel</v>
      </c>
      <c r="E160" s="867" t="str">
        <f>Disp</f>
        <v>Disparition</v>
      </c>
      <c r="F160" s="858" t="s">
        <v>3224</v>
      </c>
      <c r="G160" s="876" t="s">
        <v>6540</v>
      </c>
      <c r="H160" s="876" t="s">
        <v>6469</v>
      </c>
      <c r="I160" s="24">
        <v>1</v>
      </c>
      <c r="J160" s="83" t="str">
        <f t="shared" si="129"/>
        <v>V</v>
      </c>
      <c r="K160" s="24" t="str">
        <f t="shared" si="130"/>
        <v>D</v>
      </c>
      <c r="L160" s="83">
        <f t="shared" si="131"/>
        <v>2</v>
      </c>
      <c r="M160" s="83">
        <f t="shared" si="132"/>
        <v>3</v>
      </c>
      <c r="N160" s="1070"/>
      <c r="O160" s="1070"/>
      <c r="P160" s="169">
        <f t="shared" si="133"/>
        <v>2</v>
      </c>
      <c r="Q160" s="871">
        <f>S2B03</f>
        <v>1</v>
      </c>
      <c r="R160" s="221">
        <f>1</f>
        <v>1</v>
      </c>
      <c r="S160" s="221">
        <f>1</f>
        <v>1</v>
      </c>
      <c r="T160" s="221">
        <f t="shared" si="147"/>
        <v>1</v>
      </c>
      <c r="U160" s="687"/>
      <c r="V160" s="1071"/>
      <c r="W160" s="1071"/>
      <c r="X160" s="83">
        <f t="shared" si="134"/>
        <v>2</v>
      </c>
      <c r="Y160" s="83" cm="1">
        <f t="array" ref="Y160">IF(M160="","",IF(J160="A",INDEX(base_p,4,R160+7*(IF(O160="",M160,O160)-1)),IF(J160="E",INDEX(base_p,15,R160+7*(IF(O160="",M160,O160)-1)),INDEX(base_p,27-Q160,R160+7*(IF(O160="",M160,O160)-1)))))</f>
        <v>3</v>
      </c>
      <c r="Z160" s="83">
        <f t="shared" si="135"/>
        <v>2</v>
      </c>
      <c r="AA160" s="1092"/>
      <c r="AB160" s="83">
        <f t="shared" si="109"/>
        <v>2</v>
      </c>
      <c r="AC160" s="199" t="s">
        <v>618</v>
      </c>
      <c r="AD160" s="196"/>
      <c r="AE160" s="196"/>
      <c r="AF160" s="196" t="s">
        <v>1060</v>
      </c>
      <c r="AG160" s="1" t="str">
        <f t="shared" si="136"/>
        <v/>
      </c>
      <c r="AH160" s="1" t="str">
        <f t="shared" si="145"/>
        <v>AH.P.Vol2</v>
      </c>
      <c r="AI160" s="1" t="str">
        <f t="shared" si="137"/>
        <v/>
      </c>
      <c r="AJ160" s="1" t="str">
        <f t="shared" si="138"/>
        <v/>
      </c>
      <c r="AK160">
        <f t="shared" si="139"/>
        <v>1</v>
      </c>
      <c r="AL160">
        <f t="shared" si="140"/>
        <v>1</v>
      </c>
      <c r="AM160">
        <f t="shared" si="141"/>
        <v>1</v>
      </c>
      <c r="AN160">
        <f t="shared" si="142"/>
        <v>1</v>
      </c>
      <c r="AO160">
        <f t="shared" si="143"/>
        <v>1</v>
      </c>
      <c r="AP160">
        <f t="shared" si="144"/>
        <v>23</v>
      </c>
    </row>
    <row r="161" spans="1:42" ht="40.5" customHeight="1" x14ac:dyDescent="0.25">
      <c r="A161" s="894" t="s">
        <v>6472</v>
      </c>
      <c r="B161" s="854" t="s">
        <v>396</v>
      </c>
      <c r="C161" s="856" t="s">
        <v>539</v>
      </c>
      <c r="D161" s="854" t="str">
        <f t="shared" si="146"/>
        <v>Media support de logiciel</v>
      </c>
      <c r="E161" s="862" t="str">
        <f>Endp</f>
        <v>Endommagement physique</v>
      </c>
      <c r="F161" s="858" t="s">
        <v>3203</v>
      </c>
      <c r="G161" s="858" t="s">
        <v>3202</v>
      </c>
      <c r="H161" s="859"/>
      <c r="I161" s="24">
        <v>1</v>
      </c>
      <c r="J161" s="83" t="str">
        <f t="shared" si="129"/>
        <v>A</v>
      </c>
      <c r="K161" s="24" t="str">
        <f t="shared" si="130"/>
        <v>D</v>
      </c>
      <c r="L161" s="83">
        <f t="shared" si="131"/>
        <v>2</v>
      </c>
      <c r="M161" s="83">
        <f t="shared" si="132"/>
        <v>2</v>
      </c>
      <c r="N161" s="1070"/>
      <c r="O161" s="1070"/>
      <c r="P161" s="169">
        <f t="shared" si="133"/>
        <v>2</v>
      </c>
      <c r="Q161" s="871">
        <f>1</f>
        <v>1</v>
      </c>
      <c r="R161" s="221">
        <f>S4E02</f>
        <v>1</v>
      </c>
      <c r="S161" s="221">
        <f>1</f>
        <v>1</v>
      </c>
      <c r="T161" s="221">
        <f t="shared" si="147"/>
        <v>1</v>
      </c>
      <c r="U161" s="687"/>
      <c r="V161" s="1071"/>
      <c r="W161" s="1071"/>
      <c r="X161" s="83">
        <f t="shared" si="134"/>
        <v>2</v>
      </c>
      <c r="Y161" s="83" cm="1">
        <f t="array" ref="Y161">IF(M161="","",IF(J161="A",INDEX(base_p,4,R161+7*(IF(O161="",M161,O161)-1)),IF(J161="E",INDEX(base_p,15,R161+7*(IF(O161="",M161,O161)-1)),INDEX(base_p,27-Q161,R161+7*(IF(O161="",M161,O161)-1)))))</f>
        <v>2</v>
      </c>
      <c r="Z161" s="83">
        <f t="shared" si="135"/>
        <v>2</v>
      </c>
      <c r="AA161" s="1092"/>
      <c r="AB161" s="83">
        <f t="shared" si="109"/>
        <v>2</v>
      </c>
      <c r="AC161" s="196"/>
      <c r="AD161" s="196" t="s">
        <v>751</v>
      </c>
      <c r="AE161" s="196"/>
      <c r="AF161" s="196" t="s">
        <v>1060</v>
      </c>
      <c r="AG161" s="1" t="str">
        <f t="shared" si="136"/>
        <v/>
      </c>
      <c r="AH161" s="1" t="str">
        <f t="shared" si="145"/>
        <v>IC.E.Div2</v>
      </c>
      <c r="AI161" s="1" t="str">
        <f t="shared" si="137"/>
        <v/>
      </c>
      <c r="AJ161" s="1" t="str">
        <f t="shared" si="138"/>
        <v/>
      </c>
      <c r="AK161">
        <f t="shared" si="139"/>
        <v>1</v>
      </c>
      <c r="AL161">
        <f t="shared" si="140"/>
        <v>1</v>
      </c>
      <c r="AM161">
        <f t="shared" si="141"/>
        <v>1</v>
      </c>
      <c r="AN161">
        <f t="shared" si="142"/>
        <v>1</v>
      </c>
      <c r="AO161">
        <f t="shared" si="143"/>
        <v>1</v>
      </c>
      <c r="AP161">
        <f t="shared" si="144"/>
        <v>22</v>
      </c>
    </row>
    <row r="162" spans="1:42" ht="40.5" customHeight="1" x14ac:dyDescent="0.25">
      <c r="A162" s="894" t="s">
        <v>6473</v>
      </c>
      <c r="B162" s="854" t="s">
        <v>396</v>
      </c>
      <c r="C162" s="856" t="s">
        <v>539</v>
      </c>
      <c r="D162" s="854" t="str">
        <f t="shared" si="146"/>
        <v>Media support de logiciel</v>
      </c>
      <c r="E162" s="862" t="str">
        <f>Endp</f>
        <v>Endommagement physique</v>
      </c>
      <c r="F162" s="858" t="s">
        <v>3229</v>
      </c>
      <c r="G162" s="858" t="s">
        <v>3231</v>
      </c>
      <c r="H162" s="859"/>
      <c r="I162" s="24">
        <v>1</v>
      </c>
      <c r="J162" s="83" t="str">
        <f t="shared" si="129"/>
        <v>A</v>
      </c>
      <c r="K162" s="24" t="str">
        <f t="shared" si="130"/>
        <v>D</v>
      </c>
      <c r="L162" s="83">
        <f t="shared" si="131"/>
        <v>2</v>
      </c>
      <c r="M162" s="83">
        <f t="shared" si="132"/>
        <v>2</v>
      </c>
      <c r="N162" s="1070"/>
      <c r="O162" s="1070"/>
      <c r="P162" s="169">
        <f t="shared" si="133"/>
        <v>2</v>
      </c>
      <c r="Q162" s="871">
        <f>1</f>
        <v>1</v>
      </c>
      <c r="R162" s="221">
        <f>S4E02</f>
        <v>1</v>
      </c>
      <c r="S162" s="221">
        <f>S2A03</f>
        <v>1</v>
      </c>
      <c r="T162" s="221">
        <f t="shared" si="147"/>
        <v>1</v>
      </c>
      <c r="U162" s="687"/>
      <c r="V162" s="1071"/>
      <c r="W162" s="1071"/>
      <c r="X162" s="83">
        <f t="shared" si="134"/>
        <v>2</v>
      </c>
      <c r="Y162" s="83" cm="1">
        <f t="array" ref="Y162">IF(M162="","",IF(J162="A",INDEX(base_p,4,R162+7*(IF(O162="",M162,O162)-1)),IF(J162="E",INDEX(base_p,15,R162+7*(IF(O162="",M162,O162)-1)),INDEX(base_p,27-Q162,R162+7*(IF(O162="",M162,O162)-1)))))</f>
        <v>2</v>
      </c>
      <c r="Z162" s="83">
        <f t="shared" si="135"/>
        <v>2</v>
      </c>
      <c r="AA162" s="1092"/>
      <c r="AB162" s="83">
        <f t="shared" si="109"/>
        <v>2</v>
      </c>
      <c r="AC162" s="196"/>
      <c r="AD162" s="196" t="s">
        <v>751</v>
      </c>
      <c r="AE162" s="196" t="s">
        <v>632</v>
      </c>
      <c r="AF162" s="196" t="s">
        <v>1060</v>
      </c>
      <c r="AG162" s="1" t="str">
        <f t="shared" si="136"/>
        <v/>
      </c>
      <c r="AH162" s="1" t="str">
        <f t="shared" si="145"/>
        <v>AC.E.Evt2</v>
      </c>
      <c r="AI162" s="1" t="str">
        <f t="shared" si="137"/>
        <v/>
      </c>
      <c r="AJ162" s="1" t="str">
        <f t="shared" si="138"/>
        <v/>
      </c>
      <c r="AK162">
        <f t="shared" si="139"/>
        <v>1</v>
      </c>
      <c r="AL162">
        <f t="shared" si="140"/>
        <v>1</v>
      </c>
      <c r="AM162">
        <f t="shared" si="141"/>
        <v>1</v>
      </c>
      <c r="AN162">
        <f t="shared" si="142"/>
        <v>1</v>
      </c>
      <c r="AO162">
        <f t="shared" si="143"/>
        <v>1</v>
      </c>
      <c r="AP162">
        <f t="shared" si="144"/>
        <v>22</v>
      </c>
    </row>
    <row r="163" spans="1:42" ht="27.75" customHeight="1" x14ac:dyDescent="0.25">
      <c r="A163" s="894" t="s">
        <v>6474</v>
      </c>
      <c r="B163" s="854" t="s">
        <v>396</v>
      </c>
      <c r="C163" s="856" t="s">
        <v>539</v>
      </c>
      <c r="D163" s="854" t="str">
        <f t="shared" si="146"/>
        <v>Media support de logiciel</v>
      </c>
      <c r="E163" s="860" t="str">
        <f>Inop</f>
        <v>Inopérabilité</v>
      </c>
      <c r="F163" s="905" t="s">
        <v>3205</v>
      </c>
      <c r="G163" s="858" t="s">
        <v>4494</v>
      </c>
      <c r="H163" s="868"/>
      <c r="I163" s="24">
        <v>1</v>
      </c>
      <c r="J163" s="83" t="str">
        <f t="shared" si="129"/>
        <v>A</v>
      </c>
      <c r="K163" s="24" t="str">
        <f t="shared" si="130"/>
        <v>D</v>
      </c>
      <c r="L163" s="83">
        <f t="shared" si="131"/>
        <v>2</v>
      </c>
      <c r="M163" s="83">
        <f t="shared" si="132"/>
        <v>2</v>
      </c>
      <c r="N163" s="1070"/>
      <c r="O163" s="1070"/>
      <c r="P163" s="169">
        <f t="shared" si="133"/>
        <v>2</v>
      </c>
      <c r="Q163" s="871">
        <f>1</f>
        <v>1</v>
      </c>
      <c r="R163" s="221">
        <f>S5C01</f>
        <v>1</v>
      </c>
      <c r="S163" s="221">
        <f>1</f>
        <v>1</v>
      </c>
      <c r="T163" s="221">
        <f>1</f>
        <v>1</v>
      </c>
      <c r="U163" s="687"/>
      <c r="V163" s="1071"/>
      <c r="W163" s="1071"/>
      <c r="X163" s="83">
        <f t="shared" si="134"/>
        <v>2</v>
      </c>
      <c r="Y163" s="83" cm="1">
        <f t="array" ref="Y163">IF(M163="","",IF(J163="A",INDEX(base_p,4,R163+7*(IF(O163="",M163,O163)-1)),IF(J163="E",INDEX(base_p,15,R163+7*(IF(O163="",M163,O163)-1)),INDEX(base_p,27-Q163,R163+7*(IF(O163="",M163,O163)-1)))))</f>
        <v>2</v>
      </c>
      <c r="Z163" s="83">
        <f t="shared" si="135"/>
        <v>2</v>
      </c>
      <c r="AA163" s="1092"/>
      <c r="AB163" s="83">
        <f t="shared" si="109"/>
        <v>2</v>
      </c>
      <c r="AC163" s="167"/>
      <c r="AD163" s="196" t="s">
        <v>643</v>
      </c>
      <c r="AE163" s="165"/>
      <c r="AF163" s="165"/>
      <c r="AG163" s="1" t="str">
        <f t="shared" si="136"/>
        <v/>
      </c>
      <c r="AH163" s="1" t="str">
        <f t="shared" si="145"/>
        <v>AB.S.Mat2</v>
      </c>
      <c r="AI163" s="1" t="str">
        <f t="shared" si="137"/>
        <v/>
      </c>
      <c r="AJ163" s="1" t="str">
        <f t="shared" si="138"/>
        <v/>
      </c>
      <c r="AK163">
        <f t="shared" si="139"/>
        <v>1</v>
      </c>
      <c r="AL163">
        <f t="shared" si="140"/>
        <v>1</v>
      </c>
      <c r="AM163">
        <f t="shared" si="141"/>
        <v>1</v>
      </c>
      <c r="AN163">
        <f t="shared" si="142"/>
        <v>1</v>
      </c>
      <c r="AO163">
        <f t="shared" si="143"/>
        <v>1</v>
      </c>
      <c r="AP163">
        <f t="shared" si="144"/>
        <v>22</v>
      </c>
    </row>
    <row r="164" spans="1:42" ht="40.5" customHeight="1" x14ac:dyDescent="0.25">
      <c r="A164" s="894" t="s">
        <v>6475</v>
      </c>
      <c r="B164" s="854" t="s">
        <v>396</v>
      </c>
      <c r="C164" s="856" t="s">
        <v>539</v>
      </c>
      <c r="D164" s="854" t="str">
        <f t="shared" si="146"/>
        <v>Media support de logiciel</v>
      </c>
      <c r="E164" s="860" t="str">
        <f>Inex</f>
        <v>Inexploitabilité</v>
      </c>
      <c r="F164" s="858" t="s">
        <v>3198</v>
      </c>
      <c r="G164" s="858" t="s">
        <v>3233</v>
      </c>
      <c r="H164" s="865"/>
      <c r="I164" s="24">
        <v>1</v>
      </c>
      <c r="J164" s="83" t="str">
        <f t="shared" si="129"/>
        <v>V</v>
      </c>
      <c r="K164" s="24" t="str">
        <f t="shared" si="130"/>
        <v>D</v>
      </c>
      <c r="L164" s="83">
        <f t="shared" si="131"/>
        <v>2</v>
      </c>
      <c r="M164" s="83">
        <f t="shared" si="132"/>
        <v>3</v>
      </c>
      <c r="N164" s="1070"/>
      <c r="O164" s="1070"/>
      <c r="P164" s="169">
        <f t="shared" si="133"/>
        <v>2</v>
      </c>
      <c r="Q164" s="871">
        <f>1</f>
        <v>1</v>
      </c>
      <c r="R164" s="221">
        <f>S5C01</f>
        <v>1</v>
      </c>
      <c r="S164" s="221">
        <f>1</f>
        <v>1</v>
      </c>
      <c r="T164" s="221">
        <f>1</f>
        <v>1</v>
      </c>
      <c r="U164" s="687"/>
      <c r="V164" s="1071"/>
      <c r="W164" s="1071"/>
      <c r="X164" s="83">
        <f t="shared" si="134"/>
        <v>2</v>
      </c>
      <c r="Y164" s="83" cm="1">
        <f t="array" ref="Y164">IF(M164="","",IF(J164="A",INDEX(base_p,4,R164+7*(IF(O164="",M164,O164)-1)),IF(J164="E",INDEX(base_p,15,R164+7*(IF(O164="",M164,O164)-1)),INDEX(base_p,27-Q164,R164+7*(IF(O164="",M164,O164)-1)))))</f>
        <v>3</v>
      </c>
      <c r="Z164" s="83">
        <f t="shared" si="135"/>
        <v>2</v>
      </c>
      <c r="AA164" s="1092"/>
      <c r="AB164" s="83">
        <f t="shared" si="109"/>
        <v>2</v>
      </c>
      <c r="AC164" s="167"/>
      <c r="AD164" s="196" t="s">
        <v>643</v>
      </c>
      <c r="AE164" s="165"/>
      <c r="AF164" s="166"/>
      <c r="AG164" s="1" t="str">
        <f t="shared" si="136"/>
        <v/>
      </c>
      <c r="AH164" s="1" t="str">
        <f t="shared" si="145"/>
        <v>AH.L.Del2</v>
      </c>
      <c r="AI164" s="1" t="str">
        <f t="shared" si="137"/>
        <v/>
      </c>
      <c r="AJ164" s="1" t="str">
        <f t="shared" si="138"/>
        <v/>
      </c>
      <c r="AK164">
        <f t="shared" si="139"/>
        <v>1</v>
      </c>
      <c r="AL164">
        <f t="shared" si="140"/>
        <v>1</v>
      </c>
      <c r="AM164">
        <f t="shared" si="141"/>
        <v>1</v>
      </c>
      <c r="AN164">
        <f t="shared" si="142"/>
        <v>1</v>
      </c>
      <c r="AO164">
        <f t="shared" si="143"/>
        <v>1</v>
      </c>
      <c r="AP164">
        <f t="shared" si="144"/>
        <v>23</v>
      </c>
    </row>
    <row r="165" spans="1:42" ht="39" customHeight="1" x14ac:dyDescent="0.25">
      <c r="A165" s="894" t="s">
        <v>6477</v>
      </c>
      <c r="B165" s="854" t="s">
        <v>396</v>
      </c>
      <c r="C165" s="856" t="s">
        <v>539</v>
      </c>
      <c r="D165" s="854" t="str">
        <f t="shared" ref="D165:D171" si="148">Equ</f>
        <v>Equipement de l'Infrastructure informatique</v>
      </c>
      <c r="E165" s="860" t="str">
        <f>Disp</f>
        <v>Disparition</v>
      </c>
      <c r="F165" s="858" t="s">
        <v>3224</v>
      </c>
      <c r="G165" s="896" t="s">
        <v>6541</v>
      </c>
      <c r="H165" s="876" t="s">
        <v>6476</v>
      </c>
      <c r="I165" s="24">
        <v>1</v>
      </c>
      <c r="J165" s="83" t="str">
        <f t="shared" si="129"/>
        <v>V</v>
      </c>
      <c r="K165" s="24" t="str">
        <f t="shared" si="130"/>
        <v>D</v>
      </c>
      <c r="L165" s="83">
        <f t="shared" si="131"/>
        <v>2</v>
      </c>
      <c r="M165" s="83">
        <f t="shared" si="132"/>
        <v>3</v>
      </c>
      <c r="N165" s="1070"/>
      <c r="O165" s="1070"/>
      <c r="P165" s="169">
        <f t="shared" si="133"/>
        <v>2</v>
      </c>
      <c r="Q165" s="871">
        <f>S2B03</f>
        <v>1</v>
      </c>
      <c r="R165" s="221">
        <f>1</f>
        <v>1</v>
      </c>
      <c r="S165" s="221">
        <f>1</f>
        <v>1</v>
      </c>
      <c r="T165" s="221">
        <f>S3B01</f>
        <v>1</v>
      </c>
      <c r="U165" s="687"/>
      <c r="V165" s="1071"/>
      <c r="W165" s="1071"/>
      <c r="X165" s="83">
        <f t="shared" si="134"/>
        <v>2</v>
      </c>
      <c r="Y165" s="83" cm="1">
        <f t="array" ref="Y165">IF(M165="","",IF(J165="A",INDEX(base_p,4,R165+7*(IF(O165="",M165,O165)-1)),IF(J165="E",INDEX(base_p,15,R165+7*(IF(O165="",M165,O165)-1)),INDEX(base_p,27-Q165,R165+7*(IF(O165="",M165,O165)-1)))))</f>
        <v>3</v>
      </c>
      <c r="Z165" s="83">
        <f t="shared" si="135"/>
        <v>2</v>
      </c>
      <c r="AA165" s="1092"/>
      <c r="AB165" s="83">
        <f t="shared" si="109"/>
        <v>2</v>
      </c>
      <c r="AC165" s="199" t="s">
        <v>618</v>
      </c>
      <c r="AD165" s="165"/>
      <c r="AE165" s="165"/>
      <c r="AF165" s="166" t="s">
        <v>630</v>
      </c>
      <c r="AG165" s="1" t="str">
        <f t="shared" si="136"/>
        <v/>
      </c>
      <c r="AH165" s="1" t="str">
        <f t="shared" si="145"/>
        <v>AH.P.Vol2</v>
      </c>
      <c r="AI165" s="1" t="str">
        <f t="shared" si="137"/>
        <v/>
      </c>
      <c r="AJ165" s="1" t="str">
        <f t="shared" si="138"/>
        <v/>
      </c>
      <c r="AK165">
        <f t="shared" si="139"/>
        <v>1</v>
      </c>
      <c r="AL165">
        <f t="shared" si="140"/>
        <v>1</v>
      </c>
      <c r="AM165">
        <f t="shared" si="141"/>
        <v>1</v>
      </c>
      <c r="AN165">
        <f t="shared" si="142"/>
        <v>1</v>
      </c>
      <c r="AO165">
        <f t="shared" si="143"/>
        <v>1</v>
      </c>
      <c r="AP165">
        <f t="shared" si="144"/>
        <v>23</v>
      </c>
    </row>
    <row r="166" spans="1:42" ht="40.5" customHeight="1" x14ac:dyDescent="0.25">
      <c r="A166" s="894" t="s">
        <v>6478</v>
      </c>
      <c r="B166" s="854" t="s">
        <v>396</v>
      </c>
      <c r="C166" s="856" t="s">
        <v>539</v>
      </c>
      <c r="D166" s="854" t="str">
        <f t="shared" si="148"/>
        <v>Equipement de l'Infrastructure informatique</v>
      </c>
      <c r="E166" s="860" t="str">
        <f>Disp</f>
        <v>Disparition</v>
      </c>
      <c r="F166" s="858" t="s">
        <v>3224</v>
      </c>
      <c r="G166" s="896" t="s">
        <v>6541</v>
      </c>
      <c r="H166" s="848" t="s">
        <v>4726</v>
      </c>
      <c r="I166" s="24">
        <v>1</v>
      </c>
      <c r="J166" s="83" t="str">
        <f t="shared" si="129"/>
        <v>V</v>
      </c>
      <c r="K166" s="24" t="str">
        <f t="shared" si="130"/>
        <v>D</v>
      </c>
      <c r="L166" s="83">
        <f t="shared" si="131"/>
        <v>2</v>
      </c>
      <c r="M166" s="83">
        <f t="shared" si="132"/>
        <v>3</v>
      </c>
      <c r="N166" s="1070"/>
      <c r="O166" s="1070"/>
      <c r="P166" s="169">
        <f t="shared" si="133"/>
        <v>2</v>
      </c>
      <c r="Q166" s="871">
        <f>S2B03</f>
        <v>1</v>
      </c>
      <c r="R166" s="221">
        <f>MIN(S2B01,S2B02)</f>
        <v>1</v>
      </c>
      <c r="S166" s="221">
        <f>1</f>
        <v>1</v>
      </c>
      <c r="T166" s="221">
        <f>S3B01</f>
        <v>1</v>
      </c>
      <c r="U166" s="687"/>
      <c r="V166" s="1071"/>
      <c r="W166" s="1071"/>
      <c r="X166" s="83">
        <f t="shared" si="134"/>
        <v>2</v>
      </c>
      <c r="Y166" s="83" cm="1">
        <f t="array" ref="Y166">IF(M166="","",IF(J166="A",INDEX(base_p,4,R166+7*(IF(O166="",M166,O166)-1)),IF(J166="E",INDEX(base_p,15,R166+7*(IF(O166="",M166,O166)-1)),INDEX(base_p,27-Q166,R166+7*(IF(O166="",M166,O166)-1)))))</f>
        <v>3</v>
      </c>
      <c r="Z166" s="83">
        <f t="shared" si="135"/>
        <v>2</v>
      </c>
      <c r="AA166" s="1092"/>
      <c r="AB166" s="83">
        <f t="shared" ref="AB166:AB214" si="149">IF(OR(AA166="A",AA166="a",AA166="E",AA166="e",AA166="T",AA166="t",Z166=""),"",Z166)</f>
        <v>2</v>
      </c>
      <c r="AC166" s="199" t="s">
        <v>618</v>
      </c>
      <c r="AD166" s="196" t="s">
        <v>2049</v>
      </c>
      <c r="AE166" s="165"/>
      <c r="AF166" s="166" t="s">
        <v>630</v>
      </c>
      <c r="AG166" s="1" t="str">
        <f t="shared" si="136"/>
        <v/>
      </c>
      <c r="AH166" s="1" t="str">
        <f t="shared" si="145"/>
        <v>AH.P.Vol2</v>
      </c>
      <c r="AI166" s="1" t="str">
        <f t="shared" si="137"/>
        <v/>
      </c>
      <c r="AJ166" s="1" t="str">
        <f t="shared" si="138"/>
        <v/>
      </c>
      <c r="AK166">
        <f t="shared" si="139"/>
        <v>1</v>
      </c>
      <c r="AL166">
        <f t="shared" si="140"/>
        <v>1</v>
      </c>
      <c r="AM166">
        <f t="shared" si="141"/>
        <v>1</v>
      </c>
      <c r="AN166">
        <f t="shared" si="142"/>
        <v>1</v>
      </c>
      <c r="AO166">
        <f t="shared" si="143"/>
        <v>1</v>
      </c>
      <c r="AP166">
        <f t="shared" si="144"/>
        <v>23</v>
      </c>
    </row>
    <row r="167" spans="1:42" ht="38.25" customHeight="1" x14ac:dyDescent="0.25">
      <c r="A167" s="894" t="s">
        <v>6479</v>
      </c>
      <c r="B167" s="854" t="s">
        <v>396</v>
      </c>
      <c r="C167" s="856" t="s">
        <v>539</v>
      </c>
      <c r="D167" s="854" t="str">
        <f t="shared" si="148"/>
        <v>Equipement de l'Infrastructure informatique</v>
      </c>
      <c r="E167" s="862" t="str">
        <f>Endp</f>
        <v>Endommagement physique</v>
      </c>
      <c r="F167" s="858" t="s">
        <v>3203</v>
      </c>
      <c r="G167" s="858" t="s">
        <v>3202</v>
      </c>
      <c r="H167" s="863"/>
      <c r="I167" s="24">
        <v>1</v>
      </c>
      <c r="J167" s="83" t="str">
        <f t="shared" si="129"/>
        <v>A</v>
      </c>
      <c r="K167" s="24" t="str">
        <f t="shared" si="130"/>
        <v>D</v>
      </c>
      <c r="L167" s="83">
        <f t="shared" si="131"/>
        <v>2</v>
      </c>
      <c r="M167" s="83">
        <f t="shared" si="132"/>
        <v>2</v>
      </c>
      <c r="N167" s="1070"/>
      <c r="O167" s="1070"/>
      <c r="P167" s="169">
        <f t="shared" si="133"/>
        <v>2</v>
      </c>
      <c r="Q167" s="871">
        <f>1</f>
        <v>1</v>
      </c>
      <c r="R167" s="221">
        <f>1</f>
        <v>1</v>
      </c>
      <c r="S167" s="221">
        <f>1</f>
        <v>1</v>
      </c>
      <c r="T167" s="221">
        <f>S4C01</f>
        <v>1</v>
      </c>
      <c r="U167" s="687"/>
      <c r="V167" s="1071"/>
      <c r="W167" s="1071"/>
      <c r="X167" s="83">
        <f t="shared" si="134"/>
        <v>2</v>
      </c>
      <c r="Y167" s="83" cm="1">
        <f t="array" ref="Y167">IF(M167="","",IF(J167="A",INDEX(base_p,4,R167+7*(IF(O167="",M167,O167)-1)),IF(J167="E",INDEX(base_p,15,R167+7*(IF(O167="",M167,O167)-1)),INDEX(base_p,27-Q167,R167+7*(IF(O167="",M167,O167)-1)))))</f>
        <v>2</v>
      </c>
      <c r="Z167" s="83">
        <f t="shared" si="135"/>
        <v>2</v>
      </c>
      <c r="AA167" s="1092"/>
      <c r="AB167" s="83">
        <f t="shared" si="149"/>
        <v>2</v>
      </c>
      <c r="AC167" s="165"/>
      <c r="AD167" s="165"/>
      <c r="AE167" s="165"/>
      <c r="AF167" s="166" t="s">
        <v>619</v>
      </c>
      <c r="AG167" s="1" t="str">
        <f t="shared" si="136"/>
        <v/>
      </c>
      <c r="AH167" s="1" t="str">
        <f t="shared" si="145"/>
        <v>IC.E.Div2</v>
      </c>
      <c r="AI167" s="1" t="str">
        <f t="shared" si="137"/>
        <v/>
      </c>
      <c r="AJ167" s="1" t="str">
        <f t="shared" si="138"/>
        <v/>
      </c>
      <c r="AK167">
        <f t="shared" si="139"/>
        <v>1</v>
      </c>
      <c r="AL167">
        <f t="shared" si="140"/>
        <v>1</v>
      </c>
      <c r="AM167">
        <f t="shared" si="141"/>
        <v>1</v>
      </c>
      <c r="AN167">
        <f t="shared" si="142"/>
        <v>1</v>
      </c>
      <c r="AO167">
        <f t="shared" si="143"/>
        <v>1</v>
      </c>
      <c r="AP167">
        <f t="shared" si="144"/>
        <v>22</v>
      </c>
    </row>
    <row r="168" spans="1:42" ht="38.25" customHeight="1" x14ac:dyDescent="0.25">
      <c r="A168" s="894" t="s">
        <v>6480</v>
      </c>
      <c r="B168" s="854" t="s">
        <v>396</v>
      </c>
      <c r="C168" s="856" t="s">
        <v>539</v>
      </c>
      <c r="D168" s="854" t="str">
        <f t="shared" si="148"/>
        <v>Equipement de l'Infrastructure informatique</v>
      </c>
      <c r="E168" s="862" t="str">
        <f>Endp</f>
        <v>Endommagement physique</v>
      </c>
      <c r="F168" s="858" t="s">
        <v>3229</v>
      </c>
      <c r="G168" s="858" t="s">
        <v>3231</v>
      </c>
      <c r="H168" s="863"/>
      <c r="I168" s="24">
        <v>1</v>
      </c>
      <c r="J168" s="83" t="str">
        <f t="shared" si="129"/>
        <v>A</v>
      </c>
      <c r="K168" s="24" t="str">
        <f t="shared" si="130"/>
        <v>D</v>
      </c>
      <c r="L168" s="83">
        <f t="shared" si="131"/>
        <v>2</v>
      </c>
      <c r="M168" s="83">
        <f t="shared" si="132"/>
        <v>2</v>
      </c>
      <c r="N168" s="1070"/>
      <c r="O168" s="1070"/>
      <c r="P168" s="169">
        <f t="shared" si="133"/>
        <v>2</v>
      </c>
      <c r="Q168" s="871">
        <f>1</f>
        <v>1</v>
      </c>
      <c r="R168" s="221">
        <f>1</f>
        <v>1</v>
      </c>
      <c r="S168" s="221">
        <f>S2A03</f>
        <v>1</v>
      </c>
      <c r="T168" s="221">
        <f>S4C03</f>
        <v>1</v>
      </c>
      <c r="U168" s="687"/>
      <c r="V168" s="1071"/>
      <c r="W168" s="1071"/>
      <c r="X168" s="83">
        <f t="shared" si="134"/>
        <v>2</v>
      </c>
      <c r="Y168" s="83" cm="1">
        <f t="array" ref="Y168">IF(M168="","",IF(J168="A",INDEX(base_p,4,R168+7*(IF(O168="",M168,O168)-1)),IF(J168="E",INDEX(base_p,15,R168+7*(IF(O168="",M168,O168)-1)),INDEX(base_p,27-Q168,R168+7*(IF(O168="",M168,O168)-1)))))</f>
        <v>2</v>
      </c>
      <c r="Z168" s="83">
        <f t="shared" si="135"/>
        <v>2</v>
      </c>
      <c r="AA168" s="1092"/>
      <c r="AB168" s="83">
        <f t="shared" si="149"/>
        <v>2</v>
      </c>
      <c r="AC168" s="165"/>
      <c r="AD168" s="165"/>
      <c r="AE168" s="166" t="s">
        <v>632</v>
      </c>
      <c r="AF168" s="166" t="s">
        <v>620</v>
      </c>
      <c r="AG168" s="1" t="str">
        <f t="shared" si="136"/>
        <v/>
      </c>
      <c r="AH168" s="1" t="str">
        <f t="shared" si="145"/>
        <v>AC.E.Evt2</v>
      </c>
      <c r="AI168" s="1" t="str">
        <f t="shared" si="137"/>
        <v/>
      </c>
      <c r="AJ168" s="1" t="str">
        <f t="shared" si="138"/>
        <v/>
      </c>
      <c r="AK168">
        <f t="shared" si="139"/>
        <v>1</v>
      </c>
      <c r="AL168">
        <f t="shared" si="140"/>
        <v>1</v>
      </c>
      <c r="AM168">
        <f t="shared" si="141"/>
        <v>1</v>
      </c>
      <c r="AN168">
        <f t="shared" si="142"/>
        <v>1</v>
      </c>
      <c r="AO168">
        <f t="shared" si="143"/>
        <v>1</v>
      </c>
      <c r="AP168">
        <f t="shared" si="144"/>
        <v>22</v>
      </c>
    </row>
    <row r="169" spans="1:42" ht="38.25" customHeight="1" x14ac:dyDescent="0.25">
      <c r="A169" s="894" t="s">
        <v>6481</v>
      </c>
      <c r="B169" s="854" t="s">
        <v>396</v>
      </c>
      <c r="C169" s="856" t="s">
        <v>539</v>
      </c>
      <c r="D169" s="854" t="str">
        <f t="shared" si="148"/>
        <v>Equipement de l'Infrastructure informatique</v>
      </c>
      <c r="E169" s="867" t="str">
        <f>Inop</f>
        <v>Inopérabilité</v>
      </c>
      <c r="F169" s="858" t="s">
        <v>585</v>
      </c>
      <c r="G169" s="858" t="s">
        <v>4495</v>
      </c>
      <c r="H169" s="859"/>
      <c r="I169" s="24">
        <v>1</v>
      </c>
      <c r="J169" s="83" t="str">
        <f t="shared" si="129"/>
        <v>A</v>
      </c>
      <c r="K169" s="24" t="str">
        <f t="shared" si="130"/>
        <v>D</v>
      </c>
      <c r="L169" s="83">
        <f t="shared" si="131"/>
        <v>2</v>
      </c>
      <c r="M169" s="83">
        <f t="shared" si="132"/>
        <v>3</v>
      </c>
      <c r="N169" s="1070"/>
      <c r="O169" s="1070"/>
      <c r="P169" s="169">
        <f t="shared" si="133"/>
        <v>2</v>
      </c>
      <c r="Q169" s="871">
        <f>1</f>
        <v>1</v>
      </c>
      <c r="R169" s="221">
        <f>1</f>
        <v>1</v>
      </c>
      <c r="S169" s="221">
        <f>1</f>
        <v>1</v>
      </c>
      <c r="T169" s="221">
        <f>MAX(S1E01,S1E03)</f>
        <v>1</v>
      </c>
      <c r="U169" s="687"/>
      <c r="V169" s="1071"/>
      <c r="W169" s="1071"/>
      <c r="X169" s="83">
        <f t="shared" si="134"/>
        <v>2</v>
      </c>
      <c r="Y169" s="83" cm="1">
        <f t="array" ref="Y169">IF(M169="","",IF(J169="A",INDEX(base_p,4,R169+7*(IF(O169="",M169,O169)-1)),IF(J169="E",INDEX(base_p,15,R169+7*(IF(O169="",M169,O169)-1)),INDEX(base_p,27-Q169,R169+7*(IF(O169="",M169,O169)-1)))))</f>
        <v>3</v>
      </c>
      <c r="Z169" s="83">
        <f t="shared" si="135"/>
        <v>2</v>
      </c>
      <c r="AA169" s="1092"/>
      <c r="AB169" s="83">
        <f t="shared" si="149"/>
        <v>2</v>
      </c>
      <c r="AC169" s="165"/>
      <c r="AD169" s="165"/>
      <c r="AE169" s="165"/>
      <c r="AF169" s="196" t="s">
        <v>4498</v>
      </c>
      <c r="AG169" s="1" t="str">
        <f t="shared" si="136"/>
        <v/>
      </c>
      <c r="AH169" s="1" t="str">
        <f t="shared" si="145"/>
        <v>AB.P.Per2</v>
      </c>
      <c r="AI169" s="1" t="str">
        <f t="shared" si="137"/>
        <v/>
      </c>
      <c r="AJ169" s="1" t="str">
        <f t="shared" si="138"/>
        <v/>
      </c>
      <c r="AK169">
        <f t="shared" si="139"/>
        <v>1</v>
      </c>
      <c r="AL169">
        <f t="shared" si="140"/>
        <v>1</v>
      </c>
      <c r="AM169">
        <f t="shared" si="141"/>
        <v>1</v>
      </c>
      <c r="AN169">
        <f t="shared" si="142"/>
        <v>1</v>
      </c>
      <c r="AO169">
        <f t="shared" si="143"/>
        <v>1</v>
      </c>
      <c r="AP169">
        <f t="shared" si="144"/>
        <v>23</v>
      </c>
    </row>
    <row r="170" spans="1:42" ht="38.25" customHeight="1" x14ac:dyDescent="0.25">
      <c r="A170" s="894" t="s">
        <v>6482</v>
      </c>
      <c r="B170" s="854" t="s">
        <v>396</v>
      </c>
      <c r="C170" s="856" t="s">
        <v>539</v>
      </c>
      <c r="D170" s="854" t="str">
        <f t="shared" si="148"/>
        <v>Equipement de l'Infrastructure informatique</v>
      </c>
      <c r="E170" s="867" t="str">
        <f>Inop</f>
        <v>Inopérabilité</v>
      </c>
      <c r="F170" s="858" t="s">
        <v>3204</v>
      </c>
      <c r="G170" s="858" t="s">
        <v>4496</v>
      </c>
      <c r="H170" s="863"/>
      <c r="I170" s="24">
        <v>1</v>
      </c>
      <c r="J170" s="83" t="str">
        <f t="shared" si="129"/>
        <v>A</v>
      </c>
      <c r="K170" s="24" t="str">
        <f t="shared" si="130"/>
        <v>D</v>
      </c>
      <c r="L170" s="83">
        <f t="shared" si="131"/>
        <v>2</v>
      </c>
      <c r="M170" s="83">
        <f t="shared" si="132"/>
        <v>2</v>
      </c>
      <c r="N170" s="1070"/>
      <c r="O170" s="1070"/>
      <c r="P170" s="169">
        <f t="shared" si="133"/>
        <v>2</v>
      </c>
      <c r="Q170" s="871">
        <f>1</f>
        <v>1</v>
      </c>
      <c r="R170" s="221">
        <f>S2C02</f>
        <v>1</v>
      </c>
      <c r="S170" s="221">
        <f>1</f>
        <v>1</v>
      </c>
      <c r="T170" s="221">
        <f>S4C03</f>
        <v>1</v>
      </c>
      <c r="U170" s="687"/>
      <c r="V170" s="1071"/>
      <c r="W170" s="1071"/>
      <c r="X170" s="83">
        <f t="shared" si="134"/>
        <v>2</v>
      </c>
      <c r="Y170" s="83" cm="1">
        <f t="array" ref="Y170">IF(M170="","",IF(J170="A",INDEX(base_p,4,R170+7*(IF(O170="",M170,O170)-1)),IF(J170="E",INDEX(base_p,15,R170+7*(IF(O170="",M170,O170)-1)),INDEX(base_p,27-Q170,R170+7*(IF(O170="",M170,O170)-1)))))</f>
        <v>2</v>
      </c>
      <c r="Z170" s="83">
        <f t="shared" si="135"/>
        <v>2</v>
      </c>
      <c r="AA170" s="1092"/>
      <c r="AB170" s="83">
        <f t="shared" si="149"/>
        <v>2</v>
      </c>
      <c r="AC170" s="165"/>
      <c r="AD170" s="166" t="s">
        <v>615</v>
      </c>
      <c r="AE170" s="165"/>
      <c r="AF170" s="166" t="s">
        <v>620</v>
      </c>
      <c r="AG170" s="1" t="str">
        <f t="shared" si="136"/>
        <v/>
      </c>
      <c r="AH170" s="1" t="str">
        <f t="shared" si="145"/>
        <v>AB.S.Gen2</v>
      </c>
      <c r="AI170" s="1" t="str">
        <f t="shared" si="137"/>
        <v/>
      </c>
      <c r="AJ170" s="1" t="str">
        <f t="shared" si="138"/>
        <v/>
      </c>
      <c r="AK170">
        <f t="shared" si="139"/>
        <v>1</v>
      </c>
      <c r="AL170">
        <f t="shared" si="140"/>
        <v>1</v>
      </c>
      <c r="AM170">
        <f t="shared" si="141"/>
        <v>1</v>
      </c>
      <c r="AN170">
        <f t="shared" si="142"/>
        <v>1</v>
      </c>
      <c r="AO170">
        <f t="shared" si="143"/>
        <v>1</v>
      </c>
      <c r="AP170">
        <f t="shared" si="144"/>
        <v>22</v>
      </c>
    </row>
    <row r="171" spans="1:42" ht="38.25" customHeight="1" x14ac:dyDescent="0.25">
      <c r="A171" s="894" t="s">
        <v>6483</v>
      </c>
      <c r="B171" s="854" t="s">
        <v>396</v>
      </c>
      <c r="C171" s="856" t="s">
        <v>539</v>
      </c>
      <c r="D171" s="854" t="str">
        <f t="shared" si="148"/>
        <v>Equipement de l'Infrastructure informatique</v>
      </c>
      <c r="E171" s="867" t="str">
        <f>Inex</f>
        <v>Inexploitabilité</v>
      </c>
      <c r="F171" s="858" t="s">
        <v>454</v>
      </c>
      <c r="G171" s="858" t="s">
        <v>4497</v>
      </c>
      <c r="H171" s="850"/>
      <c r="I171" s="24">
        <v>1</v>
      </c>
      <c r="J171" s="83" t="str">
        <f t="shared" si="129"/>
        <v>A</v>
      </c>
      <c r="K171" s="24" t="str">
        <f t="shared" si="130"/>
        <v>D</v>
      </c>
      <c r="L171" s="83">
        <f t="shared" si="131"/>
        <v>2</v>
      </c>
      <c r="M171" s="83">
        <f t="shared" si="132"/>
        <v>3</v>
      </c>
      <c r="N171" s="1070"/>
      <c r="O171" s="1070"/>
      <c r="P171" s="169">
        <f t="shared" si="133"/>
        <v>2</v>
      </c>
      <c r="Q171" s="871">
        <f>1</f>
        <v>1</v>
      </c>
      <c r="R171" s="221">
        <f>S3B01</f>
        <v>1</v>
      </c>
      <c r="S171" s="221">
        <f>1</f>
        <v>1</v>
      </c>
      <c r="T171" s="221">
        <f>S4C01</f>
        <v>1</v>
      </c>
      <c r="U171" s="687"/>
      <c r="V171" s="1071"/>
      <c r="W171" s="1071"/>
      <c r="X171" s="83">
        <f t="shared" si="134"/>
        <v>2</v>
      </c>
      <c r="Y171" s="83" cm="1">
        <f t="array" ref="Y171">IF(M171="","",IF(J171="A",INDEX(base_p,4,R171+7*(IF(O171="",M171,O171)-1)),IF(J171="E",INDEX(base_p,15,R171+7*(IF(O171="",M171,O171)-1)),INDEX(base_p,27-Q171,R171+7*(IF(O171="",M171,O171)-1)))))</f>
        <v>3</v>
      </c>
      <c r="Z171" s="83">
        <f t="shared" si="135"/>
        <v>2</v>
      </c>
      <c r="AA171" s="1092"/>
      <c r="AB171" s="83">
        <f t="shared" si="149"/>
        <v>2</v>
      </c>
      <c r="AC171" s="165"/>
      <c r="AD171" s="166" t="s">
        <v>630</v>
      </c>
      <c r="AE171" s="165"/>
      <c r="AF171" s="166" t="s">
        <v>619</v>
      </c>
      <c r="AG171" s="1" t="str">
        <f t="shared" si="136"/>
        <v/>
      </c>
      <c r="AH171" s="1" t="str">
        <f t="shared" si="145"/>
        <v>AC.M.Equ2</v>
      </c>
      <c r="AI171" s="1" t="str">
        <f t="shared" si="137"/>
        <v/>
      </c>
      <c r="AJ171" s="1" t="str">
        <f t="shared" si="138"/>
        <v/>
      </c>
      <c r="AK171">
        <f t="shared" si="139"/>
        <v>1</v>
      </c>
      <c r="AL171">
        <f t="shared" si="140"/>
        <v>1</v>
      </c>
      <c r="AM171">
        <f t="shared" si="141"/>
        <v>1</v>
      </c>
      <c r="AN171">
        <f t="shared" si="142"/>
        <v>1</v>
      </c>
      <c r="AO171">
        <f t="shared" si="143"/>
        <v>1</v>
      </c>
      <c r="AP171">
        <f t="shared" si="144"/>
        <v>23</v>
      </c>
    </row>
    <row r="172" spans="1:42" ht="38.25" customHeight="1" x14ac:dyDescent="0.25">
      <c r="A172" s="894" t="s">
        <v>6484</v>
      </c>
      <c r="B172" s="854" t="s">
        <v>396</v>
      </c>
      <c r="C172" s="856" t="s">
        <v>539</v>
      </c>
      <c r="D172" s="854" t="str">
        <f>Equ</f>
        <v>Equipement de l'Infrastructure informatique</v>
      </c>
      <c r="E172" s="867" t="str">
        <f>Inex</f>
        <v>Inexploitabilité</v>
      </c>
      <c r="F172" s="858" t="s">
        <v>3218</v>
      </c>
      <c r="G172" s="858" t="s">
        <v>4505</v>
      </c>
      <c r="H172" s="850"/>
      <c r="I172" s="24">
        <v>1</v>
      </c>
      <c r="J172" s="83" t="str">
        <f t="shared" si="129"/>
        <v>V</v>
      </c>
      <c r="K172" s="24" t="str">
        <f t="shared" si="130"/>
        <v>D</v>
      </c>
      <c r="L172" s="83">
        <f t="shared" si="131"/>
        <v>2</v>
      </c>
      <c r="M172" s="83">
        <f t="shared" si="132"/>
        <v>3</v>
      </c>
      <c r="N172" s="1070"/>
      <c r="O172" s="1070"/>
      <c r="P172" s="169">
        <f t="shared" si="133"/>
        <v>2</v>
      </c>
      <c r="Q172" s="871">
        <f>1</f>
        <v>1</v>
      </c>
      <c r="R172" s="221">
        <f>1</f>
        <v>1</v>
      </c>
      <c r="S172" s="221">
        <f>1</f>
        <v>1</v>
      </c>
      <c r="T172" s="221">
        <f>S4A10</f>
        <v>1</v>
      </c>
      <c r="U172" s="687"/>
      <c r="V172" s="1071"/>
      <c r="W172" s="1071"/>
      <c r="X172" s="83">
        <f t="shared" si="134"/>
        <v>2</v>
      </c>
      <c r="Y172" s="83" cm="1">
        <f t="array" ref="Y172">IF(M172="","",IF(J172="A",INDEX(base_p,4,R172+7*(IF(O172="",M172,O172)-1)),IF(J172="E",INDEX(base_p,15,R172+7*(IF(O172="",M172,O172)-1)),INDEX(base_p,27-Q172,R172+7*(IF(O172="",M172,O172)-1)))))</f>
        <v>3</v>
      </c>
      <c r="Z172" s="83">
        <f t="shared" si="135"/>
        <v>2</v>
      </c>
      <c r="AA172" s="1092"/>
      <c r="AB172" s="83">
        <f t="shared" si="149"/>
        <v>2</v>
      </c>
      <c r="AC172" s="165"/>
      <c r="AD172" s="165"/>
      <c r="AE172" s="165"/>
      <c r="AF172" s="196" t="s">
        <v>624</v>
      </c>
      <c r="AG172" s="1" t="str">
        <f t="shared" si="136"/>
        <v/>
      </c>
      <c r="AH172" s="1" t="str">
        <f t="shared" si="145"/>
        <v>AH.L.Sam2</v>
      </c>
      <c r="AI172" s="1" t="str">
        <f t="shared" si="137"/>
        <v/>
      </c>
      <c r="AJ172" s="1" t="str">
        <f t="shared" si="138"/>
        <v/>
      </c>
      <c r="AK172">
        <f t="shared" si="139"/>
        <v>1</v>
      </c>
      <c r="AL172">
        <f t="shared" si="140"/>
        <v>1</v>
      </c>
      <c r="AM172">
        <f t="shared" si="141"/>
        <v>1</v>
      </c>
      <c r="AN172">
        <f t="shared" si="142"/>
        <v>1</v>
      </c>
      <c r="AO172">
        <f t="shared" si="143"/>
        <v>1</v>
      </c>
      <c r="AP172">
        <f t="shared" si="144"/>
        <v>23</v>
      </c>
    </row>
    <row r="173" spans="1:42" ht="51.75" customHeight="1" x14ac:dyDescent="0.25">
      <c r="A173" s="894" t="s">
        <v>6485</v>
      </c>
      <c r="B173" s="854" t="s">
        <v>396</v>
      </c>
      <c r="C173" s="856" t="s">
        <v>539</v>
      </c>
      <c r="D173" s="859" t="str">
        <f>Env</f>
        <v>Environnement de travail et équipement des utilisateurs</v>
      </c>
      <c r="E173" s="867" t="str">
        <f>Inex</f>
        <v>Inexploitabilité</v>
      </c>
      <c r="F173" s="858" t="s">
        <v>3210</v>
      </c>
      <c r="G173" s="858" t="s">
        <v>4798</v>
      </c>
      <c r="H173" s="850" t="s">
        <v>4735</v>
      </c>
      <c r="I173" s="24">
        <v>1</v>
      </c>
      <c r="J173" s="83" t="str">
        <f t="shared" si="129"/>
        <v>V</v>
      </c>
      <c r="K173" s="24" t="str">
        <f t="shared" si="130"/>
        <v>D</v>
      </c>
      <c r="L173" s="83">
        <f t="shared" si="131"/>
        <v>2</v>
      </c>
      <c r="M173" s="83">
        <f t="shared" si="132"/>
        <v>2</v>
      </c>
      <c r="N173" s="1070"/>
      <c r="O173" s="1070"/>
      <c r="P173" s="169">
        <f t="shared" si="133"/>
        <v>2</v>
      </c>
      <c r="Q173" s="871">
        <f>S3A08</f>
        <v>1</v>
      </c>
      <c r="R173" s="221">
        <f>1</f>
        <v>1</v>
      </c>
      <c r="S173" s="221">
        <f>1</f>
        <v>1</v>
      </c>
      <c r="T173" s="221">
        <f>S6B07</f>
        <v>1</v>
      </c>
      <c r="U173" s="687"/>
      <c r="V173" s="1071"/>
      <c r="W173" s="1071"/>
      <c r="X173" s="83">
        <f t="shared" si="134"/>
        <v>2</v>
      </c>
      <c r="Y173" s="83" cm="1">
        <f t="array" ref="Y173">IF(M173="","",IF(J173="A",INDEX(base_p,4,R173+7*(IF(O173="",M173,O173)-1)),IF(J173="E",INDEX(base_p,15,R173+7*(IF(O173="",M173,O173)-1)),INDEX(base_p,27-Q173,R173+7*(IF(O173="",M173,O173)-1)))))</f>
        <v>2</v>
      </c>
      <c r="Z173" s="83">
        <f t="shared" si="135"/>
        <v>2</v>
      </c>
      <c r="AA173" s="1092"/>
      <c r="AB173" s="83">
        <f t="shared" si="149"/>
        <v>2</v>
      </c>
      <c r="AC173" s="199" t="s">
        <v>820</v>
      </c>
      <c r="AD173" s="165"/>
      <c r="AE173" s="165"/>
      <c r="AF173" s="166" t="s">
        <v>4461</v>
      </c>
      <c r="AG173" s="1" t="str">
        <f t="shared" si="136"/>
        <v/>
      </c>
      <c r="AH173" s="1" t="str">
        <f t="shared" si="145"/>
        <v>AH.L.Cfg2</v>
      </c>
      <c r="AI173" s="1" t="str">
        <f t="shared" si="137"/>
        <v/>
      </c>
      <c r="AJ173" s="1" t="str">
        <f t="shared" si="138"/>
        <v/>
      </c>
      <c r="AK173">
        <f t="shared" si="139"/>
        <v>1</v>
      </c>
      <c r="AL173">
        <f t="shared" si="140"/>
        <v>1</v>
      </c>
      <c r="AM173">
        <f t="shared" si="141"/>
        <v>1</v>
      </c>
      <c r="AN173">
        <f t="shared" si="142"/>
        <v>1</v>
      </c>
      <c r="AO173">
        <f t="shared" si="143"/>
        <v>1</v>
      </c>
      <c r="AP173">
        <f t="shared" si="144"/>
        <v>22</v>
      </c>
    </row>
    <row r="174" spans="1:42" ht="51.75" customHeight="1" x14ac:dyDescent="0.25">
      <c r="A174" s="894" t="s">
        <v>6486</v>
      </c>
      <c r="B174" s="854" t="s">
        <v>396</v>
      </c>
      <c r="C174" s="856" t="s">
        <v>539</v>
      </c>
      <c r="D174" s="859" t="str">
        <f>Env</f>
        <v>Environnement de travail et équipement des utilisateurs</v>
      </c>
      <c r="E174" s="867" t="str">
        <f>Inex</f>
        <v>Inexploitabilité</v>
      </c>
      <c r="F174" s="858" t="s">
        <v>424</v>
      </c>
      <c r="G174" s="858" t="s">
        <v>4506</v>
      </c>
      <c r="H174" s="850"/>
      <c r="I174" s="24">
        <v>1</v>
      </c>
      <c r="J174" s="83" t="str">
        <f t="shared" si="129"/>
        <v>A</v>
      </c>
      <c r="K174" s="24" t="str">
        <f t="shared" si="130"/>
        <v>D</v>
      </c>
      <c r="L174" s="83">
        <f t="shared" si="131"/>
        <v>2</v>
      </c>
      <c r="M174" s="83">
        <f t="shared" si="132"/>
        <v>4</v>
      </c>
      <c r="N174" s="1070"/>
      <c r="O174" s="1070"/>
      <c r="P174" s="169">
        <f t="shared" si="133"/>
        <v>3</v>
      </c>
      <c r="Q174" s="871">
        <f>1</f>
        <v>1</v>
      </c>
      <c r="R174" s="221">
        <f>S4A02</f>
        <v>1</v>
      </c>
      <c r="S174" s="221">
        <f>1</f>
        <v>1</v>
      </c>
      <c r="T174" s="221">
        <f>S6B07</f>
        <v>1</v>
      </c>
      <c r="U174" s="687"/>
      <c r="V174" s="1071"/>
      <c r="W174" s="1071"/>
      <c r="X174" s="83">
        <f t="shared" si="134"/>
        <v>2</v>
      </c>
      <c r="Y174" s="83" cm="1">
        <f t="array" ref="Y174">IF(M174="","",IF(J174="A",INDEX(base_p,4,R174+7*(IF(O174="",M174,O174)-1)),IF(J174="E",INDEX(base_p,15,R174+7*(IF(O174="",M174,O174)-1)),INDEX(base_p,27-Q174,R174+7*(IF(O174="",M174,O174)-1)))))</f>
        <v>4</v>
      </c>
      <c r="Z174" s="83">
        <f t="shared" si="135"/>
        <v>3</v>
      </c>
      <c r="AA174" s="1092"/>
      <c r="AB174" s="83">
        <f t="shared" si="149"/>
        <v>3</v>
      </c>
      <c r="AC174" s="165"/>
      <c r="AD174" s="166" t="s">
        <v>650</v>
      </c>
      <c r="AE174" s="165"/>
      <c r="AF174" s="166" t="s">
        <v>4461</v>
      </c>
      <c r="AG174" s="1" t="str">
        <f t="shared" si="136"/>
        <v/>
      </c>
      <c r="AH174" s="1" t="str">
        <f t="shared" si="145"/>
        <v/>
      </c>
      <c r="AI174" s="1" t="str">
        <f t="shared" si="137"/>
        <v>IF.L.Vir3</v>
      </c>
      <c r="AJ174" s="1" t="str">
        <f t="shared" si="138"/>
        <v/>
      </c>
      <c r="AK174">
        <f t="shared" si="139"/>
        <v>1</v>
      </c>
      <c r="AL174">
        <f t="shared" si="140"/>
        <v>1</v>
      </c>
      <c r="AM174">
        <f t="shared" si="141"/>
        <v>1</v>
      </c>
      <c r="AN174">
        <f t="shared" si="142"/>
        <v>1</v>
      </c>
      <c r="AO174">
        <f t="shared" si="143"/>
        <v>1</v>
      </c>
      <c r="AP174">
        <f t="shared" si="144"/>
        <v>24</v>
      </c>
    </row>
    <row r="175" spans="1:42" ht="51.75" customHeight="1" x14ac:dyDescent="0.25">
      <c r="A175" s="894" t="s">
        <v>6487</v>
      </c>
      <c r="B175" s="854" t="s">
        <v>396</v>
      </c>
      <c r="C175" s="856" t="s">
        <v>539</v>
      </c>
      <c r="D175" s="859" t="str">
        <f>Env</f>
        <v>Environnement de travail et équipement des utilisateurs</v>
      </c>
      <c r="E175" s="869" t="str">
        <f>Inop</f>
        <v>Inopérabilité</v>
      </c>
      <c r="F175" s="858" t="s">
        <v>587</v>
      </c>
      <c r="G175" s="858" t="s">
        <v>6727</v>
      </c>
      <c r="H175" s="859"/>
      <c r="I175" s="24">
        <v>1</v>
      </c>
      <c r="J175" s="83" t="str">
        <f t="shared" si="129"/>
        <v>A</v>
      </c>
      <c r="K175" s="24" t="str">
        <f t="shared" si="130"/>
        <v>D</v>
      </c>
      <c r="L175" s="83">
        <f t="shared" si="131"/>
        <v>2</v>
      </c>
      <c r="M175" s="83">
        <f t="shared" si="132"/>
        <v>2</v>
      </c>
      <c r="N175" s="1070"/>
      <c r="O175" s="1070"/>
      <c r="P175" s="169">
        <f t="shared" si="133"/>
        <v>2</v>
      </c>
      <c r="Q175" s="871">
        <f>1</f>
        <v>1</v>
      </c>
      <c r="R175" s="221">
        <f>1</f>
        <v>1</v>
      </c>
      <c r="S175" s="221">
        <f>1</f>
        <v>1</v>
      </c>
      <c r="T175" s="221">
        <f>S1E02</f>
        <v>1</v>
      </c>
      <c r="U175" s="687"/>
      <c r="V175" s="1071"/>
      <c r="W175" s="1071"/>
      <c r="X175" s="83">
        <f t="shared" si="134"/>
        <v>2</v>
      </c>
      <c r="Y175" s="83" cm="1">
        <f t="array" ref="Y175">IF(M175="","",IF(J175="A",INDEX(base_p,4,R175+7*(IF(O175="",M175,O175)-1)),IF(J175="E",INDEX(base_p,15,R175+7*(IF(O175="",M175,O175)-1)),INDEX(base_p,27-Q175,R175+7*(IF(O175="",M175,O175)-1)))))</f>
        <v>2</v>
      </c>
      <c r="Z175" s="83">
        <f t="shared" si="135"/>
        <v>2</v>
      </c>
      <c r="AA175" s="1092"/>
      <c r="AB175" s="83">
        <f t="shared" si="149"/>
        <v>2</v>
      </c>
      <c r="AC175" s="165"/>
      <c r="AD175" s="165"/>
      <c r="AE175" s="165"/>
      <c r="AF175" s="199" t="s">
        <v>699</v>
      </c>
      <c r="AG175" s="1" t="str">
        <f t="shared" si="136"/>
        <v/>
      </c>
      <c r="AH175" s="1" t="str">
        <f t="shared" si="145"/>
        <v>AB.S.Loc2</v>
      </c>
      <c r="AI175" s="1" t="str">
        <f t="shared" si="137"/>
        <v/>
      </c>
      <c r="AJ175" s="1" t="str">
        <f t="shared" si="138"/>
        <v/>
      </c>
      <c r="AK175">
        <f t="shared" si="139"/>
        <v>1</v>
      </c>
      <c r="AL175">
        <f t="shared" si="140"/>
        <v>1</v>
      </c>
      <c r="AM175">
        <f t="shared" si="141"/>
        <v>1</v>
      </c>
      <c r="AN175">
        <f t="shared" si="142"/>
        <v>1</v>
      </c>
      <c r="AO175">
        <f t="shared" si="143"/>
        <v>1</v>
      </c>
      <c r="AP175">
        <f t="shared" si="144"/>
        <v>22</v>
      </c>
    </row>
    <row r="176" spans="1:42" ht="51.75" customHeight="1" x14ac:dyDescent="0.25">
      <c r="A176" s="894" t="s">
        <v>6488</v>
      </c>
      <c r="B176" s="854" t="s">
        <v>396</v>
      </c>
      <c r="C176" s="856" t="s">
        <v>539</v>
      </c>
      <c r="D176" s="859" t="str">
        <f>Env</f>
        <v>Environnement de travail et équipement des utilisateurs</v>
      </c>
      <c r="E176" s="869" t="str">
        <f>Inop</f>
        <v>Inopérabilité</v>
      </c>
      <c r="F176" s="858" t="s">
        <v>3204</v>
      </c>
      <c r="G176" s="858" t="s">
        <v>4496</v>
      </c>
      <c r="H176" s="863"/>
      <c r="I176" s="24">
        <v>1</v>
      </c>
      <c r="J176" s="83" t="str">
        <f t="shared" si="129"/>
        <v>A</v>
      </c>
      <c r="K176" s="24" t="str">
        <f t="shared" si="130"/>
        <v>D</v>
      </c>
      <c r="L176" s="83">
        <f t="shared" si="131"/>
        <v>2</v>
      </c>
      <c r="M176" s="83">
        <f t="shared" si="132"/>
        <v>2</v>
      </c>
      <c r="N176" s="1070"/>
      <c r="O176" s="1070"/>
      <c r="P176" s="169">
        <f t="shared" si="133"/>
        <v>2</v>
      </c>
      <c r="Q176" s="871">
        <f>1</f>
        <v>1</v>
      </c>
      <c r="R176" s="221">
        <f>S2C02</f>
        <v>1</v>
      </c>
      <c r="S176" s="221">
        <f>1</f>
        <v>1</v>
      </c>
      <c r="T176" s="221">
        <f>S1E02</f>
        <v>1</v>
      </c>
      <c r="U176" s="687"/>
      <c r="V176" s="1071"/>
      <c r="W176" s="1071"/>
      <c r="X176" s="83">
        <f t="shared" si="134"/>
        <v>2</v>
      </c>
      <c r="Y176" s="83" cm="1">
        <f t="array" ref="Y176">IF(M176="","",IF(J176="A",INDEX(base_p,4,R176+7*(IF(O176="",M176,O176)-1)),IF(J176="E",INDEX(base_p,15,R176+7*(IF(O176="",M176,O176)-1)),INDEX(base_p,27-Q176,R176+7*(IF(O176="",M176,O176)-1)))))</f>
        <v>2</v>
      </c>
      <c r="Z176" s="83">
        <f t="shared" si="135"/>
        <v>2</v>
      </c>
      <c r="AA176" s="1092"/>
      <c r="AB176" s="83">
        <f t="shared" si="149"/>
        <v>2</v>
      </c>
      <c r="AC176" s="165"/>
      <c r="AD176" s="380" t="s">
        <v>615</v>
      </c>
      <c r="AE176" s="380"/>
      <c r="AF176" s="199" t="s">
        <v>699</v>
      </c>
      <c r="AG176" s="1" t="str">
        <f t="shared" si="136"/>
        <v/>
      </c>
      <c r="AH176" s="1" t="str">
        <f t="shared" si="145"/>
        <v>AB.S.Gen2</v>
      </c>
      <c r="AI176" s="1" t="str">
        <f t="shared" si="137"/>
        <v/>
      </c>
      <c r="AJ176" s="1" t="str">
        <f t="shared" si="138"/>
        <v/>
      </c>
      <c r="AK176">
        <f t="shared" si="139"/>
        <v>1</v>
      </c>
      <c r="AL176">
        <f t="shared" si="140"/>
        <v>1</v>
      </c>
      <c r="AM176">
        <f t="shared" si="141"/>
        <v>1</v>
      </c>
      <c r="AN176">
        <f t="shared" si="142"/>
        <v>1</v>
      </c>
      <c r="AO176">
        <f t="shared" si="143"/>
        <v>1</v>
      </c>
      <c r="AP176">
        <f t="shared" si="144"/>
        <v>22</v>
      </c>
    </row>
    <row r="177" spans="1:42" ht="18" customHeight="1" x14ac:dyDescent="0.25">
      <c r="A177" s="866" t="s">
        <v>6504</v>
      </c>
      <c r="B177" s="1325"/>
      <c r="C177" s="1325"/>
      <c r="D177" s="1325"/>
      <c r="E177" s="1325"/>
      <c r="F177" s="1325"/>
      <c r="G177" s="1325"/>
      <c r="H177" s="1325"/>
      <c r="I177" s="24"/>
      <c r="J177" s="83"/>
      <c r="K177" s="24"/>
      <c r="L177" s="83"/>
      <c r="M177" s="83"/>
      <c r="N177" s="1070"/>
      <c r="O177" s="1070"/>
      <c r="P177" s="169"/>
      <c r="Q177" s="871"/>
      <c r="R177" s="221"/>
      <c r="S177" s="221"/>
      <c r="T177" s="221"/>
      <c r="U177" s="687">
        <f>S1E02</f>
        <v>1</v>
      </c>
      <c r="V177" s="1071"/>
      <c r="W177" s="1071"/>
      <c r="X177" s="83"/>
      <c r="Y177" s="83"/>
      <c r="Z177" s="83"/>
      <c r="AA177" s="1092"/>
      <c r="AB177" s="83"/>
      <c r="AC177" s="200"/>
      <c r="AD177" s="200"/>
      <c r="AE177" s="200"/>
      <c r="AF177" s="200"/>
      <c r="AG177" s="1"/>
      <c r="AH177" s="1"/>
      <c r="AI177" s="1"/>
      <c r="AJ177" s="1"/>
    </row>
    <row r="178" spans="1:42" ht="44.25" customHeight="1" x14ac:dyDescent="0.25">
      <c r="A178" s="894" t="s">
        <v>6490</v>
      </c>
      <c r="B178" s="854" t="s">
        <v>396</v>
      </c>
      <c r="C178" s="856" t="s">
        <v>268</v>
      </c>
      <c r="D178" s="854" t="str">
        <f>Cfg</f>
        <v>Configuration systèmes et applications</v>
      </c>
      <c r="E178" s="788" t="str">
        <f>Altf</f>
        <v>Altération (non détectée) de fonction</v>
      </c>
      <c r="F178" s="858" t="s">
        <v>3211</v>
      </c>
      <c r="G178" s="858" t="s">
        <v>4638</v>
      </c>
      <c r="H178" s="850" t="s">
        <v>4753</v>
      </c>
      <c r="I178" s="24">
        <v>1</v>
      </c>
      <c r="J178" s="83" t="str">
        <f t="shared" ref="J178:J189" si="150">VLOOKUP($F178,Tab_event,5)</f>
        <v>V</v>
      </c>
      <c r="K178" s="24" t="str">
        <f t="shared" ref="K178:K189" si="151">C178</f>
        <v>I</v>
      </c>
      <c r="L178" s="83">
        <f t="shared" ref="L178:L189" si="152">IF(VLOOKUP($B178,Tab_classif,8,FALSE)=1,VLOOKUP($B178,Tab_classif,IF(C178="D",4,IF(C178="I",5,IF(C178="C",6,7))),FALSE),1)</f>
        <v>2</v>
      </c>
      <c r="M178" s="83">
        <f t="shared" ref="M178:M189" si="153">VLOOKUP($F178,Tab_event,3,FALSE)</f>
        <v>3</v>
      </c>
      <c r="N178" s="1070"/>
      <c r="O178" s="1070"/>
      <c r="P178" s="169">
        <f t="shared" ref="P178:P189" si="154">IF(AND(NOT(L178=""),NOT(M178="")),INDEX(base_g,5-IF(N178="",L178,N178),IF(O178="",M178,O178)),"")</f>
        <v>2</v>
      </c>
      <c r="Q178" s="871">
        <f>S3A08</f>
        <v>1</v>
      </c>
      <c r="R178" s="221">
        <f>1</f>
        <v>1</v>
      </c>
      <c r="S178" s="221">
        <f>1</f>
        <v>1</v>
      </c>
      <c r="T178" s="221">
        <f>1</f>
        <v>1</v>
      </c>
      <c r="U178" s="687"/>
      <c r="V178" s="1071"/>
      <c r="W178" s="1071"/>
      <c r="X178" s="83">
        <f t="shared" ref="X178:X189" si="155">IF(L178="","",IF(K178="D",INDEX(base_i,IF(U178=0,4,5-S178),T178+7*(IF(N178="",L178,N178)-1)),IF(K178="I",INDEX(base_i,IF(U178=0,15,16-S178),T178+7*(IF(N178="",L178,N178)-1)),IF(K178="C",INDEX(base_i,IF(U178=0,26,27-S178),T178+7*(IF(N178="",L178,N178)-1)),INDEX(base_i,38-S178,T178+7*(IF(N178="",L178,N178)-1))))))</f>
        <v>2</v>
      </c>
      <c r="Y178" s="83" cm="1">
        <f t="array" ref="Y178">IF(M178="","",IF(J178="A",INDEX(base_p,4,R178+7*(IF(O178="",M178,O178)-1)),IF(J178="E",INDEX(base_p,15,R178+7*(IF(O178="",M178,O178)-1)),INDEX(base_p,27-Q178,R178+7*(IF(O178="",M178,O178)-1)))))</f>
        <v>3</v>
      </c>
      <c r="Z178" s="83">
        <f t="shared" ref="Z178:Z189" si="156">IF(AO178=1,IF(IndG&gt;1,IF(AND(OR(NOT(X178=""),NOT(V178="")),OR(NOT(Y178=""),NOT(W178="")),I178=1),INDEX(base_g,5-IF(V178="",X178,V178),IF(W178="",Y178,W178)),""),P178),"")</f>
        <v>2</v>
      </c>
      <c r="AA178" s="1092"/>
      <c r="AB178" s="83">
        <f t="shared" si="149"/>
        <v>2</v>
      </c>
      <c r="AC178" s="165" t="s">
        <v>820</v>
      </c>
      <c r="AD178" s="165"/>
      <c r="AE178" s="165"/>
      <c r="AF178" s="380"/>
      <c r="AG178" s="1" t="str">
        <f t="shared" ref="AG178:AG189" si="157">IF($AB178=1,$F178&amp;$AB178,"")</f>
        <v/>
      </c>
      <c r="AH178" s="1" t="str">
        <f t="shared" ref="AH178:AH189" si="158">IF($AB178=2,$F178&amp;$AB178,"")</f>
        <v>AH.L.Fal2</v>
      </c>
      <c r="AI178" s="1" t="str">
        <f t="shared" ref="AI178:AI189" si="159">IF($AB178=3,$F178&amp;$AB178,"")</f>
        <v/>
      </c>
      <c r="AJ178" s="1" t="str">
        <f t="shared" ref="AJ178:AJ189" si="160">IF($AB178=4,$F178&amp;$AB178,"")</f>
        <v/>
      </c>
      <c r="AK178">
        <f t="shared" ref="AK178:AK189" si="161">VLOOKUP($B178,Tab_classif,8,FALSE)</f>
        <v>1</v>
      </c>
      <c r="AL178">
        <f t="shared" ref="AL178:AL189" si="162">VLOOKUP(D178,Tab_ActS,2,FALSE)</f>
        <v>1</v>
      </c>
      <c r="AM178">
        <f t="shared" ref="AM178:AM189" si="163">VLOOKUP(E178,Tab_SDom,3,FALSE)</f>
        <v>1</v>
      </c>
      <c r="AN178">
        <f t="shared" ref="AN178:AN189" si="164">VLOOKUP($F178,Tab_event,4,FALSE)</f>
        <v>1</v>
      </c>
      <c r="AO178">
        <f t="shared" ref="AO178:AO189" si="165">I178*AK178*AL178*AM178*AN178</f>
        <v>1</v>
      </c>
      <c r="AP178">
        <f t="shared" ref="AP178:AP189" si="166">IF(AND(AO178=1,AA178=""),IF(IndG=1,10*L178+M178,10*X178+Y178),"")</f>
        <v>23</v>
      </c>
    </row>
    <row r="179" spans="1:42" ht="44.25" customHeight="1" x14ac:dyDescent="0.25">
      <c r="A179" s="894" t="s">
        <v>6491</v>
      </c>
      <c r="B179" s="854" t="s">
        <v>396</v>
      </c>
      <c r="C179" s="856" t="s">
        <v>268</v>
      </c>
      <c r="D179" s="854" t="str">
        <f>Cfg</f>
        <v>Configuration systèmes et applications</v>
      </c>
      <c r="E179" s="788" t="str">
        <f>Altf</f>
        <v>Altération (non détectée) de fonction</v>
      </c>
      <c r="F179" s="858" t="s">
        <v>3211</v>
      </c>
      <c r="G179" s="858" t="s">
        <v>4638</v>
      </c>
      <c r="H179" s="850" t="s">
        <v>4754</v>
      </c>
      <c r="I179" s="24">
        <v>1</v>
      </c>
      <c r="J179" s="83" t="str">
        <f t="shared" si="150"/>
        <v>V</v>
      </c>
      <c r="K179" s="24" t="str">
        <f t="shared" si="151"/>
        <v>I</v>
      </c>
      <c r="L179" s="83">
        <f t="shared" si="152"/>
        <v>2</v>
      </c>
      <c r="M179" s="83">
        <f t="shared" si="153"/>
        <v>3</v>
      </c>
      <c r="N179" s="1070"/>
      <c r="O179" s="1070"/>
      <c r="P179" s="169">
        <f t="shared" si="154"/>
        <v>2</v>
      </c>
      <c r="Q179" s="871">
        <f>S4A09</f>
        <v>1</v>
      </c>
      <c r="R179" s="221">
        <f>S7B08</f>
        <v>1</v>
      </c>
      <c r="S179" s="221">
        <f>1</f>
        <v>1</v>
      </c>
      <c r="T179" s="221">
        <f>1</f>
        <v>1</v>
      </c>
      <c r="U179" s="687"/>
      <c r="V179" s="1071"/>
      <c r="W179" s="1071"/>
      <c r="X179" s="83">
        <f t="shared" si="155"/>
        <v>2</v>
      </c>
      <c r="Y179" s="83" cm="1">
        <f t="array" ref="Y179">IF(M179="","",IF(J179="A",INDEX(base_p,4,R179+7*(IF(O179="",M179,O179)-1)),IF(J179="E",INDEX(base_p,15,R179+7*(IF(O179="",M179,O179)-1)),INDEX(base_p,27-Q179,R179+7*(IF(O179="",M179,O179)-1)))))</f>
        <v>3</v>
      </c>
      <c r="Z179" s="83">
        <f t="shared" si="156"/>
        <v>2</v>
      </c>
      <c r="AA179" s="1092"/>
      <c r="AB179" s="83">
        <f t="shared" si="149"/>
        <v>2</v>
      </c>
      <c r="AC179" s="165" t="s">
        <v>626</v>
      </c>
      <c r="AD179" s="165" t="s">
        <v>790</v>
      </c>
      <c r="AE179" s="165"/>
      <c r="AF179" s="380"/>
      <c r="AG179" s="1" t="str">
        <f t="shared" si="157"/>
        <v/>
      </c>
      <c r="AH179" s="1" t="str">
        <f t="shared" si="158"/>
        <v>AH.L.Fal2</v>
      </c>
      <c r="AI179" s="1" t="str">
        <f t="shared" si="159"/>
        <v/>
      </c>
      <c r="AJ179" s="1" t="str">
        <f t="shared" si="160"/>
        <v/>
      </c>
      <c r="AK179">
        <f t="shared" si="161"/>
        <v>1</v>
      </c>
      <c r="AL179">
        <f t="shared" si="162"/>
        <v>1</v>
      </c>
      <c r="AM179">
        <f t="shared" si="163"/>
        <v>1</v>
      </c>
      <c r="AN179">
        <f t="shared" si="164"/>
        <v>1</v>
      </c>
      <c r="AO179">
        <f t="shared" si="165"/>
        <v>1</v>
      </c>
      <c r="AP179">
        <f t="shared" si="166"/>
        <v>23</v>
      </c>
    </row>
    <row r="180" spans="1:42" ht="44.25" customHeight="1" x14ac:dyDescent="0.25">
      <c r="A180" s="894" t="s">
        <v>6492</v>
      </c>
      <c r="B180" s="854" t="s">
        <v>396</v>
      </c>
      <c r="C180" s="856" t="s">
        <v>268</v>
      </c>
      <c r="D180" s="854" t="str">
        <f>Cfg</f>
        <v>Configuration systèmes et applications</v>
      </c>
      <c r="E180" s="788" t="str">
        <f>Altf</f>
        <v>Altération (non détectée) de fonction</v>
      </c>
      <c r="F180" s="858" t="s">
        <v>3211</v>
      </c>
      <c r="G180" s="858" t="s">
        <v>4638</v>
      </c>
      <c r="H180" s="850" t="s">
        <v>4755</v>
      </c>
      <c r="I180" s="24">
        <v>1</v>
      </c>
      <c r="J180" s="83" t="str">
        <f t="shared" si="150"/>
        <v>V</v>
      </c>
      <c r="K180" s="24" t="str">
        <f t="shared" si="151"/>
        <v>I</v>
      </c>
      <c r="L180" s="83">
        <f t="shared" si="152"/>
        <v>2</v>
      </c>
      <c r="M180" s="83">
        <f t="shared" si="153"/>
        <v>3</v>
      </c>
      <c r="N180" s="1070"/>
      <c r="O180" s="1070"/>
      <c r="P180" s="169">
        <f t="shared" si="154"/>
        <v>2</v>
      </c>
      <c r="Q180" s="871">
        <f>1</f>
        <v>1</v>
      </c>
      <c r="R180" s="221">
        <f>MAX(S3A07,S4B01)</f>
        <v>1</v>
      </c>
      <c r="S180" s="221">
        <f>1</f>
        <v>1</v>
      </c>
      <c r="T180" s="221">
        <f>1</f>
        <v>1</v>
      </c>
      <c r="U180" s="687"/>
      <c r="V180" s="1071"/>
      <c r="W180" s="1071"/>
      <c r="X180" s="83">
        <f t="shared" si="155"/>
        <v>2</v>
      </c>
      <c r="Y180" s="83" cm="1">
        <f t="array" ref="Y180">IF(M180="","",IF(J180="A",INDEX(base_p,4,R180+7*(IF(O180="",M180,O180)-1)),IF(J180="E",INDEX(base_p,15,R180+7*(IF(O180="",M180,O180)-1)),INDEX(base_p,27-Q180,R180+7*(IF(O180="",M180,O180)-1)))))</f>
        <v>3</v>
      </c>
      <c r="Z180" s="83">
        <f t="shared" si="156"/>
        <v>2</v>
      </c>
      <c r="AA180" s="1092"/>
      <c r="AB180" s="83">
        <f t="shared" si="149"/>
        <v>2</v>
      </c>
      <c r="AC180" s="165"/>
      <c r="AD180" s="165" t="s">
        <v>4510</v>
      </c>
      <c r="AE180" s="165"/>
      <c r="AF180" s="380"/>
      <c r="AG180" s="1" t="str">
        <f t="shared" si="157"/>
        <v/>
      </c>
      <c r="AH180" s="1" t="str">
        <f t="shared" si="158"/>
        <v>AH.L.Fal2</v>
      </c>
      <c r="AI180" s="1" t="str">
        <f t="shared" si="159"/>
        <v/>
      </c>
      <c r="AJ180" s="1" t="str">
        <f t="shared" si="160"/>
        <v/>
      </c>
      <c r="AK180">
        <f t="shared" si="161"/>
        <v>1</v>
      </c>
      <c r="AL180">
        <f t="shared" si="162"/>
        <v>1</v>
      </c>
      <c r="AM180">
        <f t="shared" si="163"/>
        <v>1</v>
      </c>
      <c r="AN180">
        <f t="shared" si="164"/>
        <v>1</v>
      </c>
      <c r="AO180">
        <f t="shared" si="165"/>
        <v>1</v>
      </c>
      <c r="AP180">
        <f t="shared" si="166"/>
        <v>23</v>
      </c>
    </row>
    <row r="181" spans="1:42" ht="44.25" customHeight="1" x14ac:dyDescent="0.25">
      <c r="A181" s="854" t="s">
        <v>6496</v>
      </c>
      <c r="B181" s="854" t="s">
        <v>396</v>
      </c>
      <c r="C181" s="856" t="s">
        <v>268</v>
      </c>
      <c r="D181" s="854" t="str">
        <f>Cfg</f>
        <v>Configuration systèmes et applications</v>
      </c>
      <c r="E181" s="788" t="str">
        <f>Altf</f>
        <v>Altération (non détectée) de fonction</v>
      </c>
      <c r="F181" s="858" t="s">
        <v>454</v>
      </c>
      <c r="G181" s="795" t="s">
        <v>6278</v>
      </c>
      <c r="H181" s="870"/>
      <c r="I181" s="24">
        <v>1</v>
      </c>
      <c r="J181" s="83" t="str">
        <f t="shared" si="150"/>
        <v>A</v>
      </c>
      <c r="K181" s="24" t="str">
        <f t="shared" si="151"/>
        <v>I</v>
      </c>
      <c r="L181" s="83">
        <f t="shared" si="152"/>
        <v>2</v>
      </c>
      <c r="M181" s="83">
        <f t="shared" si="153"/>
        <v>3</v>
      </c>
      <c r="N181" s="1070"/>
      <c r="O181" s="1070"/>
      <c r="P181" s="169">
        <f t="shared" si="154"/>
        <v>2</v>
      </c>
      <c r="Q181" s="871">
        <f>1</f>
        <v>1</v>
      </c>
      <c r="R181" s="221">
        <f>S5E04</f>
        <v>1</v>
      </c>
      <c r="S181" s="221">
        <f>1</f>
        <v>1</v>
      </c>
      <c r="T181" s="221">
        <f>1</f>
        <v>1</v>
      </c>
      <c r="U181" s="687"/>
      <c r="V181" s="1071"/>
      <c r="W181" s="1071"/>
      <c r="X181" s="83">
        <f t="shared" si="155"/>
        <v>2</v>
      </c>
      <c r="Y181" s="83" cm="1">
        <f t="array" ref="Y181">IF(M181="","",IF(J181="A",INDEX(base_p,4,R181+7*(IF(O181="",M181,O181)-1)),IF(J181="E",INDEX(base_p,15,R181+7*(IF(O181="",M181,O181)-1)),INDEX(base_p,27-Q181,R181+7*(IF(O181="",M181,O181)-1)))))</f>
        <v>3</v>
      </c>
      <c r="Z181" s="83">
        <f t="shared" si="156"/>
        <v>2</v>
      </c>
      <c r="AA181" s="1092"/>
      <c r="AB181" s="83">
        <f>IF(OR(AA181="A",AA181="a",AA181="E",AA181="e",AA181="T",AA181="t",Z181=""),"",Z181)</f>
        <v>2</v>
      </c>
      <c r="AC181" s="165"/>
      <c r="AD181" s="167" t="s">
        <v>4591</v>
      </c>
      <c r="AE181" s="165"/>
      <c r="AF181" s="380"/>
      <c r="AG181" s="1" t="str">
        <f t="shared" si="157"/>
        <v/>
      </c>
      <c r="AH181" s="1" t="str">
        <f t="shared" si="158"/>
        <v>AC.M.Equ2</v>
      </c>
      <c r="AI181" s="1" t="str">
        <f t="shared" si="159"/>
        <v/>
      </c>
      <c r="AJ181" s="1" t="str">
        <f t="shared" si="160"/>
        <v/>
      </c>
      <c r="AK181">
        <f t="shared" si="161"/>
        <v>1</v>
      </c>
      <c r="AL181">
        <f t="shared" si="162"/>
        <v>1</v>
      </c>
      <c r="AM181">
        <f t="shared" si="163"/>
        <v>1</v>
      </c>
      <c r="AN181">
        <f t="shared" si="164"/>
        <v>1</v>
      </c>
      <c r="AO181">
        <f t="shared" si="165"/>
        <v>1</v>
      </c>
      <c r="AP181">
        <f t="shared" si="166"/>
        <v>23</v>
      </c>
    </row>
    <row r="182" spans="1:42" ht="30" customHeight="1" x14ac:dyDescent="0.25">
      <c r="A182" s="894" t="s">
        <v>6494</v>
      </c>
      <c r="B182" s="854" t="s">
        <v>396</v>
      </c>
      <c r="C182" s="856" t="s">
        <v>268</v>
      </c>
      <c r="D182" s="854" t="str">
        <f>Msl</f>
        <v>Media support de logiciel</v>
      </c>
      <c r="E182" s="788" t="str">
        <f>Crfx</f>
        <v>Création de faux</v>
      </c>
      <c r="F182" s="858" t="s">
        <v>3224</v>
      </c>
      <c r="G182" s="895" t="s">
        <v>6542</v>
      </c>
      <c r="H182" s="876" t="s">
        <v>6493</v>
      </c>
      <c r="I182" s="24">
        <v>1</v>
      </c>
      <c r="J182" s="83" t="str">
        <f t="shared" si="150"/>
        <v>V</v>
      </c>
      <c r="K182" s="24" t="str">
        <f t="shared" si="151"/>
        <v>I</v>
      </c>
      <c r="L182" s="83">
        <f t="shared" si="152"/>
        <v>2</v>
      </c>
      <c r="M182" s="83">
        <f t="shared" si="153"/>
        <v>3</v>
      </c>
      <c r="N182" s="1070"/>
      <c r="O182" s="1070"/>
      <c r="P182" s="169">
        <f t="shared" si="154"/>
        <v>2</v>
      </c>
      <c r="Q182" s="871">
        <f>S2B03</f>
        <v>1</v>
      </c>
      <c r="R182" s="221">
        <f>S4B01</f>
        <v>1</v>
      </c>
      <c r="S182" s="221">
        <f>1</f>
        <v>1</v>
      </c>
      <c r="T182" s="221">
        <f>1</f>
        <v>1</v>
      </c>
      <c r="U182" s="687"/>
      <c r="V182" s="1071"/>
      <c r="W182" s="1071"/>
      <c r="X182" s="83">
        <f t="shared" si="155"/>
        <v>2</v>
      </c>
      <c r="Y182" s="83" cm="1">
        <f t="array" ref="Y182">IF(M182="","",IF(J182="A",INDEX(base_p,4,R182+7*(IF(O182="",M182,O182)-1)),IF(J182="E",INDEX(base_p,15,R182+7*(IF(O182="",M182,O182)-1)),INDEX(base_p,27-Q182,R182+7*(IF(O182="",M182,O182)-1)))))</f>
        <v>3</v>
      </c>
      <c r="Z182" s="83">
        <f t="shared" si="156"/>
        <v>2</v>
      </c>
      <c r="AA182" s="1092"/>
      <c r="AB182" s="83">
        <f t="shared" si="149"/>
        <v>2</v>
      </c>
      <c r="AC182" s="199" t="s">
        <v>618</v>
      </c>
      <c r="AD182" s="223" t="s">
        <v>627</v>
      </c>
      <c r="AE182" s="165"/>
      <c r="AF182" s="380"/>
      <c r="AG182" s="1" t="str">
        <f t="shared" si="157"/>
        <v/>
      </c>
      <c r="AH182" s="1" t="str">
        <f t="shared" si="158"/>
        <v>AH.P.Vol2</v>
      </c>
      <c r="AI182" s="1" t="str">
        <f t="shared" si="159"/>
        <v/>
      </c>
      <c r="AJ182" s="1" t="str">
        <f t="shared" si="160"/>
        <v/>
      </c>
      <c r="AK182">
        <f t="shared" si="161"/>
        <v>1</v>
      </c>
      <c r="AL182">
        <f t="shared" si="162"/>
        <v>1</v>
      </c>
      <c r="AM182">
        <f t="shared" si="163"/>
        <v>1</v>
      </c>
      <c r="AN182">
        <f t="shared" si="164"/>
        <v>1</v>
      </c>
      <c r="AO182">
        <f t="shared" si="165"/>
        <v>1</v>
      </c>
      <c r="AP182">
        <f t="shared" si="166"/>
        <v>23</v>
      </c>
    </row>
    <row r="183" spans="1:42" ht="36" customHeight="1" x14ac:dyDescent="0.25">
      <c r="A183" s="894" t="s">
        <v>6495</v>
      </c>
      <c r="B183" s="854" t="s">
        <v>396</v>
      </c>
      <c r="C183" s="856" t="s">
        <v>268</v>
      </c>
      <c r="D183" s="854" t="str">
        <f>Msl</f>
        <v>Media support de logiciel</v>
      </c>
      <c r="E183" s="788" t="str">
        <f>Crfx</f>
        <v>Création de faux</v>
      </c>
      <c r="F183" s="858" t="s">
        <v>3224</v>
      </c>
      <c r="G183" s="895" t="s">
        <v>6542</v>
      </c>
      <c r="H183" s="848" t="s">
        <v>4726</v>
      </c>
      <c r="I183" s="24">
        <v>1</v>
      </c>
      <c r="J183" s="83" t="str">
        <f t="shared" si="150"/>
        <v>V</v>
      </c>
      <c r="K183" s="24" t="str">
        <f t="shared" si="151"/>
        <v>I</v>
      </c>
      <c r="L183" s="83">
        <f t="shared" si="152"/>
        <v>2</v>
      </c>
      <c r="M183" s="83">
        <f t="shared" si="153"/>
        <v>3</v>
      </c>
      <c r="N183" s="1070"/>
      <c r="O183" s="1070"/>
      <c r="P183" s="169">
        <f t="shared" si="154"/>
        <v>2</v>
      </c>
      <c r="Q183" s="871">
        <f>S2B03</f>
        <v>1</v>
      </c>
      <c r="R183" s="221">
        <f>MAX(MIN(S2B01,S2B02),S4B01)</f>
        <v>1</v>
      </c>
      <c r="S183" s="221">
        <f>1</f>
        <v>1</v>
      </c>
      <c r="T183" s="221">
        <f>1</f>
        <v>1</v>
      </c>
      <c r="U183" s="687"/>
      <c r="V183" s="1071"/>
      <c r="W183" s="1071"/>
      <c r="X183" s="83">
        <f t="shared" si="155"/>
        <v>2</v>
      </c>
      <c r="Y183" s="83" cm="1">
        <f t="array" ref="Y183">IF(M183="","",IF(J183="A",INDEX(base_p,4,R183+7*(IF(O183="",M183,O183)-1)),IF(J183="E",INDEX(base_p,15,R183+7*(IF(O183="",M183,O183)-1)),INDEX(base_p,27-Q183,R183+7*(IF(O183="",M183,O183)-1)))))</f>
        <v>3</v>
      </c>
      <c r="Z183" s="83">
        <f t="shared" si="156"/>
        <v>2</v>
      </c>
      <c r="AA183" s="1092"/>
      <c r="AB183" s="83">
        <f t="shared" si="149"/>
        <v>2</v>
      </c>
      <c r="AC183" s="199" t="s">
        <v>618</v>
      </c>
      <c r="AD183" s="196" t="s">
        <v>6581</v>
      </c>
      <c r="AE183" s="165"/>
      <c r="AF183" s="380"/>
      <c r="AG183" s="1" t="str">
        <f t="shared" si="157"/>
        <v/>
      </c>
      <c r="AH183" s="1" t="str">
        <f t="shared" si="158"/>
        <v>AH.P.Vol2</v>
      </c>
      <c r="AI183" s="1" t="str">
        <f t="shared" si="159"/>
        <v/>
      </c>
      <c r="AJ183" s="1" t="str">
        <f t="shared" si="160"/>
        <v/>
      </c>
      <c r="AK183">
        <f t="shared" si="161"/>
        <v>1</v>
      </c>
      <c r="AL183">
        <f t="shared" si="162"/>
        <v>1</v>
      </c>
      <c r="AM183">
        <f t="shared" si="163"/>
        <v>1</v>
      </c>
      <c r="AN183">
        <f t="shared" si="164"/>
        <v>1</v>
      </c>
      <c r="AO183">
        <f t="shared" si="165"/>
        <v>1</v>
      </c>
      <c r="AP183">
        <f t="shared" si="166"/>
        <v>23</v>
      </c>
    </row>
    <row r="184" spans="1:42" ht="42.75" customHeight="1" x14ac:dyDescent="0.25">
      <c r="A184" s="894" t="s">
        <v>6497</v>
      </c>
      <c r="B184" s="854" t="s">
        <v>396</v>
      </c>
      <c r="C184" s="856" t="s">
        <v>268</v>
      </c>
      <c r="D184" s="854" t="str">
        <f>Equ</f>
        <v>Equipement de l'Infrastructure informatique</v>
      </c>
      <c r="E184" s="788" t="str">
        <f t="shared" ref="E184:E189" si="167">Altf</f>
        <v>Altération (non détectée) de fonction</v>
      </c>
      <c r="F184" s="858" t="s">
        <v>4367</v>
      </c>
      <c r="G184" s="858" t="s">
        <v>4799</v>
      </c>
      <c r="H184" s="876" t="s">
        <v>6476</v>
      </c>
      <c r="I184" s="24">
        <v>1</v>
      </c>
      <c r="J184" s="83" t="str">
        <f t="shared" si="150"/>
        <v>V</v>
      </c>
      <c r="K184" s="24" t="str">
        <f t="shared" si="151"/>
        <v>I</v>
      </c>
      <c r="L184" s="83">
        <f t="shared" si="152"/>
        <v>2</v>
      </c>
      <c r="M184" s="83">
        <f t="shared" si="153"/>
        <v>2</v>
      </c>
      <c r="N184" s="1070"/>
      <c r="O184" s="1070"/>
      <c r="P184" s="169">
        <f t="shared" si="154"/>
        <v>2</v>
      </c>
      <c r="Q184" s="871">
        <f>S2B03</f>
        <v>1</v>
      </c>
      <c r="R184" s="221">
        <f>1</f>
        <v>1</v>
      </c>
      <c r="S184" s="221">
        <f>1</f>
        <v>1</v>
      </c>
      <c r="T184" s="221">
        <f>1</f>
        <v>1</v>
      </c>
      <c r="U184" s="687"/>
      <c r="V184" s="1071"/>
      <c r="W184" s="1071"/>
      <c r="X184" s="83">
        <f t="shared" si="155"/>
        <v>2</v>
      </c>
      <c r="Y184" s="83" cm="1">
        <f t="array" ref="Y184">IF(M184="","",IF(J184="A",INDEX(base_p,4,R184+7*(IF(O184="",M184,O184)-1)),IF(J184="E",INDEX(base_p,15,R184+7*(IF(O184="",M184,O184)-1)),INDEX(base_p,27-Q184,R184+7*(IF(O184="",M184,O184)-1)))))</f>
        <v>2</v>
      </c>
      <c r="Z184" s="83">
        <f t="shared" si="156"/>
        <v>2</v>
      </c>
      <c r="AA184" s="1092"/>
      <c r="AB184" s="83">
        <f t="shared" si="149"/>
        <v>2</v>
      </c>
      <c r="AC184" s="165" t="s">
        <v>618</v>
      </c>
      <c r="AD184" s="165"/>
      <c r="AE184" s="165"/>
      <c r="AF184" s="380"/>
      <c r="AG184" s="1" t="str">
        <f t="shared" si="157"/>
        <v/>
      </c>
      <c r="AH184" s="1" t="str">
        <f t="shared" si="158"/>
        <v>AH.P.Fal2</v>
      </c>
      <c r="AI184" s="1" t="str">
        <f t="shared" si="159"/>
        <v/>
      </c>
      <c r="AJ184" s="1" t="str">
        <f t="shared" si="160"/>
        <v/>
      </c>
      <c r="AK184">
        <f t="shared" si="161"/>
        <v>1</v>
      </c>
      <c r="AL184">
        <f t="shared" si="162"/>
        <v>1</v>
      </c>
      <c r="AM184">
        <f t="shared" si="163"/>
        <v>1</v>
      </c>
      <c r="AN184">
        <f t="shared" si="164"/>
        <v>1</v>
      </c>
      <c r="AO184">
        <f t="shared" si="165"/>
        <v>1</v>
      </c>
      <c r="AP184">
        <f t="shared" si="166"/>
        <v>22</v>
      </c>
    </row>
    <row r="185" spans="1:42" ht="47.25" customHeight="1" x14ac:dyDescent="0.25">
      <c r="A185" s="894" t="s">
        <v>6498</v>
      </c>
      <c r="B185" s="854" t="s">
        <v>396</v>
      </c>
      <c r="C185" s="856" t="s">
        <v>268</v>
      </c>
      <c r="D185" s="854" t="str">
        <f>Equ</f>
        <v>Equipement de l'Infrastructure informatique</v>
      </c>
      <c r="E185" s="788" t="str">
        <f t="shared" si="167"/>
        <v>Altération (non détectée) de fonction</v>
      </c>
      <c r="F185" s="858" t="s">
        <v>4367</v>
      </c>
      <c r="G185" s="858" t="s">
        <v>4799</v>
      </c>
      <c r="H185" s="850" t="s">
        <v>4726</v>
      </c>
      <c r="I185" s="24">
        <v>1</v>
      </c>
      <c r="J185" s="83" t="str">
        <f t="shared" si="150"/>
        <v>V</v>
      </c>
      <c r="K185" s="24" t="str">
        <f t="shared" si="151"/>
        <v>I</v>
      </c>
      <c r="L185" s="83">
        <f t="shared" si="152"/>
        <v>2</v>
      </c>
      <c r="M185" s="83">
        <f t="shared" si="153"/>
        <v>2</v>
      </c>
      <c r="N185" s="1070"/>
      <c r="O185" s="1070"/>
      <c r="P185" s="169">
        <f t="shared" si="154"/>
        <v>2</v>
      </c>
      <c r="Q185" s="871">
        <f>S2B03</f>
        <v>1</v>
      </c>
      <c r="R185" s="221">
        <f>MIN(S2B01,S2B02)</f>
        <v>1</v>
      </c>
      <c r="S185" s="221">
        <f>1</f>
        <v>1</v>
      </c>
      <c r="T185" s="221">
        <f>1</f>
        <v>1</v>
      </c>
      <c r="U185" s="687"/>
      <c r="V185" s="1071"/>
      <c r="W185" s="1071"/>
      <c r="X185" s="83">
        <f t="shared" si="155"/>
        <v>2</v>
      </c>
      <c r="Y185" s="83" cm="1">
        <f t="array" ref="Y185">IF(M185="","",IF(J185="A",INDEX(base_p,4,R185+7*(IF(O185="",M185,O185)-1)),IF(J185="E",INDEX(base_p,15,R185+7*(IF(O185="",M185,O185)-1)),INDEX(base_p,27-Q185,R185+7*(IF(O185="",M185,O185)-1)))))</f>
        <v>2</v>
      </c>
      <c r="Z185" s="83">
        <f t="shared" si="156"/>
        <v>2</v>
      </c>
      <c r="AA185" s="1092"/>
      <c r="AB185" s="83">
        <f t="shared" si="149"/>
        <v>2</v>
      </c>
      <c r="AC185" s="165" t="s">
        <v>618</v>
      </c>
      <c r="AD185" s="165" t="s">
        <v>2049</v>
      </c>
      <c r="AE185" s="165"/>
      <c r="AF185" s="380"/>
      <c r="AG185" s="1" t="str">
        <f t="shared" si="157"/>
        <v/>
      </c>
      <c r="AH185" s="1" t="str">
        <f t="shared" si="158"/>
        <v>AH.P.Fal2</v>
      </c>
      <c r="AI185" s="1" t="str">
        <f t="shared" si="159"/>
        <v/>
      </c>
      <c r="AJ185" s="1" t="str">
        <f t="shared" si="160"/>
        <v/>
      </c>
      <c r="AK185">
        <f t="shared" si="161"/>
        <v>1</v>
      </c>
      <c r="AL185">
        <f t="shared" si="162"/>
        <v>1</v>
      </c>
      <c r="AM185">
        <f t="shared" si="163"/>
        <v>1</v>
      </c>
      <c r="AN185">
        <f t="shared" si="164"/>
        <v>1</v>
      </c>
      <c r="AO185">
        <f t="shared" si="165"/>
        <v>1</v>
      </c>
      <c r="AP185">
        <f t="shared" si="166"/>
        <v>22</v>
      </c>
    </row>
    <row r="186" spans="1:42" ht="46.5" customHeight="1" x14ac:dyDescent="0.25">
      <c r="A186" s="894" t="s">
        <v>6500</v>
      </c>
      <c r="B186" s="854" t="s">
        <v>396</v>
      </c>
      <c r="C186" s="856" t="s">
        <v>268</v>
      </c>
      <c r="D186" s="859" t="str">
        <f>Env</f>
        <v>Environnement de travail et équipement des utilisateurs</v>
      </c>
      <c r="E186" s="788" t="str">
        <f t="shared" si="167"/>
        <v>Altération (non détectée) de fonction</v>
      </c>
      <c r="F186" s="858" t="s">
        <v>4367</v>
      </c>
      <c r="G186" s="858" t="s">
        <v>4800</v>
      </c>
      <c r="H186" s="876" t="s">
        <v>6499</v>
      </c>
      <c r="I186" s="24">
        <v>1</v>
      </c>
      <c r="J186" s="83" t="str">
        <f t="shared" si="150"/>
        <v>V</v>
      </c>
      <c r="K186" s="24" t="str">
        <f t="shared" si="151"/>
        <v>I</v>
      </c>
      <c r="L186" s="83">
        <f t="shared" si="152"/>
        <v>2</v>
      </c>
      <c r="M186" s="83">
        <f t="shared" si="153"/>
        <v>2</v>
      </c>
      <c r="N186" s="1070"/>
      <c r="O186" s="1070"/>
      <c r="P186" s="169">
        <f t="shared" si="154"/>
        <v>2</v>
      </c>
      <c r="Q186" s="871">
        <f>S2D03</f>
        <v>1</v>
      </c>
      <c r="R186" s="221">
        <f>S6A01</f>
        <v>1</v>
      </c>
      <c r="S186" s="221">
        <f>1</f>
        <v>1</v>
      </c>
      <c r="T186" s="221">
        <f>1</f>
        <v>1</v>
      </c>
      <c r="U186" s="687"/>
      <c r="V186" s="1071"/>
      <c r="W186" s="1071"/>
      <c r="X186" s="83">
        <f t="shared" si="155"/>
        <v>2</v>
      </c>
      <c r="Y186" s="83" cm="1">
        <f t="array" ref="Y186">IF(M186="","",IF(J186="A",INDEX(base_p,4,R186+7*(IF(O186="",M186,O186)-1)),IF(J186="E",INDEX(base_p,15,R186+7*(IF(O186="",M186,O186)-1)),INDEX(base_p,27-Q186,R186+7*(IF(O186="",M186,O186)-1)))))</f>
        <v>2</v>
      </c>
      <c r="Z186" s="83">
        <f t="shared" si="156"/>
        <v>2</v>
      </c>
      <c r="AA186" s="1092"/>
      <c r="AB186" s="83">
        <f t="shared" si="149"/>
        <v>2</v>
      </c>
      <c r="AC186" s="165" t="s">
        <v>614</v>
      </c>
      <c r="AD186" s="165" t="s">
        <v>644</v>
      </c>
      <c r="AE186" s="165"/>
      <c r="AF186" s="380"/>
      <c r="AG186" s="1" t="str">
        <f t="shared" si="157"/>
        <v/>
      </c>
      <c r="AH186" s="1" t="str">
        <f t="shared" si="158"/>
        <v>AH.P.Fal2</v>
      </c>
      <c r="AI186" s="1" t="str">
        <f t="shared" si="159"/>
        <v/>
      </c>
      <c r="AJ186" s="1" t="str">
        <f t="shared" si="160"/>
        <v/>
      </c>
      <c r="AK186">
        <f t="shared" si="161"/>
        <v>1</v>
      </c>
      <c r="AL186">
        <f t="shared" si="162"/>
        <v>1</v>
      </c>
      <c r="AM186">
        <f t="shared" si="163"/>
        <v>1</v>
      </c>
      <c r="AN186">
        <f t="shared" si="164"/>
        <v>1</v>
      </c>
      <c r="AO186">
        <f t="shared" si="165"/>
        <v>1</v>
      </c>
      <c r="AP186">
        <f t="shared" si="166"/>
        <v>22</v>
      </c>
    </row>
    <row r="187" spans="1:42" ht="46.5" customHeight="1" x14ac:dyDescent="0.25">
      <c r="A187" s="894" t="s">
        <v>6501</v>
      </c>
      <c r="B187" s="854" t="s">
        <v>396</v>
      </c>
      <c r="C187" s="856" t="s">
        <v>268</v>
      </c>
      <c r="D187" s="859" t="str">
        <f>Env</f>
        <v>Environnement de travail et équipement des utilisateurs</v>
      </c>
      <c r="E187" s="788" t="str">
        <f t="shared" si="167"/>
        <v>Altération (non détectée) de fonction</v>
      </c>
      <c r="F187" s="858" t="s">
        <v>4367</v>
      </c>
      <c r="G187" s="858" t="s">
        <v>4800</v>
      </c>
      <c r="H187" s="850" t="s">
        <v>4756</v>
      </c>
      <c r="I187" s="24">
        <v>1</v>
      </c>
      <c r="J187" s="83" t="str">
        <f t="shared" si="150"/>
        <v>V</v>
      </c>
      <c r="K187" s="24" t="str">
        <f t="shared" si="151"/>
        <v>I</v>
      </c>
      <c r="L187" s="83">
        <f t="shared" si="152"/>
        <v>2</v>
      </c>
      <c r="M187" s="83">
        <f t="shared" si="153"/>
        <v>2</v>
      </c>
      <c r="N187" s="1070"/>
      <c r="O187" s="1070"/>
      <c r="P187" s="169">
        <f t="shared" si="154"/>
        <v>2</v>
      </c>
      <c r="Q187" s="871">
        <f>S2D03</f>
        <v>1</v>
      </c>
      <c r="R187" s="221">
        <f>MAX(MIN(S2D01,S2D02),S6A01)</f>
        <v>1</v>
      </c>
      <c r="S187" s="221">
        <f>1</f>
        <v>1</v>
      </c>
      <c r="T187" s="221">
        <f>1</f>
        <v>1</v>
      </c>
      <c r="U187" s="687"/>
      <c r="V187" s="1071"/>
      <c r="W187" s="1071"/>
      <c r="X187" s="83">
        <f t="shared" si="155"/>
        <v>2</v>
      </c>
      <c r="Y187" s="83" cm="1">
        <f t="array" ref="Y187">IF(M187="","",IF(J187="A",INDEX(base_p,4,R187+7*(IF(O187="",M187,O187)-1)),IF(J187="E",INDEX(base_p,15,R187+7*(IF(O187="",M187,O187)-1)),INDEX(base_p,27-Q187,R187+7*(IF(O187="",M187,O187)-1)))))</f>
        <v>2</v>
      </c>
      <c r="Z187" s="83">
        <f t="shared" si="156"/>
        <v>2</v>
      </c>
      <c r="AA187" s="1092"/>
      <c r="AB187" s="83">
        <f t="shared" si="149"/>
        <v>2</v>
      </c>
      <c r="AC187" s="165" t="s">
        <v>614</v>
      </c>
      <c r="AD187" s="165" t="s">
        <v>4511</v>
      </c>
      <c r="AE187" s="165"/>
      <c r="AF187" s="380"/>
      <c r="AG187" s="1" t="str">
        <f t="shared" si="157"/>
        <v/>
      </c>
      <c r="AH187" s="1" t="str">
        <f t="shared" si="158"/>
        <v>AH.P.Fal2</v>
      </c>
      <c r="AI187" s="1" t="str">
        <f t="shared" si="159"/>
        <v/>
      </c>
      <c r="AJ187" s="1" t="str">
        <f t="shared" si="160"/>
        <v/>
      </c>
      <c r="AK187">
        <f t="shared" si="161"/>
        <v>1</v>
      </c>
      <c r="AL187">
        <f t="shared" si="162"/>
        <v>1</v>
      </c>
      <c r="AM187">
        <f t="shared" si="163"/>
        <v>1</v>
      </c>
      <c r="AN187">
        <f t="shared" si="164"/>
        <v>1</v>
      </c>
      <c r="AO187">
        <f t="shared" si="165"/>
        <v>1</v>
      </c>
      <c r="AP187">
        <f t="shared" si="166"/>
        <v>22</v>
      </c>
    </row>
    <row r="188" spans="1:42" ht="56.25" customHeight="1" x14ac:dyDescent="0.25">
      <c r="A188" s="894" t="s">
        <v>6502</v>
      </c>
      <c r="B188" s="854" t="s">
        <v>396</v>
      </c>
      <c r="C188" s="856" t="s">
        <v>268</v>
      </c>
      <c r="D188" s="859" t="str">
        <f>Env</f>
        <v>Environnement de travail et équipement des utilisateurs</v>
      </c>
      <c r="E188" s="788" t="str">
        <f t="shared" si="167"/>
        <v>Altération (non détectée) de fonction</v>
      </c>
      <c r="F188" s="858" t="s">
        <v>4367</v>
      </c>
      <c r="G188" s="858" t="s">
        <v>4800</v>
      </c>
      <c r="H188" s="850" t="s">
        <v>4757</v>
      </c>
      <c r="I188" s="24">
        <v>1</v>
      </c>
      <c r="J188" s="83" t="str">
        <f t="shared" si="150"/>
        <v>V</v>
      </c>
      <c r="K188" s="24" t="str">
        <f t="shared" si="151"/>
        <v>I</v>
      </c>
      <c r="L188" s="83">
        <f t="shared" si="152"/>
        <v>2</v>
      </c>
      <c r="M188" s="83">
        <f t="shared" si="153"/>
        <v>2</v>
      </c>
      <c r="N188" s="1070"/>
      <c r="O188" s="1070"/>
      <c r="P188" s="169">
        <f t="shared" si="154"/>
        <v>2</v>
      </c>
      <c r="Q188" s="871">
        <f>S4A09</f>
        <v>1</v>
      </c>
      <c r="R188" s="221">
        <f>1</f>
        <v>1</v>
      </c>
      <c r="S188" s="221">
        <f>1</f>
        <v>1</v>
      </c>
      <c r="T188" s="221">
        <f>1</f>
        <v>1</v>
      </c>
      <c r="U188" s="687"/>
      <c r="V188" s="1071"/>
      <c r="W188" s="1071"/>
      <c r="X188" s="83">
        <f t="shared" si="155"/>
        <v>2</v>
      </c>
      <c r="Y188" s="83" cm="1">
        <f t="array" ref="Y188">IF(M188="","",IF(J188="A",INDEX(base_p,4,R188+7*(IF(O188="",M188,O188)-1)),IF(J188="E",INDEX(base_p,15,R188+7*(IF(O188="",M188,O188)-1)),INDEX(base_p,27-Q188,R188+7*(IF(O188="",M188,O188)-1)))))</f>
        <v>2</v>
      </c>
      <c r="Z188" s="83">
        <f t="shared" si="156"/>
        <v>2</v>
      </c>
      <c r="AA188" s="1092"/>
      <c r="AB188" s="83">
        <f t="shared" si="149"/>
        <v>2</v>
      </c>
      <c r="AC188" s="165" t="s">
        <v>626</v>
      </c>
      <c r="AD188" s="165"/>
      <c r="AE188" s="165"/>
      <c r="AF188" s="380"/>
      <c r="AG188" s="1" t="str">
        <f t="shared" si="157"/>
        <v/>
      </c>
      <c r="AH188" s="1" t="str">
        <f t="shared" si="158"/>
        <v>AH.P.Fal2</v>
      </c>
      <c r="AI188" s="1" t="str">
        <f t="shared" si="159"/>
        <v/>
      </c>
      <c r="AJ188" s="1" t="str">
        <f t="shared" si="160"/>
        <v/>
      </c>
      <c r="AK188">
        <f t="shared" si="161"/>
        <v>1</v>
      </c>
      <c r="AL188">
        <f t="shared" si="162"/>
        <v>1</v>
      </c>
      <c r="AM188">
        <f t="shared" si="163"/>
        <v>1</v>
      </c>
      <c r="AN188">
        <f t="shared" si="164"/>
        <v>1</v>
      </c>
      <c r="AO188">
        <f t="shared" si="165"/>
        <v>1</v>
      </c>
      <c r="AP188">
        <f t="shared" si="166"/>
        <v>22</v>
      </c>
    </row>
    <row r="189" spans="1:42" ht="56.25" customHeight="1" x14ac:dyDescent="0.25">
      <c r="A189" s="894" t="s">
        <v>6503</v>
      </c>
      <c r="B189" s="854" t="s">
        <v>396</v>
      </c>
      <c r="C189" s="856" t="s">
        <v>268</v>
      </c>
      <c r="D189" s="859" t="str">
        <f>Env</f>
        <v>Environnement de travail et équipement des utilisateurs</v>
      </c>
      <c r="E189" s="788" t="str">
        <f t="shared" si="167"/>
        <v>Altération (non détectée) de fonction</v>
      </c>
      <c r="F189" s="858" t="s">
        <v>4367</v>
      </c>
      <c r="G189" s="858" t="s">
        <v>4800</v>
      </c>
      <c r="H189" s="850" t="s">
        <v>4758</v>
      </c>
      <c r="I189" s="24">
        <v>1</v>
      </c>
      <c r="J189" s="83" t="str">
        <f t="shared" si="150"/>
        <v>V</v>
      </c>
      <c r="K189" s="24" t="str">
        <f t="shared" si="151"/>
        <v>I</v>
      </c>
      <c r="L189" s="83">
        <f t="shared" si="152"/>
        <v>2</v>
      </c>
      <c r="M189" s="83">
        <f t="shared" si="153"/>
        <v>2</v>
      </c>
      <c r="N189" s="1070"/>
      <c r="O189" s="1070"/>
      <c r="P189" s="169">
        <f t="shared" si="154"/>
        <v>2</v>
      </c>
      <c r="Q189" s="871">
        <f>1</f>
        <v>1</v>
      </c>
      <c r="R189" s="221">
        <f>S6A01</f>
        <v>1</v>
      </c>
      <c r="S189" s="221">
        <f>1</f>
        <v>1</v>
      </c>
      <c r="T189" s="221">
        <f>1</f>
        <v>1</v>
      </c>
      <c r="U189" s="687"/>
      <c r="V189" s="1071"/>
      <c r="W189" s="1071"/>
      <c r="X189" s="83">
        <f t="shared" si="155"/>
        <v>2</v>
      </c>
      <c r="Y189" s="83" cm="1">
        <f t="array" ref="Y189">IF(M189="","",IF(J189="A",INDEX(base_p,4,R189+7*(IF(O189="",M189,O189)-1)),IF(J189="E",INDEX(base_p,15,R189+7*(IF(O189="",M189,O189)-1)),INDEX(base_p,27-Q189,R189+7*(IF(O189="",M189,O189)-1)))))</f>
        <v>2</v>
      </c>
      <c r="Z189" s="83">
        <f t="shared" si="156"/>
        <v>2</v>
      </c>
      <c r="AA189" s="1092"/>
      <c r="AB189" s="83">
        <f t="shared" si="149"/>
        <v>2</v>
      </c>
      <c r="AC189" s="165"/>
      <c r="AD189" s="165" t="s">
        <v>644</v>
      </c>
      <c r="AE189" s="165"/>
      <c r="AF189" s="380"/>
      <c r="AG189" s="1" t="str">
        <f t="shared" si="157"/>
        <v/>
      </c>
      <c r="AH189" s="1" t="str">
        <f t="shared" si="158"/>
        <v>AH.P.Fal2</v>
      </c>
      <c r="AI189" s="1" t="str">
        <f t="shared" si="159"/>
        <v/>
      </c>
      <c r="AJ189" s="1" t="str">
        <f t="shared" si="160"/>
        <v/>
      </c>
      <c r="AK189">
        <f t="shared" si="161"/>
        <v>1</v>
      </c>
      <c r="AL189">
        <f t="shared" si="162"/>
        <v>1</v>
      </c>
      <c r="AM189">
        <f t="shared" si="163"/>
        <v>1</v>
      </c>
      <c r="AN189">
        <f t="shared" si="164"/>
        <v>1</v>
      </c>
      <c r="AO189">
        <f t="shared" si="165"/>
        <v>1</v>
      </c>
      <c r="AP189">
        <f t="shared" si="166"/>
        <v>22</v>
      </c>
    </row>
    <row r="190" spans="1:42" ht="18" customHeight="1" x14ac:dyDescent="0.25">
      <c r="A190" s="866" t="s">
        <v>6508</v>
      </c>
      <c r="B190" s="1325"/>
      <c r="C190" s="1325"/>
      <c r="D190" s="1325"/>
      <c r="E190" s="1325"/>
      <c r="F190" s="1325"/>
      <c r="G190" s="1325"/>
      <c r="H190" s="1325"/>
      <c r="I190" s="24"/>
      <c r="J190" s="83"/>
      <c r="K190" s="24"/>
      <c r="L190" s="83"/>
      <c r="M190" s="83"/>
      <c r="N190" s="1070"/>
      <c r="O190" s="1070"/>
      <c r="P190" s="169"/>
      <c r="Q190" s="871"/>
      <c r="R190" s="221"/>
      <c r="S190" s="221"/>
      <c r="T190" s="221"/>
      <c r="U190" s="687">
        <f>1</f>
        <v>1</v>
      </c>
      <c r="V190" s="1071"/>
      <c r="W190" s="1071"/>
      <c r="X190" s="83"/>
      <c r="Y190" s="83"/>
      <c r="Z190" s="83"/>
      <c r="AA190" s="1092"/>
      <c r="AB190" s="83"/>
      <c r="AC190" s="200"/>
      <c r="AD190" s="200"/>
      <c r="AE190" s="200"/>
      <c r="AF190" s="200"/>
      <c r="AG190" s="1"/>
      <c r="AH190" s="1"/>
      <c r="AI190" s="1"/>
      <c r="AJ190" s="1"/>
    </row>
    <row r="191" spans="1:42" ht="44.25" customHeight="1" x14ac:dyDescent="0.25">
      <c r="A191" s="894" t="s">
        <v>6505</v>
      </c>
      <c r="B191" s="854" t="s">
        <v>396</v>
      </c>
      <c r="C191" s="856" t="s">
        <v>309</v>
      </c>
      <c r="D191" s="854" t="str">
        <f>Cfg</f>
        <v>Configuration systèmes et applications</v>
      </c>
      <c r="E191" s="788" t="str">
        <f t="shared" ref="E191:E196" si="168">Dive</f>
        <v>Divulgation de données</v>
      </c>
      <c r="F191" s="858" t="s">
        <v>3220</v>
      </c>
      <c r="G191" s="858" t="s">
        <v>4801</v>
      </c>
      <c r="H191" s="851" t="s">
        <v>4734</v>
      </c>
      <c r="I191" s="24">
        <v>1</v>
      </c>
      <c r="J191" s="83" t="str">
        <f t="shared" ref="J191:J196" si="169">VLOOKUP($F191,Tab_event,5)</f>
        <v>V</v>
      </c>
      <c r="K191" s="24" t="str">
        <f t="shared" ref="K191:K196" si="170">C191</f>
        <v>C</v>
      </c>
      <c r="L191" s="83" t="str">
        <f t="shared" ref="L191:L196" si="171">IF(VLOOKUP($B191,Tab_classif,8,FALSE)=1,VLOOKUP($B191,Tab_classif,IF(C191="D",4,IF(C191="I",5,IF(C191="C",6,7))),FALSE),1)</f>
        <v/>
      </c>
      <c r="M191" s="83">
        <f t="shared" ref="M191:M196" si="172">VLOOKUP($F191,Tab_event,3,FALSE)</f>
        <v>3</v>
      </c>
      <c r="N191" s="1070"/>
      <c r="O191" s="1070"/>
      <c r="P191" s="169" t="str">
        <f t="shared" ref="P191:P196" si="173">IF(AND(NOT(L191=""),NOT(M191="")),INDEX(base_g,5-IF(N191="",L191,N191),IF(O191="",M191,O191)),"")</f>
        <v/>
      </c>
      <c r="Q191" s="871">
        <f>1</f>
        <v>1</v>
      </c>
      <c r="R191" s="221">
        <f>MIN(S3A04,S3A07)</f>
        <v>1</v>
      </c>
      <c r="S191" s="221">
        <f>1</f>
        <v>1</v>
      </c>
      <c r="T191" s="221">
        <f>1</f>
        <v>1</v>
      </c>
      <c r="U191" s="687"/>
      <c r="V191" s="1071"/>
      <c r="W191" s="1071"/>
      <c r="X191" s="83" t="str">
        <f t="shared" ref="X191:X196" si="174">IF(L191="","",IF(K191="D",INDEX(base_i,IF(U191=0,4,5-S191),T191+7*(IF(N191="",L191,N191)-1)),IF(K191="I",INDEX(base_i,IF(U191=0,15,16-S191),T191+7*(IF(N191="",L191,N191)-1)),IF(K191="C",INDEX(base_i,IF(U191=0,26,27-S191),T191+7*(IF(N191="",L191,N191)-1)),INDEX(base_i,38-S191,T191+7*(IF(N191="",L191,N191)-1))))))</f>
        <v/>
      </c>
      <c r="Y191" s="83" cm="1">
        <f t="array" ref="Y191">IF(M191="","",IF(J191="A",INDEX(base_p,4,R191+7*(IF(O191="",M191,O191)-1)),IF(J191="E",INDEX(base_p,15,R191+7*(IF(O191="",M191,O191)-1)),INDEX(base_p,27-Q191,R191+7*(IF(O191="",M191,O191)-1)))))</f>
        <v>3</v>
      </c>
      <c r="Z191" s="83" t="str">
        <f t="shared" ref="Z191:Z196" si="175">IF(AO191=1,IF(IndG&gt;1,IF(AND(OR(NOT(X191=""),NOT(V191="")),OR(NOT(Y191=""),NOT(W191="")),I191=1),INDEX(base_g,5-IF(V191="",X191,V191),IF(W191="",Y191,W191)),""),P191),"")</f>
        <v/>
      </c>
      <c r="AA191" s="1092"/>
      <c r="AB191" s="83" t="str">
        <f t="shared" si="149"/>
        <v/>
      </c>
      <c r="AC191" s="196"/>
      <c r="AD191" s="196" t="s">
        <v>2041</v>
      </c>
      <c r="AE191" s="165"/>
      <c r="AF191" s="380"/>
      <c r="AG191" s="1" t="str">
        <f t="shared" ref="AG191:AG196" si="176">IF($AB191=1,$F191&amp;$AB191,"")</f>
        <v/>
      </c>
      <c r="AH191" s="1" t="str">
        <f t="shared" ref="AH191:AH196" si="177">IF($AB191=2,$F191&amp;$AB191,"")</f>
        <v/>
      </c>
      <c r="AI191" s="1" t="str">
        <f t="shared" ref="AI191:AI196" si="178">IF($AB191=3,$F191&amp;$AB191,"")</f>
        <v/>
      </c>
      <c r="AJ191" s="1" t="str">
        <f t="shared" ref="AJ191:AJ196" si="179">IF($AB191=4,$F191&amp;$AB191,"")</f>
        <v/>
      </c>
      <c r="AK191">
        <f t="shared" ref="AK191:AK196" si="180">VLOOKUP($B191,Tab_classif,8,FALSE)</f>
        <v>1</v>
      </c>
      <c r="AL191">
        <f t="shared" ref="AL191:AL196" si="181">VLOOKUP(D191,Tab_ActS,2,FALSE)</f>
        <v>1</v>
      </c>
      <c r="AM191">
        <f t="shared" ref="AM191:AM196" si="182">VLOOKUP(E191,Tab_SDom,3,FALSE)</f>
        <v>1</v>
      </c>
      <c r="AN191">
        <f t="shared" ref="AN191:AN196" si="183">VLOOKUP($F191,Tab_event,4,FALSE)</f>
        <v>1</v>
      </c>
      <c r="AO191">
        <f t="shared" ref="AO191:AO196" si="184">I191*AK191*AL191*AM191*AN191</f>
        <v>1</v>
      </c>
      <c r="AP191" t="e">
        <f t="shared" ref="AP191:AP196" si="185">IF(AND(AO191=1,AA191=""),IF(IndG=1,10*L191+M191,10*X191+Y191),"")</f>
        <v>#VALUE!</v>
      </c>
    </row>
    <row r="192" spans="1:42" ht="44.25" customHeight="1" x14ac:dyDescent="0.25">
      <c r="A192" s="894" t="s">
        <v>6506</v>
      </c>
      <c r="B192" s="854" t="s">
        <v>396</v>
      </c>
      <c r="C192" s="856" t="s">
        <v>309</v>
      </c>
      <c r="D192" s="854" t="str">
        <f>Cfg</f>
        <v>Configuration systèmes et applications</v>
      </c>
      <c r="E192" s="788" t="str">
        <f t="shared" si="168"/>
        <v>Divulgation de données</v>
      </c>
      <c r="F192" s="858" t="s">
        <v>3220</v>
      </c>
      <c r="G192" s="858" t="s">
        <v>4801</v>
      </c>
      <c r="H192" s="851" t="s">
        <v>4735</v>
      </c>
      <c r="I192" s="24">
        <v>1</v>
      </c>
      <c r="J192" s="83" t="str">
        <f t="shared" si="169"/>
        <v>V</v>
      </c>
      <c r="K192" s="24" t="str">
        <f t="shared" si="170"/>
        <v>C</v>
      </c>
      <c r="L192" s="83" t="str">
        <f t="shared" si="171"/>
        <v/>
      </c>
      <c r="M192" s="83">
        <f t="shared" si="172"/>
        <v>3</v>
      </c>
      <c r="N192" s="1070"/>
      <c r="O192" s="1070"/>
      <c r="P192" s="169" t="str">
        <f t="shared" si="173"/>
        <v/>
      </c>
      <c r="Q192" s="871">
        <f>S3A08</f>
        <v>1</v>
      </c>
      <c r="R192" s="221">
        <f>1</f>
        <v>1</v>
      </c>
      <c r="S192" s="221">
        <f>1</f>
        <v>1</v>
      </c>
      <c r="T192" s="221">
        <f>1</f>
        <v>1</v>
      </c>
      <c r="U192" s="687"/>
      <c r="V192" s="1071"/>
      <c r="W192" s="1071"/>
      <c r="X192" s="83" t="str">
        <f t="shared" si="174"/>
        <v/>
      </c>
      <c r="Y192" s="83" cm="1">
        <f t="array" ref="Y192">IF(M192="","",IF(J192="A",INDEX(base_p,4,R192+7*(IF(O192="",M192,O192)-1)),IF(J192="E",INDEX(base_p,15,R192+7*(IF(O192="",M192,O192)-1)),INDEX(base_p,27-Q192,R192+7*(IF(O192="",M192,O192)-1)))))</f>
        <v>3</v>
      </c>
      <c r="Z192" s="83" t="str">
        <f t="shared" si="175"/>
        <v/>
      </c>
      <c r="AA192" s="1092"/>
      <c r="AB192" s="83" t="str">
        <f t="shared" si="149"/>
        <v/>
      </c>
      <c r="AC192" s="167" t="s">
        <v>820</v>
      </c>
      <c r="AD192" s="196"/>
      <c r="AE192" s="165"/>
      <c r="AF192" s="380"/>
      <c r="AG192" s="1" t="str">
        <f t="shared" si="176"/>
        <v/>
      </c>
      <c r="AH192" s="1" t="str">
        <f t="shared" si="177"/>
        <v/>
      </c>
      <c r="AI192" s="1" t="str">
        <f t="shared" si="178"/>
        <v/>
      </c>
      <c r="AJ192" s="1" t="str">
        <f t="shared" si="179"/>
        <v/>
      </c>
      <c r="AK192">
        <f t="shared" si="180"/>
        <v>1</v>
      </c>
      <c r="AL192">
        <f t="shared" si="181"/>
        <v>1</v>
      </c>
      <c r="AM192">
        <f t="shared" si="182"/>
        <v>1</v>
      </c>
      <c r="AN192">
        <f t="shared" si="183"/>
        <v>1</v>
      </c>
      <c r="AO192">
        <f t="shared" si="184"/>
        <v>1</v>
      </c>
      <c r="AP192" t="e">
        <f t="shared" si="185"/>
        <v>#VALUE!</v>
      </c>
    </row>
    <row r="193" spans="1:49" ht="44.25" customHeight="1" x14ac:dyDescent="0.25">
      <c r="A193" s="894" t="s">
        <v>6507</v>
      </c>
      <c r="B193" s="854" t="s">
        <v>396</v>
      </c>
      <c r="C193" s="856" t="s">
        <v>309</v>
      </c>
      <c r="D193" s="854" t="str">
        <f>Cfg</f>
        <v>Configuration systèmes et applications</v>
      </c>
      <c r="E193" s="788" t="str">
        <f t="shared" si="168"/>
        <v>Divulgation de données</v>
      </c>
      <c r="F193" s="858" t="s">
        <v>3220</v>
      </c>
      <c r="G193" s="858" t="s">
        <v>4801</v>
      </c>
      <c r="H193" s="851" t="s">
        <v>2151</v>
      </c>
      <c r="I193" s="24">
        <v>1</v>
      </c>
      <c r="J193" s="83" t="str">
        <f t="shared" si="169"/>
        <v>V</v>
      </c>
      <c r="K193" s="24" t="str">
        <f t="shared" si="170"/>
        <v>C</v>
      </c>
      <c r="L193" s="83" t="str">
        <f t="shared" si="171"/>
        <v/>
      </c>
      <c r="M193" s="83">
        <f t="shared" si="172"/>
        <v>3</v>
      </c>
      <c r="N193" s="1070"/>
      <c r="O193" s="1070"/>
      <c r="P193" s="169" t="str">
        <f t="shared" si="173"/>
        <v/>
      </c>
      <c r="Q193" s="871">
        <f>S7B10</f>
        <v>1</v>
      </c>
      <c r="R193" s="221">
        <f>1</f>
        <v>1</v>
      </c>
      <c r="S193" s="221">
        <f>1</f>
        <v>1</v>
      </c>
      <c r="T193" s="221">
        <f>1</f>
        <v>1</v>
      </c>
      <c r="U193" s="687"/>
      <c r="V193" s="1071"/>
      <c r="W193" s="1071"/>
      <c r="X193" s="83" t="str">
        <f t="shared" si="174"/>
        <v/>
      </c>
      <c r="Y193" s="83" cm="1">
        <f t="array" ref="Y193">IF(M193="","",IF(J193="A",INDEX(base_p,4,R193+7*(IF(O193="",M193,O193)-1)),IF(J193="E",INDEX(base_p,15,R193+7*(IF(O193="",M193,O193)-1)),INDEX(base_p,27-Q193,R193+7*(IF(O193="",M193,O193)-1)))))</f>
        <v>3</v>
      </c>
      <c r="Z193" s="83" t="str">
        <f t="shared" si="175"/>
        <v/>
      </c>
      <c r="AA193" s="1092"/>
      <c r="AB193" s="83" t="str">
        <f t="shared" si="149"/>
        <v/>
      </c>
      <c r="AC193" s="165" t="s">
        <v>6736</v>
      </c>
      <c r="AD193" s="196"/>
      <c r="AE193" s="165"/>
      <c r="AF193" s="380"/>
      <c r="AG193" s="1" t="str">
        <f t="shared" si="176"/>
        <v/>
      </c>
      <c r="AH193" s="1" t="str">
        <f t="shared" si="177"/>
        <v/>
      </c>
      <c r="AI193" s="1" t="str">
        <f t="shared" si="178"/>
        <v/>
      </c>
      <c r="AJ193" s="1" t="str">
        <f t="shared" si="179"/>
        <v/>
      </c>
      <c r="AK193">
        <f t="shared" si="180"/>
        <v>1</v>
      </c>
      <c r="AL193">
        <f t="shared" si="181"/>
        <v>1</v>
      </c>
      <c r="AM193">
        <f t="shared" si="182"/>
        <v>1</v>
      </c>
      <c r="AN193">
        <f t="shared" si="183"/>
        <v>1</v>
      </c>
      <c r="AO193">
        <f t="shared" si="184"/>
        <v>1</v>
      </c>
      <c r="AP193" t="e">
        <f t="shared" si="185"/>
        <v>#VALUE!</v>
      </c>
    </row>
    <row r="194" spans="1:49" ht="44.25" customHeight="1" x14ac:dyDescent="0.25">
      <c r="A194" s="894" t="s">
        <v>6509</v>
      </c>
      <c r="B194" s="854" t="s">
        <v>396</v>
      </c>
      <c r="C194" s="856" t="s">
        <v>309</v>
      </c>
      <c r="D194" s="854" t="str">
        <f>Msl</f>
        <v>Media support de logiciel</v>
      </c>
      <c r="E194" s="788" t="str">
        <f t="shared" si="168"/>
        <v>Divulgation de données</v>
      </c>
      <c r="F194" s="858" t="s">
        <v>3224</v>
      </c>
      <c r="G194" s="895" t="s">
        <v>6543</v>
      </c>
      <c r="H194" s="876" t="s">
        <v>6728</v>
      </c>
      <c r="I194" s="24">
        <v>1</v>
      </c>
      <c r="J194" s="83" t="str">
        <f t="shared" si="169"/>
        <v>V</v>
      </c>
      <c r="K194" s="24" t="str">
        <f t="shared" si="170"/>
        <v>C</v>
      </c>
      <c r="L194" s="83" t="str">
        <f t="shared" si="171"/>
        <v/>
      </c>
      <c r="M194" s="83">
        <f t="shared" si="172"/>
        <v>3</v>
      </c>
      <c r="N194" s="1070"/>
      <c r="O194" s="1070"/>
      <c r="P194" s="169" t="str">
        <f t="shared" si="173"/>
        <v/>
      </c>
      <c r="Q194" s="871">
        <f>S2B03</f>
        <v>1</v>
      </c>
      <c r="R194" s="221">
        <f>1</f>
        <v>1</v>
      </c>
      <c r="S194" s="221">
        <f>1</f>
        <v>1</v>
      </c>
      <c r="T194" s="221">
        <f>1</f>
        <v>1</v>
      </c>
      <c r="U194" s="687"/>
      <c r="V194" s="1071"/>
      <c r="W194" s="1071"/>
      <c r="X194" s="83" t="str">
        <f t="shared" si="174"/>
        <v/>
      </c>
      <c r="Y194" s="83" cm="1">
        <f t="array" ref="Y194">IF(M194="","",IF(J194="A",INDEX(base_p,4,R194+7*(IF(O194="",M194,O194)-1)),IF(J194="E",INDEX(base_p,15,R194+7*(IF(O194="",M194,O194)-1)),INDEX(base_p,27-Q194,R194+7*(IF(O194="",M194,O194)-1)))))</f>
        <v>3</v>
      </c>
      <c r="Z194" s="83" t="str">
        <f t="shared" si="175"/>
        <v/>
      </c>
      <c r="AA194" s="1092"/>
      <c r="AB194" s="83" t="str">
        <f t="shared" si="149"/>
        <v/>
      </c>
      <c r="AC194" s="199" t="s">
        <v>618</v>
      </c>
      <c r="AD194" s="196"/>
      <c r="AE194" s="165"/>
      <c r="AF194" s="380"/>
      <c r="AG194" s="1" t="str">
        <f t="shared" si="176"/>
        <v/>
      </c>
      <c r="AH194" s="1" t="str">
        <f t="shared" si="177"/>
        <v/>
      </c>
      <c r="AI194" s="1" t="str">
        <f t="shared" si="178"/>
        <v/>
      </c>
      <c r="AJ194" s="1" t="str">
        <f t="shared" si="179"/>
        <v/>
      </c>
      <c r="AK194">
        <f t="shared" si="180"/>
        <v>1</v>
      </c>
      <c r="AL194">
        <f t="shared" si="181"/>
        <v>1</v>
      </c>
      <c r="AM194">
        <f t="shared" si="182"/>
        <v>1</v>
      </c>
      <c r="AN194">
        <f t="shared" si="183"/>
        <v>1</v>
      </c>
      <c r="AO194">
        <f t="shared" si="184"/>
        <v>1</v>
      </c>
      <c r="AP194" t="e">
        <f t="shared" si="185"/>
        <v>#VALUE!</v>
      </c>
    </row>
    <row r="195" spans="1:49" ht="44.25" customHeight="1" x14ac:dyDescent="0.25">
      <c r="A195" s="894" t="s">
        <v>6510</v>
      </c>
      <c r="B195" s="854" t="s">
        <v>396</v>
      </c>
      <c r="C195" s="856" t="s">
        <v>309</v>
      </c>
      <c r="D195" s="854" t="str">
        <f>Msl</f>
        <v>Media support de logiciel</v>
      </c>
      <c r="E195" s="788" t="str">
        <f t="shared" si="168"/>
        <v>Divulgation de données</v>
      </c>
      <c r="F195" s="858" t="s">
        <v>3224</v>
      </c>
      <c r="G195" s="895" t="s">
        <v>6543</v>
      </c>
      <c r="H195" s="848" t="s">
        <v>4737</v>
      </c>
      <c r="I195" s="24">
        <v>1</v>
      </c>
      <c r="J195" s="83" t="str">
        <f t="shared" si="169"/>
        <v>V</v>
      </c>
      <c r="K195" s="24" t="str">
        <f t="shared" si="170"/>
        <v>C</v>
      </c>
      <c r="L195" s="83" t="str">
        <f t="shared" si="171"/>
        <v/>
      </c>
      <c r="M195" s="83">
        <f t="shared" si="172"/>
        <v>3</v>
      </c>
      <c r="N195" s="1070"/>
      <c r="O195" s="1070"/>
      <c r="P195" s="169" t="str">
        <f t="shared" si="173"/>
        <v/>
      </c>
      <c r="Q195" s="871">
        <f>S2B03</f>
        <v>1</v>
      </c>
      <c r="R195" s="221">
        <f>MAX(S2B01,S5B02)</f>
        <v>1</v>
      </c>
      <c r="S195" s="221">
        <f>1</f>
        <v>1</v>
      </c>
      <c r="T195" s="221">
        <f>1</f>
        <v>1</v>
      </c>
      <c r="U195" s="687"/>
      <c r="V195" s="1071"/>
      <c r="W195" s="1071"/>
      <c r="X195" s="83" t="str">
        <f t="shared" si="174"/>
        <v/>
      </c>
      <c r="Y195" s="83" cm="1">
        <f t="array" ref="Y195">IF(M195="","",IF(J195="A",INDEX(base_p,4,R195+7*(IF(O195="",M195,O195)-1)),IF(J195="E",INDEX(base_p,15,R195+7*(IF(O195="",M195,O195)-1)),INDEX(base_p,27-Q195,R195+7*(IF(O195="",M195,O195)-1)))))</f>
        <v>3</v>
      </c>
      <c r="Z195" s="83" t="str">
        <f t="shared" si="175"/>
        <v/>
      </c>
      <c r="AA195" s="1092"/>
      <c r="AB195" s="83" t="str">
        <f t="shared" si="149"/>
        <v/>
      </c>
      <c r="AC195" s="199" t="s">
        <v>618</v>
      </c>
      <c r="AD195" s="196" t="s">
        <v>3237</v>
      </c>
      <c r="AE195" s="165"/>
      <c r="AF195" s="380"/>
      <c r="AG195" s="1" t="str">
        <f t="shared" si="176"/>
        <v/>
      </c>
      <c r="AH195" s="1" t="str">
        <f t="shared" si="177"/>
        <v/>
      </c>
      <c r="AI195" s="1" t="str">
        <f t="shared" si="178"/>
        <v/>
      </c>
      <c r="AJ195" s="1" t="str">
        <f t="shared" si="179"/>
        <v/>
      </c>
      <c r="AK195">
        <f t="shared" si="180"/>
        <v>1</v>
      </c>
      <c r="AL195">
        <f t="shared" si="181"/>
        <v>1</v>
      </c>
      <c r="AM195">
        <f t="shared" si="182"/>
        <v>1</v>
      </c>
      <c r="AN195">
        <f t="shared" si="183"/>
        <v>1</v>
      </c>
      <c r="AO195">
        <f t="shared" si="184"/>
        <v>1</v>
      </c>
      <c r="AP195" t="e">
        <f t="shared" si="185"/>
        <v>#VALUE!</v>
      </c>
    </row>
    <row r="196" spans="1:49" ht="44.25" customHeight="1" x14ac:dyDescent="0.25">
      <c r="A196" s="894" t="s">
        <v>6511</v>
      </c>
      <c r="B196" s="854" t="s">
        <v>396</v>
      </c>
      <c r="C196" s="856" t="s">
        <v>309</v>
      </c>
      <c r="D196" s="854" t="str">
        <f>Msl</f>
        <v>Media support de logiciel</v>
      </c>
      <c r="E196" s="788" t="str">
        <f t="shared" si="168"/>
        <v>Divulgation de données</v>
      </c>
      <c r="F196" s="858" t="s">
        <v>3224</v>
      </c>
      <c r="G196" s="895" t="s">
        <v>6543</v>
      </c>
      <c r="H196" s="848" t="s">
        <v>4738</v>
      </c>
      <c r="I196" s="24">
        <v>1</v>
      </c>
      <c r="J196" s="83" t="str">
        <f t="shared" si="169"/>
        <v>V</v>
      </c>
      <c r="K196" s="24" t="str">
        <f t="shared" si="170"/>
        <v>C</v>
      </c>
      <c r="L196" s="83" t="str">
        <f t="shared" si="171"/>
        <v/>
      </c>
      <c r="M196" s="83">
        <f t="shared" si="172"/>
        <v>3</v>
      </c>
      <c r="N196" s="1070"/>
      <c r="O196" s="1070"/>
      <c r="P196" s="169" t="str">
        <f t="shared" si="173"/>
        <v/>
      </c>
      <c r="Q196" s="871">
        <f>1</f>
        <v>1</v>
      </c>
      <c r="R196" s="221">
        <f>S4E03</f>
        <v>1</v>
      </c>
      <c r="S196" s="221">
        <f>1</f>
        <v>1</v>
      </c>
      <c r="T196" s="221">
        <f>1</f>
        <v>1</v>
      </c>
      <c r="U196" s="687"/>
      <c r="V196" s="1071"/>
      <c r="W196" s="1071"/>
      <c r="X196" s="83" t="str">
        <f t="shared" si="174"/>
        <v/>
      </c>
      <c r="Y196" s="83" cm="1">
        <f t="array" ref="Y196">IF(M196="","",IF(J196="A",INDEX(base_p,4,R196+7*(IF(O196="",M196,O196)-1)),IF(J196="E",INDEX(base_p,15,R196+7*(IF(O196="",M196,O196)-1)),INDEX(base_p,27-Q196,R196+7*(IF(O196="",M196,O196)-1)))))</f>
        <v>3</v>
      </c>
      <c r="Z196" s="83" t="str">
        <f t="shared" si="175"/>
        <v/>
      </c>
      <c r="AA196" s="1092"/>
      <c r="AB196" s="83" t="str">
        <f t="shared" si="149"/>
        <v/>
      </c>
      <c r="AC196" s="199"/>
      <c r="AD196" s="196" t="s">
        <v>754</v>
      </c>
      <c r="AE196" s="165"/>
      <c r="AF196" s="380"/>
      <c r="AG196" s="1" t="str">
        <f t="shared" si="176"/>
        <v/>
      </c>
      <c r="AH196" s="1" t="str">
        <f t="shared" si="177"/>
        <v/>
      </c>
      <c r="AI196" s="1" t="str">
        <f t="shared" si="178"/>
        <v/>
      </c>
      <c r="AJ196" s="1" t="str">
        <f t="shared" si="179"/>
        <v/>
      </c>
      <c r="AK196">
        <f t="shared" si="180"/>
        <v>1</v>
      </c>
      <c r="AL196">
        <f t="shared" si="181"/>
        <v>1</v>
      </c>
      <c r="AM196">
        <f t="shared" si="182"/>
        <v>1</v>
      </c>
      <c r="AN196">
        <f t="shared" si="183"/>
        <v>1</v>
      </c>
      <c r="AO196">
        <f t="shared" si="184"/>
        <v>1</v>
      </c>
      <c r="AP196" t="e">
        <f t="shared" si="185"/>
        <v>#VALUE!</v>
      </c>
    </row>
    <row r="197" spans="1:49" ht="18" customHeight="1" x14ac:dyDescent="0.25">
      <c r="A197" s="866" t="s">
        <v>6514</v>
      </c>
      <c r="B197" s="1325"/>
      <c r="C197" s="1325"/>
      <c r="D197" s="1325"/>
      <c r="E197" s="1325"/>
      <c r="F197" s="1325"/>
      <c r="G197" s="1325"/>
      <c r="H197" s="1325"/>
      <c r="I197" s="24"/>
      <c r="J197" s="83"/>
      <c r="K197" s="24"/>
      <c r="L197" s="83"/>
      <c r="M197" s="83"/>
      <c r="N197" s="1070"/>
      <c r="O197" s="1070"/>
      <c r="P197" s="169"/>
      <c r="Q197" s="871"/>
      <c r="R197" s="221"/>
      <c r="S197" s="221"/>
      <c r="T197" s="221"/>
      <c r="U197" s="687">
        <f>1</f>
        <v>1</v>
      </c>
      <c r="V197" s="1071"/>
      <c r="W197" s="1071"/>
      <c r="X197" s="83"/>
      <c r="Y197" s="83"/>
      <c r="Z197" s="83"/>
      <c r="AA197" s="1092"/>
      <c r="AB197" s="83"/>
      <c r="AC197" s="200"/>
      <c r="AD197" s="200"/>
      <c r="AE197" s="200"/>
      <c r="AF197" s="200"/>
      <c r="AG197" s="1"/>
      <c r="AH197" s="1"/>
      <c r="AI197" s="1"/>
      <c r="AJ197" s="1"/>
    </row>
    <row r="198" spans="1:49" ht="70.5" customHeight="1" x14ac:dyDescent="0.25">
      <c r="A198" s="894" t="s">
        <v>6512</v>
      </c>
      <c r="B198" s="854" t="s">
        <v>518</v>
      </c>
      <c r="C198" s="856" t="s">
        <v>539</v>
      </c>
      <c r="D198" s="854" t="str">
        <f>Iml</f>
        <v>Infrastructure matérielle et logicielle support de services externalisés</v>
      </c>
      <c r="E198" s="788" t="str">
        <f>Inac</f>
        <v>Inaccessibilité</v>
      </c>
      <c r="F198" s="858" t="s">
        <v>585</v>
      </c>
      <c r="G198" s="858" t="s">
        <v>4634</v>
      </c>
      <c r="H198" s="849"/>
      <c r="I198" s="24">
        <v>1</v>
      </c>
      <c r="J198" s="83" t="str">
        <f>VLOOKUP($F198,Tab_event,5)</f>
        <v>A</v>
      </c>
      <c r="K198" s="24" t="str">
        <f>C198</f>
        <v>D</v>
      </c>
      <c r="L198" s="83">
        <f>IF(VLOOKUP($B198,Tab_classif,8,FALSE)=1,VLOOKUP($B198,Tab_classif,IF(C198="D",4,IF(C198="I",5,IF(C198="C",6,7))),FALSE),1)</f>
        <v>3</v>
      </c>
      <c r="M198" s="83">
        <f>VLOOKUP($F198,Tab_event,3,FALSE)</f>
        <v>3</v>
      </c>
      <c r="N198" s="1070"/>
      <c r="O198" s="1070"/>
      <c r="P198" s="169">
        <f>IF(AND(NOT(L198=""),NOT(M198="")),INDEX(base_g,5-IF(N198="",L198,N198),IF(O198="",M198,O198)),"")</f>
        <v>3</v>
      </c>
      <c r="Q198" s="871">
        <f>1</f>
        <v>1</v>
      </c>
      <c r="R198" s="221">
        <f>1</f>
        <v>1</v>
      </c>
      <c r="S198" s="221">
        <f>1</f>
        <v>1</v>
      </c>
      <c r="T198" s="221">
        <f>MAX(S1E03,S5D02)</f>
        <v>1</v>
      </c>
      <c r="U198" s="687"/>
      <c r="V198" s="1071"/>
      <c r="W198" s="1071"/>
      <c r="X198" s="83">
        <f>IF(L198="","",IF(K198="D",INDEX(base_i,IF(U198=0,4,5-S198),T198+7*(IF(N198="",L198,N198)-1)),IF(K198="I",INDEX(base_i,IF(U198=0,15,16-S198),T198+7*(IF(N198="",L198,N198)-1)),IF(K198="C",INDEX(base_i,IF(U198=0,26,27-S198),T198+7*(IF(N198="",L198,N198)-1)),INDEX(base_i,38-S198,T198+7*(IF(N198="",L198,N198)-1))))))</f>
        <v>3</v>
      </c>
      <c r="Y198" s="83" cm="1">
        <f t="array" ref="Y198">IF(M198="","",IF(J198="A",INDEX(base_p,4,R198+7*(IF(O198="",M198,O198)-1)),IF(J198="E",INDEX(base_p,15,R198+7*(IF(O198="",M198,O198)-1)),INDEX(base_p,27-Q198,R198+7*(IF(O198="",M198,O198)-1)))))</f>
        <v>3</v>
      </c>
      <c r="Z198" s="83">
        <f>IF(AO198=1,IF(IndG&gt;1,IF(AND(OR(NOT(X198=""),NOT(V198="")),OR(NOT(Y198=""),NOT(W198="")),I198=1),INDEX(base_g,5-IF(V198="",X198,V198),IF(W198="",Y198,W198)),""),P198),"")</f>
        <v>3</v>
      </c>
      <c r="AA198" s="1092"/>
      <c r="AB198" s="83">
        <f t="shared" si="149"/>
        <v>3</v>
      </c>
      <c r="AC198" s="196"/>
      <c r="AD198" s="199"/>
      <c r="AE198" s="380"/>
      <c r="AF198" s="38" t="s">
        <v>4624</v>
      </c>
      <c r="AG198" s="1" t="str">
        <f>IF($AB198=1,$H198&amp;$AB198,"")</f>
        <v/>
      </c>
      <c r="AH198" s="1" t="str">
        <f>IF($AB198=2,$H198&amp;$AB198,"")</f>
        <v/>
      </c>
      <c r="AI198" s="1" t="str">
        <f>IF($AB198=3,$H198&amp;$AB198,"")</f>
        <v>3</v>
      </c>
      <c r="AJ198" s="1" t="str">
        <f>IF($AB198=4,$H198&amp;$AB198,"")</f>
        <v/>
      </c>
      <c r="AK198">
        <f>VLOOKUP($B198,Tab_classif,8,FALSE)</f>
        <v>1</v>
      </c>
      <c r="AL198">
        <f>VLOOKUP(D198,Tab_ActS,2,FALSE)</f>
        <v>1</v>
      </c>
      <c r="AM198">
        <f>VLOOKUP(E198,Tab_SDom,3,FALSE)</f>
        <v>1</v>
      </c>
      <c r="AN198">
        <f>VLOOKUP($F198,Tab_event,4,FALSE)</f>
        <v>1</v>
      </c>
      <c r="AO198">
        <f>I198*AK198*AL198*AM198*AN198</f>
        <v>1</v>
      </c>
      <c r="AP198">
        <f>IF(AND(AO198=1,AA198=""),IF(IndG=1,10*L198+M198,10*X198+Y198),"")</f>
        <v>33</v>
      </c>
    </row>
    <row r="199" spans="1:49" ht="70.5" customHeight="1" x14ac:dyDescent="0.25">
      <c r="A199" s="894" t="s">
        <v>6513</v>
      </c>
      <c r="B199" s="854" t="s">
        <v>518</v>
      </c>
      <c r="C199" s="856" t="s">
        <v>539</v>
      </c>
      <c r="D199" s="854" t="str">
        <f>Iml</f>
        <v>Infrastructure matérielle et logicielle support de services externalisés</v>
      </c>
      <c r="E199" s="862" t="str">
        <f>Inop</f>
        <v>Inopérabilité</v>
      </c>
      <c r="F199" s="858" t="s">
        <v>4635</v>
      </c>
      <c r="G199" s="858" t="s">
        <v>6729</v>
      </c>
      <c r="H199" s="849"/>
      <c r="I199" s="24">
        <v>1</v>
      </c>
      <c r="J199" s="83" t="str">
        <f>VLOOKUP($F199,Tab_event,5)</f>
        <v>A</v>
      </c>
      <c r="K199" s="24" t="str">
        <f>C199</f>
        <v>D</v>
      </c>
      <c r="L199" s="83">
        <f>IF(VLOOKUP($B199,Tab_classif,8,FALSE)=1,VLOOKUP($B199,Tab_classif,IF(C199="D",4,IF(C199="I",5,IF(C199="C",6,7))),FALSE),1)</f>
        <v>3</v>
      </c>
      <c r="M199" s="83">
        <f>VLOOKUP($F199,Tab_event,3,FALSE)</f>
        <v>3</v>
      </c>
      <c r="N199" s="1070"/>
      <c r="O199" s="1070"/>
      <c r="P199" s="169">
        <f>IF(AND(NOT(L199=""),NOT(M199="")),INDEX(base_g,5-IF(N199="",L199,N199),IF(O199="",M199,O199)),"")</f>
        <v>3</v>
      </c>
      <c r="Q199" s="871">
        <f>1</f>
        <v>1</v>
      </c>
      <c r="R199" s="221">
        <f>1</f>
        <v>1</v>
      </c>
      <c r="S199" s="221">
        <f>1</f>
        <v>1</v>
      </c>
      <c r="T199" s="221">
        <f>S5D02</f>
        <v>1</v>
      </c>
      <c r="U199" s="687"/>
      <c r="V199" s="1071"/>
      <c r="W199" s="1071"/>
      <c r="X199" s="83">
        <f>IF(L199="","",IF(K199="D",INDEX(base_i,IF(U199=0,4,5-S199),T199+7*(IF(N199="",L199,N199)-1)),IF(K199="I",INDEX(base_i,IF(U199=0,15,16-S199),T199+7*(IF(N199="",L199,N199)-1)),IF(K199="C",INDEX(base_i,IF(U199=0,26,27-S199),T199+7*(IF(N199="",L199,N199)-1)),INDEX(base_i,38-S199,T199+7*(IF(N199="",L199,N199)-1))))))</f>
        <v>3</v>
      </c>
      <c r="Y199" s="83" cm="1">
        <f t="array" ref="Y199">IF(M199="","",IF(J199="A",INDEX(base_p,4,R199+7*(IF(O199="",M199,O199)-1)),IF(J199="E",INDEX(base_p,15,R199+7*(IF(O199="",M199,O199)-1)),INDEX(base_p,27-Q199,R199+7*(IF(O199="",M199,O199)-1)))))</f>
        <v>3</v>
      </c>
      <c r="Z199" s="83">
        <f>IF(AO199=1,IF(IndG&gt;1,IF(AND(OR(NOT(X199=""),NOT(V199="")),OR(NOT(Y199=""),NOT(W199="")),I199=1),INDEX(base_g,5-IF(V199="",X199,V199),IF(W199="",Y199,W199)),""),P199),"")</f>
        <v>3</v>
      </c>
      <c r="AA199" s="1092"/>
      <c r="AB199" s="83">
        <f t="shared" si="149"/>
        <v>3</v>
      </c>
      <c r="AC199" s="196"/>
      <c r="AD199" s="196"/>
      <c r="AE199" s="196"/>
      <c r="AF199" s="196" t="s">
        <v>700</v>
      </c>
      <c r="AG199" s="1" t="str">
        <f>IF($AB199=1,$F199&amp;$AB199,"")</f>
        <v/>
      </c>
      <c r="AH199" s="1" t="str">
        <f>IF($AB199=2,$F199&amp;$AB199,"")</f>
        <v/>
      </c>
      <c r="AI199" s="1" t="str">
        <f>IF($AB199=3,$F199&amp;$AB199,"")</f>
        <v>AB.S.Ser3</v>
      </c>
      <c r="AJ199" s="1" t="str">
        <f>IF($AB199=4,$F199&amp;$AB199,"")</f>
        <v/>
      </c>
      <c r="AK199">
        <f>VLOOKUP($B199,Tab_classif,8,FALSE)</f>
        <v>1</v>
      </c>
      <c r="AL199">
        <f>VLOOKUP(D199,Tab_ActS,2,FALSE)</f>
        <v>1</v>
      </c>
      <c r="AM199">
        <f>VLOOKUP(E199,Tab_SDom,3,FALSE)</f>
        <v>1</v>
      </c>
      <c r="AN199">
        <f>VLOOKUP($F199,Tab_event,4,FALSE)</f>
        <v>1</v>
      </c>
      <c r="AO199">
        <f>I199*AK199*AL199*AM199*AN199</f>
        <v>1</v>
      </c>
      <c r="AP199">
        <f>IF(AND(AO199=1,AA199=""),IF(IndG=1,10*L199+M199,10*X199+Y199),"")</f>
        <v>33</v>
      </c>
      <c r="AW199">
        <v>1</v>
      </c>
    </row>
    <row r="200" spans="1:49" ht="18" customHeight="1" x14ac:dyDescent="0.25">
      <c r="A200" s="866" t="s">
        <v>6515</v>
      </c>
      <c r="B200" s="1325"/>
      <c r="C200" s="1325"/>
      <c r="D200" s="1325"/>
      <c r="E200" s="1325"/>
      <c r="F200" s="1325"/>
      <c r="G200" s="1325"/>
      <c r="H200" s="1325"/>
      <c r="I200" s="24"/>
      <c r="J200" s="83"/>
      <c r="K200" s="24"/>
      <c r="L200" s="83"/>
      <c r="M200" s="83"/>
      <c r="N200" s="1070"/>
      <c r="O200" s="1070"/>
      <c r="P200" s="169"/>
      <c r="Q200" s="871"/>
      <c r="R200" s="221"/>
      <c r="S200" s="221"/>
      <c r="T200" s="221"/>
      <c r="U200" s="687">
        <f>S5D02</f>
        <v>1</v>
      </c>
      <c r="V200" s="1071"/>
      <c r="W200" s="1071"/>
      <c r="X200" s="83"/>
      <c r="Y200" s="83"/>
      <c r="Z200" s="83"/>
      <c r="AA200" s="1092"/>
      <c r="AB200" s="83"/>
      <c r="AC200" s="200"/>
      <c r="AD200" s="200"/>
      <c r="AE200" s="200"/>
      <c r="AF200" s="200"/>
      <c r="AG200" s="1"/>
      <c r="AH200" s="1"/>
      <c r="AI200" s="1"/>
      <c r="AJ200" s="1"/>
    </row>
    <row r="201" spans="1:49" ht="66" customHeight="1" x14ac:dyDescent="0.25">
      <c r="A201" s="854" t="s">
        <v>6516</v>
      </c>
      <c r="B201" s="854" t="s">
        <v>518</v>
      </c>
      <c r="C201" s="856" t="s">
        <v>268</v>
      </c>
      <c r="D201" s="854" t="str">
        <f>Iml</f>
        <v>Infrastructure matérielle et logicielle support de services externalisés</v>
      </c>
      <c r="E201" s="788" t="str">
        <f>Altf</f>
        <v>Altération (non détectée) de fonction</v>
      </c>
      <c r="F201" s="858" t="s">
        <v>3211</v>
      </c>
      <c r="G201" s="858" t="s">
        <v>4638</v>
      </c>
      <c r="H201" s="850"/>
      <c r="I201" s="24">
        <v>1</v>
      </c>
      <c r="J201" s="83" t="str">
        <f>VLOOKUP($F201,Tab_event,5)</f>
        <v>V</v>
      </c>
      <c r="K201" s="24" t="str">
        <f>C201</f>
        <v>I</v>
      </c>
      <c r="L201" s="83">
        <f>IF(VLOOKUP($B201,Tab_classif,8,FALSE)=1,VLOOKUP($B201,Tab_classif,IF(C201="D",4,IF(C201="I",5,IF(C201="C",6,7))),FALSE),1)</f>
        <v>2</v>
      </c>
      <c r="M201" s="83">
        <f>VLOOKUP($F201,Tab_event,3,FALSE)</f>
        <v>3</v>
      </c>
      <c r="N201" s="1070"/>
      <c r="O201" s="1070"/>
      <c r="P201" s="169">
        <f>IF(AND(NOT(L201=""),NOT(M201="")),INDEX(base_g,5-IF(N201="",L201,N201),IF(O201="",M201,O201)),"")</f>
        <v>2</v>
      </c>
      <c r="Q201" s="871">
        <f>1</f>
        <v>1</v>
      </c>
      <c r="R201" s="221">
        <f>S5F03</f>
        <v>1</v>
      </c>
      <c r="S201" s="221">
        <f>1</f>
        <v>1</v>
      </c>
      <c r="T201" s="221">
        <f>1</f>
        <v>1</v>
      </c>
      <c r="U201" s="687"/>
      <c r="V201" s="1071"/>
      <c r="W201" s="1071"/>
      <c r="X201" s="83">
        <f>IF(L201="","",IF(K201="D",INDEX(base_i,IF(U201=0,4,5-S201),T201+7*(IF(N201="",L201,N201)-1)),IF(K201="I",INDEX(base_i,IF(U201=0,15,16-S201),T201+7*(IF(N201="",L201,N201)-1)),IF(K201="C",INDEX(base_i,IF(U201=0,26,27-S201),T201+7*(IF(N201="",L201,N201)-1)),INDEX(base_i,38-S201,T201+7*(IF(N201="",L201,N201)-1))))))</f>
        <v>2</v>
      </c>
      <c r="Y201" s="83" cm="1">
        <f t="array" ref="Y201">IF(M201="","",IF(J201="A",INDEX(base_p,4,R201+7*(IF(O201="",M201,O201)-1)),IF(J201="E",INDEX(base_p,15,R201+7*(IF(O201="",M201,O201)-1)),INDEX(base_p,27-Q201,R201+7*(IF(O201="",M201,O201)-1)))))</f>
        <v>3</v>
      </c>
      <c r="Z201" s="83">
        <f>IF(AO201=1,IF(IndG&gt;1,IF(AND(OR(NOT(X201=""),NOT(V201="")),OR(NOT(Y201=""),NOT(W201="")),I201=1),INDEX(base_g,5-IF(V201="",X201,V201),IF(W201="",Y201,W201)),""),P201),"")</f>
        <v>2</v>
      </c>
      <c r="AA201" s="1092"/>
      <c r="AB201" s="83">
        <f t="shared" si="149"/>
        <v>2</v>
      </c>
      <c r="AC201" s="165"/>
      <c r="AD201" s="165" t="s">
        <v>3087</v>
      </c>
      <c r="AE201" s="165"/>
      <c r="AF201" s="380"/>
      <c r="AG201" s="1" t="str">
        <f>IF($AB201=1,$F201&amp;$AB201,"")</f>
        <v/>
      </c>
      <c r="AH201" s="1" t="str">
        <f>IF($AB201=2,$F201&amp;$AB201,"")</f>
        <v>AH.L.Fal2</v>
      </c>
      <c r="AI201" s="1" t="str">
        <f>IF($AB201=3,$F201&amp;$AB201,"")</f>
        <v/>
      </c>
      <c r="AJ201" s="1" t="str">
        <f>IF($AB201=4,$F201&amp;$AB201,"")</f>
        <v/>
      </c>
      <c r="AK201">
        <f>VLOOKUP($B201,Tab_classif,8,FALSE)</f>
        <v>1</v>
      </c>
      <c r="AL201">
        <f>VLOOKUP(D201,Tab_ActS,2,FALSE)</f>
        <v>1</v>
      </c>
      <c r="AM201">
        <f>VLOOKUP(E201,Tab_SDom,3,FALSE)</f>
        <v>1</v>
      </c>
      <c r="AN201">
        <f>VLOOKUP($F201,Tab_event,4,FALSE)</f>
        <v>1</v>
      </c>
      <c r="AO201">
        <f>I201*AK201*AL201*AM201*AN201</f>
        <v>1</v>
      </c>
      <c r="AP201">
        <f>IF(AND(AO201=1,AA201=""),IF(IndG=1,10*L201+M201,10*X201+Y201),"")</f>
        <v>23</v>
      </c>
    </row>
    <row r="202" spans="1:49" ht="18" customHeight="1" x14ac:dyDescent="0.25">
      <c r="A202" s="866" t="s">
        <v>6517</v>
      </c>
      <c r="B202" s="1325"/>
      <c r="C202" s="1325"/>
      <c r="D202" s="1325"/>
      <c r="E202" s="1325"/>
      <c r="F202" s="1325"/>
      <c r="G202" s="1325"/>
      <c r="H202" s="1325"/>
      <c r="I202" s="24"/>
      <c r="J202" s="83"/>
      <c r="K202" s="24"/>
      <c r="L202" s="83"/>
      <c r="M202" s="83"/>
      <c r="N202" s="1070"/>
      <c r="O202" s="1070"/>
      <c r="P202" s="169"/>
      <c r="Q202" s="871"/>
      <c r="R202" s="221"/>
      <c r="S202" s="221"/>
      <c r="T202" s="221"/>
      <c r="U202" s="687">
        <f>1</f>
        <v>1</v>
      </c>
      <c r="V202" s="1071"/>
      <c r="W202" s="1071"/>
      <c r="X202" s="83"/>
      <c r="Y202" s="83"/>
      <c r="Z202" s="83"/>
      <c r="AA202" s="1092"/>
      <c r="AB202" s="83"/>
      <c r="AC202" s="200"/>
      <c r="AD202" s="200"/>
      <c r="AE202" s="200"/>
      <c r="AF202" s="200"/>
      <c r="AG202" s="1"/>
      <c r="AH202" s="1"/>
      <c r="AI202" s="1"/>
      <c r="AJ202" s="1"/>
    </row>
    <row r="203" spans="1:49" ht="40.5" customHeight="1" x14ac:dyDescent="0.25">
      <c r="A203" s="854" t="s">
        <v>6518</v>
      </c>
      <c r="B203" s="854" t="s">
        <v>313</v>
      </c>
      <c r="C203" s="856" t="s">
        <v>539</v>
      </c>
      <c r="D203" s="854" t="str">
        <f>Cfg</f>
        <v>Configuration systèmes et applications</v>
      </c>
      <c r="E203" s="867" t="str">
        <f>Inex</f>
        <v>Inexploitabilité</v>
      </c>
      <c r="F203" s="905" t="s">
        <v>3218</v>
      </c>
      <c r="G203" s="858" t="s">
        <v>4802</v>
      </c>
      <c r="H203" s="851"/>
      <c r="I203" s="24">
        <v>1</v>
      </c>
      <c r="J203" s="83" t="str">
        <f>VLOOKUP($F203,Tab_event,5)</f>
        <v>V</v>
      </c>
      <c r="K203" s="24" t="str">
        <f>C203</f>
        <v>D</v>
      </c>
      <c r="L203" s="83">
        <f>IF(VLOOKUP($B203,Tab_classif,8,FALSE)=1,VLOOKUP($B203,Tab_classif,IF(C203="D",4,IF(C203="I",5,IF(C203="C",6,7))),FALSE),1)</f>
        <v>2</v>
      </c>
      <c r="M203" s="83">
        <f>VLOOKUP($F203,Tab_event,3,FALSE)</f>
        <v>3</v>
      </c>
      <c r="N203" s="1070"/>
      <c r="O203" s="1070"/>
      <c r="P203" s="169">
        <f>IF(AND(NOT(L203=""),NOT(M203="")),INDEX(base_g,5-IF(N203="",L203,N203),IF(O203="",M203,O203)),"")</f>
        <v>2</v>
      </c>
      <c r="Q203" s="871">
        <f>1</f>
        <v>1</v>
      </c>
      <c r="R203" s="221">
        <f>1</f>
        <v>1</v>
      </c>
      <c r="S203" s="221">
        <f>1</f>
        <v>1</v>
      </c>
      <c r="T203" s="221">
        <f>S5C03</f>
        <v>1</v>
      </c>
      <c r="U203" s="687"/>
      <c r="V203" s="1071"/>
      <c r="W203" s="1071"/>
      <c r="X203" s="83">
        <f>IF(L203="","",IF(K203="D",INDEX(base_i,IF(U203=0,4,5-S203),T203+7*(IF(N203="",L203,N203)-1)),IF(K203="I",INDEX(base_i,IF(U203=0,15,16-S203),T203+7*(IF(N203="",L203,N203)-1)),IF(K203="C",INDEX(base_i,IF(U203=0,26,27-S203),T203+7*(IF(N203="",L203,N203)-1)),INDEX(base_i,38-S203,T203+7*(IF(N203="",L203,N203)-1))))))</f>
        <v>2</v>
      </c>
      <c r="Y203" s="83" cm="1">
        <f t="array" ref="Y203">IF(M203="","",IF(J203="A",INDEX(base_p,4,R203+7*(IF(O203="",M203,O203)-1)),IF(J203="E",INDEX(base_p,15,R203+7*(IF(O203="",M203,O203)-1)),INDEX(base_p,27-Q203,R203+7*(IF(O203="",M203,O203)-1)))))</f>
        <v>3</v>
      </c>
      <c r="Z203" s="83">
        <f>IF(AO203=1,IF(IndG&gt;1,IF(AND(OR(NOT(X203=""),NOT(V203="")),OR(NOT(Y203=""),NOT(W203="")),I203=1),INDEX(base_g,5-IF(V203="",X203,V203),IF(W203="",Y203,W203)),""),P203),"")</f>
        <v>2</v>
      </c>
      <c r="AA203" s="1092"/>
      <c r="AB203" s="83">
        <f t="shared" si="149"/>
        <v>2</v>
      </c>
      <c r="AC203" s="196"/>
      <c r="AD203" s="196"/>
      <c r="AE203" s="196"/>
      <c r="AF203" s="196" t="s">
        <v>4640</v>
      </c>
      <c r="AG203" s="1" t="str">
        <f>IF($AB203=1,$F203&amp;$AB203,"")</f>
        <v/>
      </c>
      <c r="AH203" s="1" t="str">
        <f>IF($AB203=2,$F203&amp;$AB203,"")</f>
        <v>AH.L.Sam2</v>
      </c>
      <c r="AI203" s="1" t="str">
        <f>IF($AB203=3,$F203&amp;$AB203,"")</f>
        <v/>
      </c>
      <c r="AJ203" s="1" t="str">
        <f>IF($AB203=4,$F203&amp;$AB203,"")</f>
        <v/>
      </c>
      <c r="AK203">
        <f>VLOOKUP($B203,Tab_classif,8,FALSE)</f>
        <v>1</v>
      </c>
      <c r="AL203">
        <f>VLOOKUP(D203,Tab_ActS,2,FALSE)</f>
        <v>1</v>
      </c>
      <c r="AM203">
        <f>VLOOKUP(E203,Tab_SDom,3,FALSE)</f>
        <v>1</v>
      </c>
      <c r="AN203">
        <f>VLOOKUP($F203,Tab_event,4,FALSE)</f>
        <v>1</v>
      </c>
      <c r="AO203">
        <f>I203*AK203*AL203*AM203*AN203</f>
        <v>1</v>
      </c>
      <c r="AP203">
        <f>IF(AND(AO203=1,AA203=""),IF(IndG=1,10*L203+M203,10*X203+Y203),"")</f>
        <v>23</v>
      </c>
    </row>
    <row r="204" spans="1:49" ht="18" customHeight="1" x14ac:dyDescent="0.25">
      <c r="A204" s="866" t="s">
        <v>6519</v>
      </c>
      <c r="B204" s="1325"/>
      <c r="C204" s="1325"/>
      <c r="D204" s="1325"/>
      <c r="E204" s="1325"/>
      <c r="F204" s="1325"/>
      <c r="G204" s="1325"/>
      <c r="H204" s="1325"/>
      <c r="I204" s="24"/>
      <c r="J204" s="83"/>
      <c r="K204" s="24"/>
      <c r="L204" s="83"/>
      <c r="M204" s="83"/>
      <c r="N204" s="1070"/>
      <c r="O204" s="1070"/>
      <c r="P204" s="169"/>
      <c r="Q204" s="871"/>
      <c r="R204" s="221"/>
      <c r="S204" s="221"/>
      <c r="T204" s="221"/>
      <c r="U204" s="687">
        <f>S5C03</f>
        <v>1</v>
      </c>
      <c r="V204" s="1071"/>
      <c r="W204" s="1071"/>
      <c r="X204" s="83"/>
      <c r="Y204" s="83"/>
      <c r="Z204" s="83"/>
      <c r="AA204" s="1092"/>
      <c r="AB204" s="83"/>
      <c r="AC204" s="200"/>
      <c r="AD204" s="200"/>
      <c r="AE204" s="200"/>
      <c r="AF204" s="200"/>
      <c r="AG204" s="1"/>
      <c r="AH204" s="1"/>
      <c r="AI204" s="1"/>
      <c r="AJ204" s="1"/>
    </row>
    <row r="205" spans="1:49" ht="44.25" customHeight="1" x14ac:dyDescent="0.25">
      <c r="A205" s="894" t="s">
        <v>6520</v>
      </c>
      <c r="B205" s="854" t="s">
        <v>313</v>
      </c>
      <c r="C205" s="856" t="s">
        <v>268</v>
      </c>
      <c r="D205" s="854" t="str">
        <f>Cfg</f>
        <v>Configuration systèmes et applications</v>
      </c>
      <c r="E205" s="788" t="str">
        <f>Altf</f>
        <v>Altération (non détectée) de fonction</v>
      </c>
      <c r="F205" s="858" t="s">
        <v>3211</v>
      </c>
      <c r="G205" s="858" t="s">
        <v>4803</v>
      </c>
      <c r="H205" s="850" t="s">
        <v>4759</v>
      </c>
      <c r="I205" s="24">
        <v>1</v>
      </c>
      <c r="J205" s="83" t="str">
        <f>VLOOKUP($F205,Tab_event,5)</f>
        <v>V</v>
      </c>
      <c r="K205" s="24" t="str">
        <f>C205</f>
        <v>I</v>
      </c>
      <c r="L205" s="83">
        <f>IF(VLOOKUP($B205,Tab_classif,8,FALSE)=1,VLOOKUP($B205,Tab_classif,IF(C205="D",4,IF(C205="I",5,IF(C205="C",6,7))),FALSE),1)</f>
        <v>2</v>
      </c>
      <c r="M205" s="83">
        <f>VLOOKUP($F205,Tab_event,3,FALSE)</f>
        <v>3</v>
      </c>
      <c r="N205" s="1070"/>
      <c r="O205" s="1070"/>
      <c r="P205" s="169">
        <f>IF(AND(NOT(L205=""),NOT(M205="")),INDEX(base_g,5-IF(N205="",L205,N205),IF(O205="",M205,O205)),"")</f>
        <v>2</v>
      </c>
      <c r="Q205" s="871">
        <f>S3A08</f>
        <v>1</v>
      </c>
      <c r="R205" s="221">
        <f>S5A06</f>
        <v>1</v>
      </c>
      <c r="S205" s="221">
        <f>1</f>
        <v>1</v>
      </c>
      <c r="T205" s="221">
        <f>1</f>
        <v>1</v>
      </c>
      <c r="U205" s="687"/>
      <c r="V205" s="1071"/>
      <c r="W205" s="1071"/>
      <c r="X205" s="83">
        <f>IF(L205="","",IF(K205="D",INDEX(base_i,IF(U205=0,4,5-S205),T205+7*(IF(N205="",L205,N205)-1)),IF(K205="I",INDEX(base_i,IF(U205=0,15,16-S205),T205+7*(IF(N205="",L205,N205)-1)),IF(K205="C",INDEX(base_i,IF(U205=0,26,27-S205),T205+7*(IF(N205="",L205,N205)-1)),INDEX(base_i,38-S205,T205+7*(IF(N205="",L205,N205)-1))))))</f>
        <v>2</v>
      </c>
      <c r="Y205" s="83" cm="1">
        <f t="array" ref="Y205">IF(M205="","",IF(J205="A",INDEX(base_p,4,R205+7*(IF(O205="",M205,O205)-1)),IF(J205="E",INDEX(base_p,15,R205+7*(IF(O205="",M205,O205)-1)),INDEX(base_p,27-Q205,R205+7*(IF(O205="",M205,O205)-1)))))</f>
        <v>3</v>
      </c>
      <c r="Z205" s="83">
        <f>IF(AO205=1,IF(IndG&gt;1,IF(AND(OR(NOT(X205=""),NOT(V205="")),OR(NOT(Y205=""),NOT(W205="")),I205=1),INDEX(base_g,5-IF(V205="",X205,V205),IF(W205="",Y205,W205)),""),P205),"")</f>
        <v>2</v>
      </c>
      <c r="AA205" s="1092"/>
      <c r="AB205" s="83">
        <f t="shared" si="149"/>
        <v>2</v>
      </c>
      <c r="AC205" s="165" t="s">
        <v>820</v>
      </c>
      <c r="AD205" s="165" t="s">
        <v>4626</v>
      </c>
      <c r="AE205" s="165"/>
      <c r="AF205" s="380"/>
      <c r="AG205" s="1" t="str">
        <f t="shared" ref="AG205:AG215" si="186">IF($AB205=1,$F205&amp;$AB205,"")</f>
        <v/>
      </c>
      <c r="AH205" s="1" t="str">
        <f t="shared" ref="AH205:AH215" si="187">IF($AB205=2,$F205&amp;$AB205,"")</f>
        <v>AH.L.Fal2</v>
      </c>
      <c r="AI205" s="1" t="str">
        <f t="shared" ref="AI205:AI215" si="188">IF($AB205=3,$F205&amp;$AB205,"")</f>
        <v/>
      </c>
      <c r="AJ205" s="1" t="str">
        <f t="shared" ref="AJ205:AJ215" si="189">IF($AB205=4,$F205&amp;$AB205,"")</f>
        <v/>
      </c>
      <c r="AK205">
        <f>VLOOKUP($B205,Tab_classif,8,FALSE)</f>
        <v>1</v>
      </c>
      <c r="AL205">
        <f>VLOOKUP(D205,Tab_ActS,2,FALSE)</f>
        <v>1</v>
      </c>
      <c r="AM205">
        <f>VLOOKUP(E205,Tab_SDom,3,FALSE)</f>
        <v>1</v>
      </c>
      <c r="AN205">
        <f>VLOOKUP($F205,Tab_event,4,FALSE)</f>
        <v>1</v>
      </c>
      <c r="AO205">
        <f>I205*AK205*AL205*AM205*AN205</f>
        <v>1</v>
      </c>
      <c r="AP205">
        <f>IF(AND(AO205=1,AA205=""),IF(IndG=1,10*L205+M205,10*X205+Y205),"")</f>
        <v>23</v>
      </c>
    </row>
    <row r="206" spans="1:49" ht="44.25" customHeight="1" x14ac:dyDescent="0.25">
      <c r="A206" s="894" t="s">
        <v>6521</v>
      </c>
      <c r="B206" s="854" t="s">
        <v>313</v>
      </c>
      <c r="C206" s="856" t="s">
        <v>268</v>
      </c>
      <c r="D206" s="854" t="str">
        <f>Cfg</f>
        <v>Configuration systèmes et applications</v>
      </c>
      <c r="E206" s="788" t="str">
        <f>Altf</f>
        <v>Altération (non détectée) de fonction</v>
      </c>
      <c r="F206" s="858" t="s">
        <v>3211</v>
      </c>
      <c r="G206" s="858" t="s">
        <v>4803</v>
      </c>
      <c r="H206" s="850" t="s">
        <v>2151</v>
      </c>
      <c r="I206" s="24">
        <v>1</v>
      </c>
      <c r="J206" s="83" t="str">
        <f>VLOOKUP($F206,Tab_event,5)</f>
        <v>V</v>
      </c>
      <c r="K206" s="24" t="str">
        <f>C206</f>
        <v>I</v>
      </c>
      <c r="L206" s="83">
        <f>IF(VLOOKUP($B206,Tab_classif,8,FALSE)=1,VLOOKUP($B206,Tab_classif,IF(C206="D",4,IF(C206="I",5,IF(C206="C",6,7))),FALSE),1)</f>
        <v>2</v>
      </c>
      <c r="M206" s="83">
        <f>VLOOKUP($F206,Tab_event,3,FALSE)</f>
        <v>3</v>
      </c>
      <c r="N206" s="1070"/>
      <c r="O206" s="1070"/>
      <c r="P206" s="169">
        <f>IF(AND(NOT(L206=""),NOT(M206="")),INDEX(base_g,5-IF(N206="",L206,N206),IF(O206="",M206,O206)),"")</f>
        <v>2</v>
      </c>
      <c r="Q206" s="871">
        <f>1</f>
        <v>1</v>
      </c>
      <c r="R206" s="221">
        <f>S5A06</f>
        <v>1</v>
      </c>
      <c r="S206" s="221">
        <f>1</f>
        <v>1</v>
      </c>
      <c r="T206" s="221">
        <f>1</f>
        <v>1</v>
      </c>
      <c r="U206" s="687"/>
      <c r="V206" s="1071"/>
      <c r="W206" s="1071"/>
      <c r="X206" s="83">
        <f>IF(L206="","",IF(K206="D",INDEX(base_i,IF(U206=0,4,5-S206),T206+7*(IF(N206="",L206,N206)-1)),IF(K206="I",INDEX(base_i,IF(U206=0,15,16-S206),T206+7*(IF(N206="",L206,N206)-1)),IF(K206="C",INDEX(base_i,IF(U206=0,26,27-S206),T206+7*(IF(N206="",L206,N206)-1)),INDEX(base_i,38-S206,T206+7*(IF(N206="",L206,N206)-1))))))</f>
        <v>2</v>
      </c>
      <c r="Y206" s="83" cm="1">
        <f t="array" ref="Y206">IF(M206="","",IF(J206="A",INDEX(base_p,4,R206+7*(IF(O206="",M206,O206)-1)),IF(J206="E",INDEX(base_p,15,R206+7*(IF(O206="",M206,O206)-1)),INDEX(base_p,27-Q206,R206+7*(IF(O206="",M206,O206)-1)))))</f>
        <v>3</v>
      </c>
      <c r="Z206" s="83">
        <f>IF(AO206=1,IF(IndG&gt;1,IF(AND(OR(NOT(X206=""),NOT(V206="")),OR(NOT(Y206=""),NOT(W206="")),I206=1),INDEX(base_g,5-IF(V206="",X206,V206),IF(W206="",Y206,W206)),""),P206),"")</f>
        <v>2</v>
      </c>
      <c r="AA206" s="1092"/>
      <c r="AB206" s="83">
        <f t="shared" si="149"/>
        <v>2</v>
      </c>
      <c r="AC206" s="165"/>
      <c r="AD206" s="165" t="s">
        <v>4626</v>
      </c>
      <c r="AE206" s="165"/>
      <c r="AF206" s="380"/>
      <c r="AG206" s="1" t="str">
        <f t="shared" si="186"/>
        <v/>
      </c>
      <c r="AH206" s="1" t="str">
        <f t="shared" si="187"/>
        <v>AH.L.Fal2</v>
      </c>
      <c r="AI206" s="1" t="str">
        <f t="shared" si="188"/>
        <v/>
      </c>
      <c r="AJ206" s="1" t="str">
        <f t="shared" si="189"/>
        <v/>
      </c>
      <c r="AK206">
        <f>VLOOKUP($B206,Tab_classif,8,FALSE)</f>
        <v>1</v>
      </c>
      <c r="AL206">
        <f>VLOOKUP(D206,Tab_ActS,2,FALSE)</f>
        <v>1</v>
      </c>
      <c r="AM206">
        <f>VLOOKUP(E206,Tab_SDom,3,FALSE)</f>
        <v>1</v>
      </c>
      <c r="AN206">
        <f>VLOOKUP($F206,Tab_event,4,FALSE)</f>
        <v>1</v>
      </c>
      <c r="AO206">
        <f>I206*AK206*AL206*AM206*AN206</f>
        <v>1</v>
      </c>
      <c r="AP206">
        <f>IF(AND(AO206=1,AA206=""),IF(IndG=1,10*L206+M206,10*X206+Y206),"")</f>
        <v>23</v>
      </c>
    </row>
    <row r="207" spans="1:49" ht="44.25" customHeight="1" x14ac:dyDescent="0.25">
      <c r="A207" s="894" t="s">
        <v>6522</v>
      </c>
      <c r="B207" s="854" t="s">
        <v>313</v>
      </c>
      <c r="C207" s="856" t="s">
        <v>268</v>
      </c>
      <c r="D207" s="854" t="str">
        <f>Cfg</f>
        <v>Configuration systèmes et applications</v>
      </c>
      <c r="E207" s="788" t="str">
        <f>Altf</f>
        <v>Altération (non détectée) de fonction</v>
      </c>
      <c r="F207" s="858" t="s">
        <v>3211</v>
      </c>
      <c r="G207" s="858" t="s">
        <v>4803</v>
      </c>
      <c r="H207" s="850" t="s">
        <v>4760</v>
      </c>
      <c r="I207" s="24">
        <v>1</v>
      </c>
      <c r="J207" s="83" t="str">
        <f>VLOOKUP($F207,Tab_event,5)</f>
        <v>V</v>
      </c>
      <c r="K207" s="24" t="str">
        <f>C207</f>
        <v>I</v>
      </c>
      <c r="L207" s="83">
        <f>IF(VLOOKUP($B207,Tab_classif,8,FALSE)=1,VLOOKUP($B207,Tab_classif,IF(C207="D",4,IF(C207="I",5,IF(C207="C",6,7))),FALSE),1)</f>
        <v>2</v>
      </c>
      <c r="M207" s="83">
        <f>VLOOKUP($F207,Tab_event,3,FALSE)</f>
        <v>3</v>
      </c>
      <c r="N207" s="1070"/>
      <c r="O207" s="1070"/>
      <c r="P207" s="169">
        <f>IF(AND(NOT(L207=""),NOT(M207="")),INDEX(base_g,5-IF(N207="",L207,N207),IF(O207="",M207,O207)),"")</f>
        <v>2</v>
      </c>
      <c r="Q207" s="871">
        <f>S3A08</f>
        <v>1</v>
      </c>
      <c r="R207" s="221">
        <f>MAX(S3A07,S4B01,S5A06)</f>
        <v>1</v>
      </c>
      <c r="S207" s="221">
        <f>1</f>
        <v>1</v>
      </c>
      <c r="T207" s="221">
        <f>1</f>
        <v>1</v>
      </c>
      <c r="U207" s="687"/>
      <c r="V207" s="1071"/>
      <c r="W207" s="1071"/>
      <c r="X207" s="83">
        <f>IF(L207="","",IF(K207="D",INDEX(base_i,IF(U207=0,4,5-S207),T207+7*(IF(N207="",L207,N207)-1)),IF(K207="I",INDEX(base_i,IF(U207=0,15,16-S207),T207+7*(IF(N207="",L207,N207)-1)),IF(K207="C",INDEX(base_i,IF(U207=0,26,27-S207),T207+7*(IF(N207="",L207,N207)-1)),INDEX(base_i,38-S207,T207+7*(IF(N207="",L207,N207)-1))))))</f>
        <v>2</v>
      </c>
      <c r="Y207" s="83" cm="1">
        <f t="array" ref="Y207">IF(M207="","",IF(J207="A",INDEX(base_p,4,R207+7*(IF(O207="",M207,O207)-1)),IF(J207="E",INDEX(base_p,15,R207+7*(IF(O207="",M207,O207)-1)),INDEX(base_p,27-Q207,R207+7*(IF(O207="",M207,O207)-1)))))</f>
        <v>3</v>
      </c>
      <c r="Z207" s="83">
        <f>IF(AO207=1,IF(IndG&gt;1,IF(AND(OR(NOT(X207=""),NOT(V207="")),OR(NOT(Y207=""),NOT(W207="")),I207=1),INDEX(base_g,5-IF(V207="",X207,V207),IF(W207="",Y207,W207)),""),P207),"")</f>
        <v>2</v>
      </c>
      <c r="AA207" s="1092"/>
      <c r="AB207" s="83">
        <f t="shared" si="149"/>
        <v>2</v>
      </c>
      <c r="AC207" s="165" t="s">
        <v>820</v>
      </c>
      <c r="AD207" s="165" t="s">
        <v>4648</v>
      </c>
      <c r="AE207" s="165"/>
      <c r="AF207" s="380"/>
      <c r="AG207" s="1" t="str">
        <f t="shared" si="186"/>
        <v/>
      </c>
      <c r="AH207" s="1" t="str">
        <f t="shared" si="187"/>
        <v>AH.L.Fal2</v>
      </c>
      <c r="AI207" s="1" t="str">
        <f t="shared" si="188"/>
        <v/>
      </c>
      <c r="AJ207" s="1" t="str">
        <f t="shared" si="189"/>
        <v/>
      </c>
      <c r="AK207">
        <f>VLOOKUP($B207,Tab_classif,8,FALSE)</f>
        <v>1</v>
      </c>
      <c r="AL207">
        <f>VLOOKUP(D207,Tab_ActS,2,FALSE)</f>
        <v>1</v>
      </c>
      <c r="AM207">
        <f>VLOOKUP(E207,Tab_SDom,3,FALSE)</f>
        <v>1</v>
      </c>
      <c r="AN207">
        <f>VLOOKUP($F207,Tab_event,4,FALSE)</f>
        <v>1</v>
      </c>
      <c r="AO207">
        <f>I207*AK207*AL207*AM207*AN207</f>
        <v>1</v>
      </c>
      <c r="AP207">
        <f>IF(AND(AO207=1,AA207=""),IF(IndG=1,10*L207+M207,10*X207+Y207),"")</f>
        <v>23</v>
      </c>
    </row>
    <row r="208" spans="1:49" ht="18" customHeight="1" x14ac:dyDescent="0.25">
      <c r="A208" s="866" t="s">
        <v>6523</v>
      </c>
      <c r="B208" s="1325"/>
      <c r="C208" s="1325"/>
      <c r="D208" s="1325"/>
      <c r="E208" s="1325"/>
      <c r="F208" s="1325"/>
      <c r="G208" s="1325"/>
      <c r="H208" s="1325"/>
      <c r="I208" s="24"/>
      <c r="J208" s="83"/>
      <c r="K208" s="24"/>
      <c r="L208" s="83"/>
      <c r="M208" s="83"/>
      <c r="N208" s="1070"/>
      <c r="O208" s="1070"/>
      <c r="P208" s="169"/>
      <c r="Q208" s="871"/>
      <c r="R208" s="221"/>
      <c r="S208" s="221"/>
      <c r="T208" s="221"/>
      <c r="U208" s="687">
        <f>1</f>
        <v>1</v>
      </c>
      <c r="V208" s="1071"/>
      <c r="W208" s="1071"/>
      <c r="X208" s="83"/>
      <c r="Y208" s="83"/>
      <c r="Z208" s="83"/>
      <c r="AA208" s="1092"/>
      <c r="AB208" s="83"/>
      <c r="AC208" s="200"/>
      <c r="AD208" s="200"/>
      <c r="AE208" s="200"/>
      <c r="AF208" s="200"/>
      <c r="AG208" s="1" t="str">
        <f t="shared" si="186"/>
        <v/>
      </c>
      <c r="AH208" s="1" t="str">
        <f t="shared" si="187"/>
        <v/>
      </c>
      <c r="AI208" s="1" t="str">
        <f t="shared" si="188"/>
        <v/>
      </c>
      <c r="AJ208" s="1" t="str">
        <f t="shared" si="189"/>
        <v/>
      </c>
    </row>
    <row r="209" spans="1:42" ht="52.5" customHeight="1" x14ac:dyDescent="0.25">
      <c r="A209" s="854" t="s">
        <v>6524</v>
      </c>
      <c r="B209" s="854" t="s">
        <v>3196</v>
      </c>
      <c r="C209" s="856" t="s">
        <v>357</v>
      </c>
      <c r="D209" s="854" t="str">
        <f>Pro</f>
        <v xml:space="preserve"> Procédure support des processus</v>
      </c>
      <c r="E209" s="902" t="str">
        <f>Napp</f>
        <v>Non application de la procédure adaptée</v>
      </c>
      <c r="F209" s="858" t="s">
        <v>3226</v>
      </c>
      <c r="G209" s="900" t="s">
        <v>6531</v>
      </c>
      <c r="H209" s="859"/>
      <c r="I209" s="24">
        <v>1</v>
      </c>
      <c r="J209" s="83" t="str">
        <f>VLOOKUP($F209,Tab_event,5)</f>
        <v>E</v>
      </c>
      <c r="K209" s="24" t="str">
        <f>C209</f>
        <v>E</v>
      </c>
      <c r="L209" s="83">
        <f>IF(VLOOKUP($B209,Tab_classif,8,FALSE)=1,VLOOKUP($B209,Tab_classif,IF(C209="D",4,IF(C209="I",5,IF(C209="C",6,7))),FALSE),1)</f>
        <v>2</v>
      </c>
      <c r="M209" s="83">
        <f>VLOOKUP($F209,Tab_event,3,FALSE)</f>
        <v>2</v>
      </c>
      <c r="N209" s="1070"/>
      <c r="O209" s="1070"/>
      <c r="P209" s="169">
        <f>IF(AND(NOT(L209=""),NOT(M209="")),INDEX(base_g,5-IF(N209="",L209,N209),IF(O209="",M209,O209)),"")</f>
        <v>2</v>
      </c>
      <c r="Q209" s="871">
        <f>1</f>
        <v>1</v>
      </c>
      <c r="R209" s="221">
        <f>S8A01</f>
        <v>1</v>
      </c>
      <c r="S209" s="221">
        <f>1</f>
        <v>1</v>
      </c>
      <c r="T209" s="221">
        <f>1</f>
        <v>1</v>
      </c>
      <c r="U209" s="687"/>
      <c r="V209" s="1071"/>
      <c r="W209" s="1071"/>
      <c r="X209" s="83">
        <f>IF(L209="","",IF(K209="D",INDEX(base_i,IF(U209=0,4,5-S209),T209+7*(IF(N209="",L209,N209)-1)),IF(K209="I",INDEX(base_i,IF(U209=0,15,16-S209),T209+7*(IF(N209="",L209,N209)-1)),IF(K209="C",INDEX(base_i,IF(U209=0,26,27-S209),T209+7*(IF(N209="",L209,N209)-1)),INDEX(base_i,38-S209,T209+7*(IF(N209="",L209,N209)-1))))))</f>
        <v>2</v>
      </c>
      <c r="Y209" s="83" cm="1">
        <f t="array" ref="Y209">IF(M209="","",IF(J209="A",INDEX(base_p,4,R209+7*(IF(O209="",M209,O209)-1)),IF(J209="E",INDEX(base_p,15,R209+7*(IF(O209="",M209,O209)-1)),INDEX(base_p,27-Q209,R209+7*(IF(O209="",M209,O209)-1)))))</f>
        <v>2</v>
      </c>
      <c r="Z209" s="83">
        <f>IF(AO209=1,IF(IndG&gt;1,IF(AND(OR(NOT(X209=""),NOT(V209="")),OR(NOT(Y209=""),NOT(W209="")),I209=1),INDEX(base_g,5-IF(V209="",X209,V209),IF(W209="",Y209,W209)),""),P209),"")</f>
        <v>2</v>
      </c>
      <c r="AA209" s="1092"/>
      <c r="AB209" s="83">
        <f t="shared" si="149"/>
        <v>2</v>
      </c>
      <c r="AC209" s="165"/>
      <c r="AD209" s="165" t="s">
        <v>797</v>
      </c>
      <c r="AE209" s="165"/>
      <c r="AF209" s="380"/>
      <c r="AG209" s="1" t="str">
        <f t="shared" si="186"/>
        <v/>
      </c>
      <c r="AH209" s="1" t="str">
        <f t="shared" si="187"/>
        <v>PR.N.Nai2</v>
      </c>
      <c r="AI209" s="1" t="str">
        <f t="shared" si="188"/>
        <v/>
      </c>
      <c r="AJ209" s="1" t="str">
        <f t="shared" si="189"/>
        <v/>
      </c>
      <c r="AK209">
        <f>VLOOKUP($B209,Tab_classif,8,FALSE)</f>
        <v>1</v>
      </c>
      <c r="AL209">
        <f>VLOOKUP(D209,Tab_ActS,2,FALSE)</f>
        <v>1</v>
      </c>
      <c r="AM209">
        <f>VLOOKUP(E209,Tab_SDom,3,FALSE)</f>
        <v>1</v>
      </c>
      <c r="AN209">
        <f>VLOOKUP($F209,Tab_event,4,FALSE)</f>
        <v>1</v>
      </c>
      <c r="AO209">
        <f>I209*AK209*AL209*AM209*AN209</f>
        <v>1</v>
      </c>
      <c r="AP209">
        <f>IF(AND(AO209=1,AA209=""),IF(IndG=1,10*L209+M209,10*X209+Y209),"")</f>
        <v>22</v>
      </c>
    </row>
    <row r="210" spans="1:42" ht="52.5" customHeight="1" x14ac:dyDescent="0.25">
      <c r="A210" s="854" t="s">
        <v>6525</v>
      </c>
      <c r="B210" s="854" t="s">
        <v>3196</v>
      </c>
      <c r="C210" s="856" t="s">
        <v>357</v>
      </c>
      <c r="D210" s="854" t="str">
        <f>Pro</f>
        <v xml:space="preserve"> Procédure support des processus</v>
      </c>
      <c r="E210" s="902" t="str">
        <f>Napp</f>
        <v>Non application de la procédure adaptée</v>
      </c>
      <c r="F210" s="858" t="s">
        <v>511</v>
      </c>
      <c r="G210" s="900" t="s">
        <v>6532</v>
      </c>
      <c r="H210" s="859"/>
      <c r="I210" s="24">
        <v>1</v>
      </c>
      <c r="J210" s="83" t="str">
        <f>VLOOKUP($F210,Tab_event,5)</f>
        <v>V</v>
      </c>
      <c r="K210" s="24" t="str">
        <f>C210</f>
        <v>E</v>
      </c>
      <c r="L210" s="83">
        <f>IF(VLOOKUP($B210,Tab_classif,8,FALSE)=1,VLOOKUP($B210,Tab_classif,IF(C210="D",4,IF(C210="I",5,IF(C210="C",6,7))),FALSE),1)</f>
        <v>2</v>
      </c>
      <c r="M210" s="83">
        <f>VLOOKUP($F210,Tab_event,3,FALSE)</f>
        <v>2</v>
      </c>
      <c r="N210" s="1070"/>
      <c r="O210" s="1070"/>
      <c r="P210" s="169">
        <f>IF(AND(NOT(L210=""),NOT(M210="")),INDEX(base_g,5-IF(N210="",L210,N210),IF(O210="",M210,O210)),"")</f>
        <v>2</v>
      </c>
      <c r="Q210" s="871">
        <f>S8A02</f>
        <v>1</v>
      </c>
      <c r="R210" s="221">
        <f>1</f>
        <v>1</v>
      </c>
      <c r="S210" s="221">
        <f>1</f>
        <v>1</v>
      </c>
      <c r="T210" s="221">
        <f>1</f>
        <v>1</v>
      </c>
      <c r="U210" s="687"/>
      <c r="V210" s="1071"/>
      <c r="W210" s="1071"/>
      <c r="X210" s="83">
        <f>IF(L210="","",IF(K210="D",INDEX(base_i,IF(U210=0,4,5-S210),T210+7*(IF(N210="",L210,N210)-1)),IF(K210="I",INDEX(base_i,IF(U210=0,15,16-S210),T210+7*(IF(N210="",L210,N210)-1)),IF(K210="C",INDEX(base_i,IF(U210=0,26,27-S210),T210+7*(IF(N210="",L210,N210)-1)),INDEX(base_i,38-S210,T210+7*(IF(N210="",L210,N210)-1))))))</f>
        <v>2</v>
      </c>
      <c r="Y210" s="83" cm="1">
        <f t="array" ref="Y210">IF(M210="","",IF(J210="A",INDEX(base_p,4,R210+7*(IF(O210="",M210,O210)-1)),IF(J210="E",INDEX(base_p,15,R210+7*(IF(O210="",M210,O210)-1)),INDEX(base_p,27-Q210,R210+7*(IF(O210="",M210,O210)-1)))))</f>
        <v>2</v>
      </c>
      <c r="Z210" s="83">
        <f>IF(AO210=1,IF(IndG&gt;1,IF(AND(OR(NOT(X210=""),NOT(V210="")),OR(NOT(Y210=""),NOT(W210="")),I210=1),INDEX(base_g,5-IF(V210="",X210,V210),IF(W210="",Y210,W210)),""),P210),"")</f>
        <v>2</v>
      </c>
      <c r="AA210" s="1092"/>
      <c r="AB210" s="83">
        <f t="shared" si="149"/>
        <v>2</v>
      </c>
      <c r="AC210" s="165" t="s">
        <v>799</v>
      </c>
      <c r="AD210" s="165"/>
      <c r="AE210" s="165"/>
      <c r="AF210" s="380"/>
      <c r="AG210" s="1" t="str">
        <f t="shared" si="186"/>
        <v/>
      </c>
      <c r="AH210" s="1" t="str">
        <f t="shared" si="187"/>
        <v>PR.N.Nav2</v>
      </c>
      <c r="AI210" s="1" t="str">
        <f t="shared" si="188"/>
        <v/>
      </c>
      <c r="AJ210" s="1" t="str">
        <f t="shared" si="189"/>
        <v/>
      </c>
      <c r="AK210">
        <f>VLOOKUP($B210,Tab_classif,8,FALSE)</f>
        <v>1</v>
      </c>
      <c r="AL210">
        <f>VLOOKUP(D210,Tab_ActS,2,FALSE)</f>
        <v>1</v>
      </c>
      <c r="AM210">
        <f>VLOOKUP(E210,Tab_SDom,3,FALSE)</f>
        <v>1</v>
      </c>
      <c r="AN210">
        <f>VLOOKUP($F210,Tab_event,4,FALSE)</f>
        <v>1</v>
      </c>
      <c r="AO210">
        <f>I210*AK210*AL210*AM210*AN210</f>
        <v>1</v>
      </c>
      <c r="AP210">
        <f>IF(AND(AO210=1,AA210=""),IF(IndG=1,10*L210+M210,10*X210+Y210),"")</f>
        <v>22</v>
      </c>
    </row>
    <row r="211" spans="1:42" ht="52.5" customHeight="1" x14ac:dyDescent="0.25">
      <c r="A211" s="854" t="s">
        <v>6526</v>
      </c>
      <c r="B211" s="853" t="s">
        <v>3196</v>
      </c>
      <c r="C211" s="856" t="s">
        <v>357</v>
      </c>
      <c r="D211" s="854" t="str">
        <f>Pro</f>
        <v xml:space="preserve"> Procédure support des processus</v>
      </c>
      <c r="E211" s="902" t="str">
        <f>Napp</f>
        <v>Non application de la procédure adaptée</v>
      </c>
      <c r="F211" s="858" t="s">
        <v>3228</v>
      </c>
      <c r="G211" s="900" t="s">
        <v>6533</v>
      </c>
      <c r="H211" s="859"/>
      <c r="I211" s="24">
        <v>1</v>
      </c>
      <c r="J211" s="83" t="str">
        <f>VLOOKUP($F211,Tab_event,5)</f>
        <v>E</v>
      </c>
      <c r="K211" s="24" t="str">
        <f>C211</f>
        <v>E</v>
      </c>
      <c r="L211" s="83">
        <f>IF(VLOOKUP($B211,Tab_classif,8,FALSE)=1,VLOOKUP($B211,Tab_classif,IF(C211="D",4,IF(C211="I",5,IF(C211="C",6,7))),FALSE),1)</f>
        <v>2</v>
      </c>
      <c r="M211" s="83">
        <f>VLOOKUP($F211,Tab_event,3,FALSE)</f>
        <v>2</v>
      </c>
      <c r="N211" s="1070"/>
      <c r="O211" s="1070"/>
      <c r="P211" s="169">
        <f>IF(AND(NOT(L211=""),NOT(M211="")),INDEX(base_g,5-IF(N211="",L211,N211),IF(O211="",M211,O211)),"")</f>
        <v>2</v>
      </c>
      <c r="Q211" s="871">
        <f>1</f>
        <v>1</v>
      </c>
      <c r="R211" s="221">
        <f>S8A03</f>
        <v>1</v>
      </c>
      <c r="S211" s="221">
        <f>1</f>
        <v>1</v>
      </c>
      <c r="T211" s="221">
        <f>1</f>
        <v>1</v>
      </c>
      <c r="U211" s="687"/>
      <c r="V211" s="1071"/>
      <c r="W211" s="1071"/>
      <c r="X211" s="83">
        <f>IF(L211="","",IF(K211="D",INDEX(base_i,IF(U211=0,4,5-S211),T211+7*(IF(N211="",L211,N211)-1)),IF(K211="I",INDEX(base_i,IF(U211=0,15,16-S211),T211+7*(IF(N211="",L211,N211)-1)),IF(K211="C",INDEX(base_i,IF(U211=0,26,27-S211),T211+7*(IF(N211="",L211,N211)-1)),INDEX(base_i,38-S211,T211+7*(IF(N211="",L211,N211)-1))))))</f>
        <v>2</v>
      </c>
      <c r="Y211" s="83" cm="1">
        <f t="array" ref="Y211">IF(M211="","",IF(J211="A",INDEX(base_p,4,R211+7*(IF(O211="",M211,O211)-1)),IF(J211="E",INDEX(base_p,15,R211+7*(IF(O211="",M211,O211)-1)),INDEX(base_p,27-Q211,R211+7*(IF(O211="",M211,O211)-1)))))</f>
        <v>2</v>
      </c>
      <c r="Z211" s="83">
        <f>IF(AO211=1,IF(IndG&gt;1,IF(AND(OR(NOT(X211=""),NOT(V211="")),OR(NOT(Y211=""),NOT(W211="")),I211=1),INDEX(base_g,5-IF(V211="",X211,V211),IF(W211="",Y211,W211)),""),P211),"")</f>
        <v>2</v>
      </c>
      <c r="AA211" s="1092"/>
      <c r="AB211" s="83">
        <f t="shared" si="149"/>
        <v>2</v>
      </c>
      <c r="AC211" s="165"/>
      <c r="AD211" s="165" t="s">
        <v>800</v>
      </c>
      <c r="AE211" s="165"/>
      <c r="AF211" s="380"/>
      <c r="AG211" s="1" t="str">
        <f t="shared" si="186"/>
        <v/>
      </c>
      <c r="AH211" s="1" t="str">
        <f t="shared" si="187"/>
        <v>PR.N.Nar2</v>
      </c>
      <c r="AI211" s="1" t="str">
        <f t="shared" si="188"/>
        <v/>
      </c>
      <c r="AJ211" s="1" t="str">
        <f t="shared" si="189"/>
        <v/>
      </c>
      <c r="AK211">
        <f>VLOOKUP($B211,Tab_classif,8,FALSE)</f>
        <v>1</v>
      </c>
      <c r="AL211">
        <f>VLOOKUP(D211,Tab_ActS,2,FALSE)</f>
        <v>1</v>
      </c>
      <c r="AM211">
        <f>VLOOKUP(E211,Tab_SDom,3,FALSE)</f>
        <v>1</v>
      </c>
      <c r="AN211">
        <f>VLOOKUP($F211,Tab_event,4,FALSE)</f>
        <v>1</v>
      </c>
      <c r="AO211">
        <f>I211*AK211*AL211*AM211*AN211</f>
        <v>1</v>
      </c>
      <c r="AP211">
        <f>IF(AND(AO211=1,AA211=""),IF(IndG=1,10*L211+M211,10*X211+Y211),"")</f>
        <v>22</v>
      </c>
    </row>
    <row r="212" spans="1:42" ht="18" customHeight="1" x14ac:dyDescent="0.25">
      <c r="A212" s="866" t="s">
        <v>6527</v>
      </c>
      <c r="B212" s="1325"/>
      <c r="C212" s="1325"/>
      <c r="D212" s="1325"/>
      <c r="E212" s="1325"/>
      <c r="F212" s="1325"/>
      <c r="G212" s="1325"/>
      <c r="H212" s="1325"/>
      <c r="I212" s="24"/>
      <c r="J212" s="83"/>
      <c r="K212" s="24"/>
      <c r="L212" s="83"/>
      <c r="M212" s="83"/>
      <c r="N212" s="1070"/>
      <c r="O212" s="1070"/>
      <c r="P212" s="169"/>
      <c r="Q212" s="871"/>
      <c r="R212" s="221"/>
      <c r="S212" s="221"/>
      <c r="T212" s="221"/>
      <c r="U212" s="687">
        <f>1</f>
        <v>1</v>
      </c>
      <c r="V212" s="1071"/>
      <c r="W212" s="1071"/>
      <c r="X212" s="83"/>
      <c r="Y212" s="83"/>
      <c r="Z212" s="83"/>
      <c r="AA212" s="1092"/>
      <c r="AB212" s="83"/>
      <c r="AC212" s="200"/>
      <c r="AD212" s="200"/>
      <c r="AE212" s="200"/>
      <c r="AF212" s="200"/>
      <c r="AG212" s="1" t="str">
        <f t="shared" si="186"/>
        <v/>
      </c>
      <c r="AH212" s="1" t="str">
        <f t="shared" si="187"/>
        <v/>
      </c>
      <c r="AI212" s="1" t="str">
        <f t="shared" si="188"/>
        <v/>
      </c>
      <c r="AJ212" s="1" t="str">
        <f t="shared" si="189"/>
        <v/>
      </c>
    </row>
    <row r="213" spans="1:42" ht="51.75" customHeight="1" x14ac:dyDescent="0.25">
      <c r="A213" s="854" t="s">
        <v>6528</v>
      </c>
      <c r="B213" s="854" t="s">
        <v>3197</v>
      </c>
      <c r="C213" s="856" t="s">
        <v>357</v>
      </c>
      <c r="D213" s="854" t="str">
        <f>Pro</f>
        <v xml:space="preserve"> Procédure support des processus</v>
      </c>
      <c r="E213" s="902" t="str">
        <f>Napp</f>
        <v>Non application de la procédure adaptée</v>
      </c>
      <c r="F213" s="858" t="s">
        <v>3226</v>
      </c>
      <c r="G213" s="900" t="s">
        <v>6730</v>
      </c>
      <c r="H213" s="859"/>
      <c r="I213" s="24">
        <v>1</v>
      </c>
      <c r="J213" s="83" t="str">
        <f>VLOOKUP($F213,Tab_event,5)</f>
        <v>E</v>
      </c>
      <c r="K213" s="24" t="str">
        <f>C213</f>
        <v>E</v>
      </c>
      <c r="L213" s="83">
        <f>IF(VLOOKUP($B213,Tab_classif,8,FALSE)=1,VLOOKUP($B213,Tab_classif,IF(C213="D",4,IF(C213="I",5,IF(C213="C",6,7))),FALSE),1)</f>
        <v>1</v>
      </c>
      <c r="M213" s="83">
        <f>VLOOKUP($F213,Tab_event,3,FALSE)</f>
        <v>2</v>
      </c>
      <c r="N213" s="1070"/>
      <c r="O213" s="1070"/>
      <c r="P213" s="169">
        <f>IF(AND(NOT(L213=""),NOT(M213="")),INDEX(base_g,5-IF(N213="",L213,N213),IF(O213="",M213,O213)),"")</f>
        <v>1</v>
      </c>
      <c r="Q213" s="871">
        <f>1</f>
        <v>1</v>
      </c>
      <c r="R213" s="221">
        <f>S8B01</f>
        <v>1</v>
      </c>
      <c r="S213" s="221">
        <f>1</f>
        <v>1</v>
      </c>
      <c r="T213" s="221">
        <f>1</f>
        <v>1</v>
      </c>
      <c r="U213" s="687"/>
      <c r="V213" s="1071"/>
      <c r="W213" s="1071"/>
      <c r="X213" s="83">
        <f>IF(L213="","",IF(K213="D",INDEX(base_i,IF(U213=0,4,5-S213),T213+7*(IF(N213="",L213,N213)-1)),IF(K213="I",INDEX(base_i,IF(U213=0,15,16-S213),T213+7*(IF(N213="",L213,N213)-1)),IF(K213="C",INDEX(base_i,IF(U213=0,26,27-S213),T213+7*(IF(N213="",L213,N213)-1)),INDEX(base_i,38-S213,T213+7*(IF(N213="",L213,N213)-1))))))</f>
        <v>1</v>
      </c>
      <c r="Y213" s="83" cm="1">
        <f t="array" ref="Y213">IF(M213="","",IF(J213="A",INDEX(base_p,4,R213+7*(IF(O213="",M213,O213)-1)),IF(J213="E",INDEX(base_p,15,R213+7*(IF(O213="",M213,O213)-1)),INDEX(base_p,27-Q213,R213+7*(IF(O213="",M213,O213)-1)))))</f>
        <v>2</v>
      </c>
      <c r="Z213" s="83" t="str">
        <f>IF(AO213=1,IF(IndG&gt;1,IF(AND(OR(NOT(X213=""),NOT(V213="")),OR(NOT(Y213=""),NOT(W213="")),I213=1),INDEX(base_g,5-IF(V213="",X213,V213),IF(W213="",Y213,W213)),""),P213),"")</f>
        <v/>
      </c>
      <c r="AA213" s="1092"/>
      <c r="AB213" s="83" t="str">
        <f t="shared" si="149"/>
        <v/>
      </c>
      <c r="AC213" s="165"/>
      <c r="AD213" s="165" t="s">
        <v>807</v>
      </c>
      <c r="AE213" s="165"/>
      <c r="AF213" s="380"/>
      <c r="AG213" s="1" t="str">
        <f t="shared" si="186"/>
        <v/>
      </c>
      <c r="AH213" s="1" t="str">
        <f t="shared" si="187"/>
        <v/>
      </c>
      <c r="AI213" s="1" t="str">
        <f t="shared" si="188"/>
        <v/>
      </c>
      <c r="AJ213" s="1" t="str">
        <f t="shared" si="189"/>
        <v/>
      </c>
      <c r="AK213">
        <f>VLOOKUP($B213,Tab_classif,8,FALSE)</f>
        <v>0</v>
      </c>
      <c r="AL213">
        <f>VLOOKUP(D213,Tab_ActS,2,FALSE)</f>
        <v>1</v>
      </c>
      <c r="AM213">
        <f>VLOOKUP(E213,Tab_SDom,3,FALSE)</f>
        <v>1</v>
      </c>
      <c r="AN213">
        <f>VLOOKUP($F213,Tab_event,4,FALSE)</f>
        <v>1</v>
      </c>
      <c r="AO213">
        <f>I213*AK213*AL213*AM213*AN213</f>
        <v>0</v>
      </c>
      <c r="AP213" t="str">
        <f>IF(AND(AO213=1,AA213=""),IF(IndG=1,10*L213+M213,10*X213+Y213),"")</f>
        <v/>
      </c>
    </row>
    <row r="214" spans="1:42" ht="42" customHeight="1" x14ac:dyDescent="0.25">
      <c r="A214" s="854" t="s">
        <v>6529</v>
      </c>
      <c r="B214" s="854" t="s">
        <v>3197</v>
      </c>
      <c r="C214" s="856" t="s">
        <v>357</v>
      </c>
      <c r="D214" s="854" t="str">
        <f>Pro</f>
        <v xml:space="preserve"> Procédure support des processus</v>
      </c>
      <c r="E214" s="902" t="str">
        <f>Napp</f>
        <v>Non application de la procédure adaptée</v>
      </c>
      <c r="F214" s="858" t="s">
        <v>511</v>
      </c>
      <c r="G214" s="900" t="s">
        <v>6731</v>
      </c>
      <c r="H214" s="859"/>
      <c r="I214" s="24">
        <v>1</v>
      </c>
      <c r="J214" s="83" t="str">
        <f>VLOOKUP($F214,Tab_event,5)</f>
        <v>V</v>
      </c>
      <c r="K214" s="24" t="str">
        <f>C214</f>
        <v>E</v>
      </c>
      <c r="L214" s="83">
        <f>IF(VLOOKUP($B214,Tab_classif,8,FALSE)=1,VLOOKUP($B214,Tab_classif,IF(C214="D",4,IF(C214="I",5,IF(C214="C",6,7))),FALSE),1)</f>
        <v>1</v>
      </c>
      <c r="M214" s="83">
        <f>VLOOKUP($F214,Tab_event,3,FALSE)</f>
        <v>2</v>
      </c>
      <c r="N214" s="1070"/>
      <c r="O214" s="1070"/>
      <c r="P214" s="169">
        <f>IF(AND(NOT(L214=""),NOT(M214="")),INDEX(base_g,5-IF(N214="",L214,N214),IF(O214="",M214,O214)),"")</f>
        <v>1</v>
      </c>
      <c r="Q214" s="871">
        <f>S8B02</f>
        <v>1</v>
      </c>
      <c r="R214" s="221">
        <f>1</f>
        <v>1</v>
      </c>
      <c r="S214" s="221">
        <f>1</f>
        <v>1</v>
      </c>
      <c r="T214" s="221">
        <f>1</f>
        <v>1</v>
      </c>
      <c r="U214" s="687"/>
      <c r="V214" s="1071"/>
      <c r="W214" s="1071"/>
      <c r="X214" s="83">
        <f>IF(L214="","",IF(K214="D",INDEX(base_i,IF(U214=0,4,5-S214),T214+7*(IF(N214="",L214,N214)-1)),IF(K214="I",INDEX(base_i,IF(U214=0,15,16-S214),T214+7*(IF(N214="",L214,N214)-1)),IF(K214="C",INDEX(base_i,IF(U214=0,26,27-S214),T214+7*(IF(N214="",L214,N214)-1)),INDEX(base_i,38-S214,T214+7*(IF(N214="",L214,N214)-1))))))</f>
        <v>1</v>
      </c>
      <c r="Y214" s="83" cm="1">
        <f t="array" ref="Y214">IF(M214="","",IF(J214="A",INDEX(base_p,4,R214+7*(IF(O214="",M214,O214)-1)),IF(J214="E",INDEX(base_p,15,R214+7*(IF(O214="",M214,O214)-1)),INDEX(base_p,27-Q214,R214+7*(IF(O214="",M214,O214)-1)))))</f>
        <v>2</v>
      </c>
      <c r="Z214" s="83" t="str">
        <f>IF(AO214=1,IF(IndG&gt;1,IF(AND(OR(NOT(X214=""),NOT(V214="")),OR(NOT(Y214=""),NOT(W214="")),I214=1),INDEX(base_g,5-IF(V214="",X214,V214),IF(W214="",Y214,W214)),""),P214),"")</f>
        <v/>
      </c>
      <c r="AA214" s="1092"/>
      <c r="AB214" s="83" t="str">
        <f t="shared" si="149"/>
        <v/>
      </c>
      <c r="AC214" s="165" t="s">
        <v>808</v>
      </c>
      <c r="AD214" s="165"/>
      <c r="AE214" s="165"/>
      <c r="AF214" s="380"/>
      <c r="AG214" s="1" t="str">
        <f t="shared" si="186"/>
        <v/>
      </c>
      <c r="AH214" s="1" t="str">
        <f t="shared" si="187"/>
        <v/>
      </c>
      <c r="AI214" s="1" t="str">
        <f t="shared" si="188"/>
        <v/>
      </c>
      <c r="AJ214" s="1" t="str">
        <f t="shared" si="189"/>
        <v/>
      </c>
      <c r="AK214">
        <f>VLOOKUP($B214,Tab_classif,8,FALSE)</f>
        <v>0</v>
      </c>
      <c r="AL214">
        <f>VLOOKUP(D214,Tab_ActS,2,FALSE)</f>
        <v>1</v>
      </c>
      <c r="AM214">
        <f>VLOOKUP(E214,Tab_SDom,3,FALSE)</f>
        <v>1</v>
      </c>
      <c r="AN214">
        <f>VLOOKUP($F214,Tab_event,4,FALSE)</f>
        <v>1</v>
      </c>
      <c r="AO214">
        <f>I214*AK214*AL214*AM214*AN214</f>
        <v>0</v>
      </c>
      <c r="AP214" t="str">
        <f>IF(AND(AO214=1,AA214=""),IF(IndG=1,10*L214+M214,10*X214+Y214),"")</f>
        <v/>
      </c>
    </row>
    <row r="215" spans="1:42" ht="52.5" customHeight="1" thickBot="1" x14ac:dyDescent="0.3">
      <c r="A215" s="854" t="s">
        <v>6530</v>
      </c>
      <c r="B215" s="854" t="s">
        <v>3197</v>
      </c>
      <c r="C215" s="856" t="s">
        <v>357</v>
      </c>
      <c r="D215" s="854" t="str">
        <f>Pro</f>
        <v xml:space="preserve"> Procédure support des processus</v>
      </c>
      <c r="E215" s="902" t="str">
        <f>Napp</f>
        <v>Non application de la procédure adaptée</v>
      </c>
      <c r="F215" s="858" t="s">
        <v>3228</v>
      </c>
      <c r="G215" s="901" t="s">
        <v>6732</v>
      </c>
      <c r="H215" s="859"/>
      <c r="I215" s="24">
        <v>1</v>
      </c>
      <c r="J215" s="83" t="str">
        <f>VLOOKUP($F215,Tab_event,5)</f>
        <v>E</v>
      </c>
      <c r="K215" s="24" t="str">
        <f>C215</f>
        <v>E</v>
      </c>
      <c r="L215" s="83">
        <f>IF(VLOOKUP($B215,Tab_classif,8,FALSE)=1,VLOOKUP($B215,Tab_classif,IF(C215="D",4,IF(C215="I",5,IF(C215="C",6,7))),FALSE),1)</f>
        <v>1</v>
      </c>
      <c r="M215" s="83">
        <f>VLOOKUP($F215,Tab_event,3,FALSE)</f>
        <v>2</v>
      </c>
      <c r="N215" s="1070"/>
      <c r="O215" s="1070"/>
      <c r="P215" s="169">
        <f>IF(AND(NOT(L215=""),NOT(M215="")),INDEX(base_g,5-IF(N215="",L215,N215),IF(O215="",M215,O215)),"")</f>
        <v>1</v>
      </c>
      <c r="Q215" s="871">
        <f>1</f>
        <v>1</v>
      </c>
      <c r="R215" s="221">
        <f>S8B03</f>
        <v>1</v>
      </c>
      <c r="S215" s="221">
        <f>1</f>
        <v>1</v>
      </c>
      <c r="T215" s="221">
        <f>1</f>
        <v>1</v>
      </c>
      <c r="U215" s="687"/>
      <c r="V215" s="1071"/>
      <c r="W215" s="1071"/>
      <c r="X215" s="83">
        <f>IF(L215="","",IF(K215="D",INDEX(base_i,IF(U215=0,4,5-S215),T215+7*(IF(N215="",L215,N215)-1)),IF(K215="I",INDEX(base_i,IF(U215=0,15,16-S215),T215+7*(IF(N215="",L215,N215)-1)),IF(K215="C",INDEX(base_i,IF(U215=0,26,27-S215),T215+7*(IF(N215="",L215,N215)-1)),INDEX(base_i,38-S215,T215+7*(IF(N215="",L215,N215)-1))))))</f>
        <v>1</v>
      </c>
      <c r="Y215" s="83" cm="1">
        <f t="array" ref="Y215">IF(M215="","",IF(J215="A",INDEX(base_p,4,R215+7*(IF(O215="",M215,O215)-1)),IF(J215="E",INDEX(base_p,15,R215+7*(IF(O215="",M215,O215)-1)),INDEX(base_p,27-Q215,R215+7*(IF(O215="",M215,O215)-1)))))</f>
        <v>2</v>
      </c>
      <c r="Z215" s="83" t="str">
        <f>IF(AO215=1,IF(IndG&gt;1,IF(AND(OR(NOT(X215=""),NOT(V215="")),OR(NOT(Y215=""),NOT(W215="")),I215=1),INDEX(base_g,5-IF(V215="",X215,V215),IF(W215="",Y215,W215)),""),P215),"")</f>
        <v/>
      </c>
      <c r="AA215" s="1092"/>
      <c r="AB215" s="83" t="str">
        <f>IF(OR(AA215="A",AA215="a",AA215="E",AA215="e",AA215="T",AA215="t",Z215=""),"",Z215)</f>
        <v/>
      </c>
      <c r="AC215" s="165"/>
      <c r="AD215" s="165" t="s">
        <v>810</v>
      </c>
      <c r="AE215" s="165"/>
      <c r="AF215" s="380"/>
      <c r="AG215" s="1" t="str">
        <f t="shared" si="186"/>
        <v/>
      </c>
      <c r="AH215" s="1" t="str">
        <f t="shared" si="187"/>
        <v/>
      </c>
      <c r="AI215" s="1" t="str">
        <f t="shared" si="188"/>
        <v/>
      </c>
      <c r="AJ215" s="1" t="str">
        <f t="shared" si="189"/>
        <v/>
      </c>
      <c r="AK215">
        <f>VLOOKUP($B215,Tab_classif,8,FALSE)</f>
        <v>0</v>
      </c>
      <c r="AL215">
        <f>VLOOKUP(D215,Tab_ActS,2,FALSE)</f>
        <v>1</v>
      </c>
      <c r="AM215">
        <f>VLOOKUP(E215,Tab_SDom,3,FALSE)</f>
        <v>1</v>
      </c>
      <c r="AN215">
        <f>VLOOKUP($F215,Tab_event,4,FALSE)</f>
        <v>1</v>
      </c>
      <c r="AO215">
        <f>I215*AK215*AL215*AM215*AN215</f>
        <v>0</v>
      </c>
      <c r="AP215" t="str">
        <f>IF(AND(AO215=1,AA215=""),IF(IndG=1,10*L215+M215,10*X215+Y215),"")</f>
        <v/>
      </c>
    </row>
    <row r="216" spans="1:42" ht="13.2" x14ac:dyDescent="0.2">
      <c r="L216" s="84"/>
      <c r="M216" s="84"/>
      <c r="N216" s="1071"/>
      <c r="O216" s="1071"/>
      <c r="P216" s="84"/>
      <c r="Q216" s="80"/>
      <c r="R216" s="80"/>
      <c r="S216" s="80"/>
      <c r="T216" s="80"/>
      <c r="U216" s="84"/>
      <c r="V216" s="1071"/>
      <c r="W216" s="1071"/>
      <c r="X216" s="84"/>
      <c r="Y216" s="84"/>
      <c r="Z216" s="84"/>
      <c r="AA216" s="1071"/>
      <c r="AB216" s="84"/>
      <c r="AD216" s="224"/>
    </row>
    <row r="217" spans="1:42" ht="13.2" x14ac:dyDescent="0.2">
      <c r="L217" s="84"/>
      <c r="M217" s="84"/>
      <c r="N217" s="1071"/>
      <c r="O217" s="1071"/>
      <c r="P217" s="84"/>
      <c r="Q217" s="80"/>
      <c r="R217" s="80"/>
      <c r="S217" s="80"/>
      <c r="T217" s="80"/>
      <c r="U217" s="84"/>
      <c r="V217" s="1071"/>
      <c r="W217" s="1071"/>
      <c r="X217" s="84"/>
      <c r="Y217" s="84"/>
      <c r="Z217" s="84"/>
      <c r="AA217" s="1071"/>
      <c r="AB217" s="84"/>
      <c r="AD217" s="224"/>
    </row>
    <row r="218" spans="1:42" ht="13.2" x14ac:dyDescent="0.2">
      <c r="A218" s="875" t="s">
        <v>4818</v>
      </c>
      <c r="L218" s="84"/>
      <c r="M218" s="84"/>
      <c r="N218" s="1071"/>
      <c r="O218" s="1071"/>
      <c r="P218" s="84"/>
      <c r="Q218" s="80"/>
      <c r="R218" s="80"/>
      <c r="S218" s="80"/>
      <c r="T218" s="80"/>
      <c r="U218" s="84"/>
      <c r="V218" s="1071"/>
      <c r="W218" s="1071"/>
      <c r="X218" s="84"/>
      <c r="Y218" s="84"/>
      <c r="Z218" s="84"/>
      <c r="AA218" s="1071"/>
      <c r="AB218" s="84"/>
      <c r="AD218" s="224"/>
    </row>
    <row r="219" spans="1:42" ht="13.2" x14ac:dyDescent="0.2">
      <c r="A219" s="875" t="s">
        <v>4819</v>
      </c>
      <c r="D219" s="1" t="e">
        <f>COUNTIF(#REF!,1)</f>
        <v>#REF!</v>
      </c>
      <c r="E219" s="1" t="e">
        <f t="shared" ref="E219:E224" si="190">D219-D220</f>
        <v>#REF!</v>
      </c>
      <c r="L219" s="84"/>
      <c r="M219" s="84"/>
      <c r="N219" s="1071"/>
      <c r="O219" s="1071"/>
      <c r="P219" s="84"/>
      <c r="Q219" s="80"/>
      <c r="R219" s="80"/>
      <c r="S219" s="80"/>
      <c r="T219" s="80"/>
      <c r="U219" s="84"/>
      <c r="V219" s="1071"/>
      <c r="W219" s="1071"/>
      <c r="X219" s="84"/>
      <c r="Y219" s="84"/>
      <c r="Z219" s="84"/>
      <c r="AA219" s="1071"/>
      <c r="AB219" s="84"/>
      <c r="AD219" s="224"/>
    </row>
    <row r="220" spans="1:42" ht="13.2" x14ac:dyDescent="0.2">
      <c r="A220" s="875" t="s">
        <v>4820</v>
      </c>
      <c r="D220" s="1" t="e">
        <f>COUNTIF(#REF!,2)</f>
        <v>#REF!</v>
      </c>
      <c r="E220" s="1" t="e">
        <f t="shared" si="190"/>
        <v>#REF!</v>
      </c>
      <c r="L220" s="84"/>
      <c r="M220" s="84"/>
      <c r="N220" s="1071"/>
      <c r="O220" s="1071"/>
      <c r="P220" s="84"/>
      <c r="Q220" s="80"/>
      <c r="R220" s="80"/>
      <c r="S220" s="80"/>
      <c r="T220" s="80"/>
      <c r="U220" s="84"/>
      <c r="V220" s="1071"/>
      <c r="W220" s="1071"/>
      <c r="X220" s="84"/>
      <c r="Y220" s="84"/>
      <c r="Z220" s="84"/>
      <c r="AA220" s="1071"/>
      <c r="AB220" s="84"/>
      <c r="AD220" s="224"/>
    </row>
    <row r="221" spans="1:42" ht="13.2" x14ac:dyDescent="0.2">
      <c r="A221" s="875" t="s">
        <v>4821</v>
      </c>
      <c r="D221" s="1" t="e">
        <f>COUNTIF(#REF!,3)</f>
        <v>#REF!</v>
      </c>
      <c r="E221" s="1" t="e">
        <f t="shared" si="190"/>
        <v>#REF!</v>
      </c>
      <c r="L221" s="84"/>
      <c r="M221" s="84"/>
      <c r="N221" s="1071"/>
      <c r="O221" s="1071"/>
      <c r="P221" s="84"/>
      <c r="Q221" s="80"/>
      <c r="R221" s="80"/>
      <c r="S221" s="80"/>
      <c r="T221" s="80"/>
      <c r="U221" s="84"/>
      <c r="V221" s="1071"/>
      <c r="W221" s="1071"/>
      <c r="X221" s="84"/>
      <c r="Y221" s="84"/>
      <c r="Z221" s="84"/>
      <c r="AA221" s="1071"/>
      <c r="AB221" s="84"/>
      <c r="AD221" s="224"/>
    </row>
    <row r="222" spans="1:42" ht="13.2" x14ac:dyDescent="0.2">
      <c r="A222" s="875" t="s">
        <v>4822</v>
      </c>
      <c r="D222" s="1" t="e">
        <f>COUNTIF(#REF!,4)</f>
        <v>#REF!</v>
      </c>
      <c r="E222" s="1" t="e">
        <f t="shared" si="190"/>
        <v>#REF!</v>
      </c>
      <c r="L222" s="84"/>
      <c r="M222" s="84"/>
      <c r="N222" s="1071"/>
      <c r="O222" s="1071"/>
      <c r="P222" s="84"/>
      <c r="Q222" s="80"/>
      <c r="R222" s="80"/>
      <c r="S222" s="80"/>
      <c r="T222" s="80"/>
      <c r="U222" s="84"/>
      <c r="V222" s="1071"/>
      <c r="W222" s="1071"/>
      <c r="X222" s="84"/>
      <c r="Y222" s="84"/>
      <c r="Z222" s="84"/>
      <c r="AA222" s="1071"/>
      <c r="AB222" s="84"/>
      <c r="AD222" s="224"/>
    </row>
    <row r="223" spans="1:42" ht="13.2" x14ac:dyDescent="0.2">
      <c r="A223" s="875" t="s">
        <v>4823</v>
      </c>
      <c r="D223" s="1" t="e">
        <f>COUNTIF(#REF!,5)</f>
        <v>#REF!</v>
      </c>
      <c r="E223" s="1" t="e">
        <f t="shared" si="190"/>
        <v>#REF!</v>
      </c>
      <c r="L223" s="84"/>
      <c r="M223" s="84"/>
      <c r="N223" s="1071"/>
      <c r="O223" s="1071"/>
      <c r="P223" s="84"/>
      <c r="Q223" s="80"/>
      <c r="R223" s="80"/>
      <c r="S223" s="80"/>
      <c r="T223" s="80"/>
      <c r="U223" s="84"/>
      <c r="V223" s="1071"/>
      <c r="W223" s="1071"/>
      <c r="X223" s="84"/>
      <c r="Y223" s="84"/>
      <c r="Z223" s="84"/>
      <c r="AA223" s="1071"/>
      <c r="AB223" s="84"/>
      <c r="AD223" s="224"/>
    </row>
    <row r="224" spans="1:42" ht="13.2" x14ac:dyDescent="0.2">
      <c r="A224" s="875" t="s">
        <v>4824</v>
      </c>
      <c r="D224" s="1" t="e">
        <f>COUNTIF(#REF!,6)</f>
        <v>#REF!</v>
      </c>
      <c r="E224" s="1" t="e">
        <f t="shared" si="190"/>
        <v>#REF!</v>
      </c>
      <c r="L224" s="84"/>
      <c r="M224" s="84"/>
      <c r="N224" s="1071"/>
      <c r="O224" s="1071"/>
      <c r="P224" s="84"/>
      <c r="Q224" s="80"/>
      <c r="R224" s="80"/>
      <c r="S224" s="80"/>
      <c r="T224" s="80"/>
      <c r="U224" s="84"/>
      <c r="V224" s="1071"/>
      <c r="W224" s="1071"/>
      <c r="X224" s="84"/>
      <c r="Y224" s="84"/>
      <c r="Z224" s="84"/>
      <c r="AA224" s="1071"/>
      <c r="AB224" s="84"/>
      <c r="AD224" s="224"/>
    </row>
    <row r="225" spans="1:30" ht="13.2" x14ac:dyDescent="0.2">
      <c r="A225" s="689"/>
      <c r="L225" s="84"/>
      <c r="M225" s="84"/>
      <c r="N225" s="1071"/>
      <c r="O225" s="1071"/>
      <c r="P225" s="84"/>
      <c r="Q225" s="80"/>
      <c r="R225" s="80"/>
      <c r="S225" s="80"/>
      <c r="T225" s="80"/>
      <c r="U225" s="84"/>
      <c r="V225" s="1071"/>
      <c r="W225" s="1071"/>
      <c r="X225" s="84"/>
      <c r="Y225" s="84"/>
      <c r="Z225" s="84"/>
      <c r="AA225" s="1071"/>
      <c r="AB225" s="84"/>
      <c r="AD225" s="224"/>
    </row>
    <row r="226" spans="1:30" ht="13.2" x14ac:dyDescent="0.2">
      <c r="A226" s="689"/>
      <c r="D226" s="1" t="e">
        <f>SUM(D219:D225)</f>
        <v>#REF!</v>
      </c>
      <c r="E226" s="1" t="e">
        <f>SUM(E219:E225)</f>
        <v>#REF!</v>
      </c>
      <c r="L226" s="84"/>
      <c r="M226" s="84"/>
      <c r="N226" s="1071"/>
      <c r="O226" s="1071"/>
      <c r="P226" s="84"/>
      <c r="Q226" s="80"/>
      <c r="R226" s="80"/>
      <c r="S226" s="80"/>
      <c r="T226" s="80"/>
      <c r="U226" s="84"/>
      <c r="V226" s="1071"/>
      <c r="W226" s="1071"/>
      <c r="X226" s="84"/>
      <c r="Y226" s="84"/>
      <c r="Z226" s="84"/>
      <c r="AA226" s="1071"/>
      <c r="AB226" s="84"/>
      <c r="AD226" s="224"/>
    </row>
    <row r="227" spans="1:30" ht="13.2" x14ac:dyDescent="0.2">
      <c r="L227" s="84"/>
      <c r="M227" s="84"/>
      <c r="N227" s="1071"/>
      <c r="O227" s="1071"/>
      <c r="P227" s="84"/>
      <c r="Q227" s="80"/>
      <c r="R227" s="80"/>
      <c r="S227" s="80"/>
      <c r="T227" s="80"/>
      <c r="U227" s="84"/>
      <c r="V227" s="1071"/>
      <c r="W227" s="1071"/>
      <c r="X227" s="84"/>
      <c r="Y227" s="84"/>
      <c r="Z227" s="84"/>
      <c r="AA227" s="1071"/>
      <c r="AB227" s="84"/>
      <c r="AD227" s="224"/>
    </row>
    <row r="228" spans="1:30" ht="13.2" x14ac:dyDescent="0.2">
      <c r="A228" s="170" t="s">
        <v>4826</v>
      </c>
      <c r="L228" s="84"/>
      <c r="M228" s="84"/>
      <c r="N228" s="1071"/>
      <c r="O228" s="1071"/>
      <c r="P228" s="84"/>
      <c r="Q228" s="80"/>
      <c r="R228" s="80"/>
      <c r="S228" s="80"/>
      <c r="T228" s="80"/>
      <c r="U228" s="84"/>
      <c r="V228" s="1071"/>
      <c r="W228" s="1071"/>
      <c r="X228" s="84"/>
      <c r="Y228" s="84"/>
      <c r="Z228" s="84"/>
      <c r="AA228" s="1071"/>
      <c r="AB228" s="84"/>
      <c r="AD228" s="224"/>
    </row>
    <row r="229" spans="1:30" ht="13.2" x14ac:dyDescent="0.2">
      <c r="A229" s="170"/>
      <c r="E229" s="1" t="s">
        <v>4828</v>
      </c>
      <c r="L229" s="84"/>
      <c r="M229" s="84"/>
      <c r="N229" s="1071"/>
      <c r="O229" s="1071"/>
      <c r="P229" s="84"/>
      <c r="Q229" s="80"/>
      <c r="R229" s="80"/>
      <c r="S229" s="80"/>
      <c r="T229" s="80"/>
      <c r="U229" s="84"/>
      <c r="V229" s="1071"/>
      <c r="W229" s="1071"/>
      <c r="X229" s="84"/>
      <c r="Y229" s="84"/>
      <c r="Z229" s="84"/>
      <c r="AA229" s="1071"/>
      <c r="AB229" s="84"/>
      <c r="AD229" s="224"/>
    </row>
    <row r="230" spans="1:30" ht="13.2" x14ac:dyDescent="0.2">
      <c r="A230" s="875" t="s">
        <v>4827</v>
      </c>
      <c r="E230" s="1" t="s">
        <v>4830</v>
      </c>
      <c r="F230" s="1" t="e">
        <f>COUNTIF(#REF!,E230)</f>
        <v>#REF!</v>
      </c>
      <c r="L230" s="84"/>
      <c r="M230" s="84"/>
      <c r="N230" s="1071"/>
      <c r="O230" s="1071"/>
      <c r="P230" s="84"/>
      <c r="Q230" s="80"/>
      <c r="R230" s="80"/>
      <c r="S230" s="80"/>
      <c r="T230" s="80"/>
      <c r="U230" s="84"/>
      <c r="V230" s="1071"/>
      <c r="W230" s="1071"/>
      <c r="X230" s="84"/>
      <c r="Y230" s="84"/>
      <c r="Z230" s="84"/>
      <c r="AA230" s="1071"/>
      <c r="AB230" s="84"/>
      <c r="AD230" s="224"/>
    </row>
    <row r="231" spans="1:30" ht="13.2" x14ac:dyDescent="0.2">
      <c r="A231" s="875" t="s">
        <v>4840</v>
      </c>
      <c r="E231" s="1" t="s">
        <v>4834</v>
      </c>
      <c r="F231" s="1" t="e">
        <f>COUNTIF(#REF!,E231)</f>
        <v>#REF!</v>
      </c>
      <c r="L231" s="84"/>
      <c r="M231" s="84"/>
      <c r="N231" s="1071"/>
      <c r="O231" s="1071"/>
      <c r="P231" s="84"/>
      <c r="Q231" s="80"/>
      <c r="R231" s="80"/>
      <c r="S231" s="80"/>
      <c r="T231" s="80"/>
      <c r="U231" s="84"/>
      <c r="V231" s="1071"/>
      <c r="W231" s="1071"/>
      <c r="X231" s="84"/>
      <c r="Y231" s="84"/>
      <c r="Z231" s="84"/>
      <c r="AA231" s="1071"/>
      <c r="AB231" s="84"/>
      <c r="AD231" s="224"/>
    </row>
    <row r="232" spans="1:30" ht="13.2" x14ac:dyDescent="0.2">
      <c r="A232" s="875" t="s">
        <v>4841</v>
      </c>
      <c r="E232" s="1" t="s">
        <v>4835</v>
      </c>
      <c r="F232" s="1" t="e">
        <f>COUNTIF(#REF!,E232)</f>
        <v>#REF!</v>
      </c>
      <c r="G232" s="878"/>
      <c r="L232" s="84"/>
      <c r="M232" s="84"/>
      <c r="N232" s="1071"/>
      <c r="O232" s="1071"/>
      <c r="P232" s="84"/>
      <c r="Q232" s="80"/>
      <c r="R232" s="80"/>
      <c r="S232" s="80"/>
      <c r="T232" s="80"/>
      <c r="U232" s="84"/>
      <c r="V232" s="1071"/>
      <c r="W232" s="1071"/>
      <c r="X232" s="84"/>
      <c r="Y232" s="84"/>
      <c r="Z232" s="84"/>
      <c r="AA232" s="1071"/>
      <c r="AB232" s="84"/>
      <c r="AD232" s="224"/>
    </row>
    <row r="233" spans="1:30" ht="13.2" x14ac:dyDescent="0.2">
      <c r="A233" s="875" t="s">
        <v>4842</v>
      </c>
      <c r="E233" s="1" t="s">
        <v>4843</v>
      </c>
      <c r="F233" s="1" t="e">
        <f>COUNTIF(#REF!,E233)</f>
        <v>#REF!</v>
      </c>
      <c r="G233" s="878"/>
      <c r="L233" s="84"/>
      <c r="M233" s="84"/>
      <c r="N233" s="1071"/>
      <c r="O233" s="1071"/>
      <c r="P233" s="84"/>
      <c r="Q233" s="80"/>
      <c r="R233" s="80"/>
      <c r="S233" s="80"/>
      <c r="T233" s="80"/>
      <c r="U233" s="84"/>
      <c r="V233" s="1071"/>
      <c r="W233" s="1071"/>
      <c r="X233" s="84"/>
      <c r="Y233" s="84"/>
      <c r="Z233" s="84"/>
      <c r="AA233" s="1071"/>
      <c r="AB233" s="84"/>
      <c r="AD233" s="224"/>
    </row>
    <row r="234" spans="1:30" ht="13.2" x14ac:dyDescent="0.2">
      <c r="A234" s="875" t="s">
        <v>4829</v>
      </c>
      <c r="E234" s="1" t="s">
        <v>4825</v>
      </c>
      <c r="F234" s="1" t="e">
        <f>COUNTIF(#REF!,E234)</f>
        <v>#REF!</v>
      </c>
      <c r="G234" s="878"/>
      <c r="L234" s="84"/>
      <c r="M234" s="84"/>
      <c r="N234" s="1071"/>
      <c r="O234" s="1071"/>
      <c r="P234" s="84"/>
      <c r="Q234" s="80"/>
      <c r="R234" s="80"/>
      <c r="S234" s="80"/>
      <c r="T234" s="80"/>
      <c r="U234" s="84"/>
      <c r="V234" s="1071"/>
      <c r="W234" s="1071"/>
      <c r="X234" s="84"/>
      <c r="Y234" s="84"/>
      <c r="Z234" s="84"/>
      <c r="AA234" s="1071"/>
      <c r="AB234" s="84"/>
      <c r="AD234" s="224"/>
    </row>
    <row r="235" spans="1:30" ht="13.2" x14ac:dyDescent="0.2">
      <c r="A235" s="875" t="s">
        <v>4844</v>
      </c>
      <c r="E235" s="1" t="s">
        <v>4838</v>
      </c>
      <c r="F235" s="1" t="e">
        <f>COUNTIF(#REF!,E235)</f>
        <v>#REF!</v>
      </c>
      <c r="L235" s="84"/>
      <c r="M235" s="84"/>
      <c r="N235" s="1071"/>
      <c r="O235" s="1071"/>
      <c r="P235" s="84"/>
      <c r="Q235" s="80"/>
      <c r="R235" s="80"/>
      <c r="S235" s="80"/>
      <c r="T235" s="80"/>
      <c r="U235" s="84"/>
      <c r="V235" s="1071"/>
      <c r="W235" s="1071"/>
      <c r="X235" s="84"/>
      <c r="Y235" s="84"/>
      <c r="Z235" s="84"/>
      <c r="AA235" s="1071"/>
      <c r="AB235" s="84"/>
      <c r="AD235" s="224"/>
    </row>
    <row r="236" spans="1:30" ht="13.2" x14ac:dyDescent="0.2">
      <c r="A236" s="875" t="s">
        <v>4845</v>
      </c>
      <c r="E236" s="1" t="s">
        <v>4837</v>
      </c>
      <c r="F236" s="1" t="e">
        <f>COUNTIF(#REF!,E236)</f>
        <v>#REF!</v>
      </c>
      <c r="L236" s="84"/>
      <c r="M236" s="84"/>
      <c r="N236" s="1071"/>
      <c r="O236" s="1071"/>
      <c r="P236" s="84"/>
      <c r="Q236" s="80"/>
      <c r="R236" s="80"/>
      <c r="S236" s="80"/>
      <c r="T236" s="80"/>
      <c r="U236" s="84"/>
      <c r="V236" s="1071"/>
      <c r="W236" s="1071"/>
      <c r="X236" s="84"/>
      <c r="Y236" s="84"/>
      <c r="Z236" s="84"/>
      <c r="AA236" s="1071"/>
      <c r="AB236" s="84"/>
      <c r="AD236" s="224"/>
    </row>
    <row r="237" spans="1:30" ht="13.2" x14ac:dyDescent="0.2">
      <c r="A237" s="875" t="s">
        <v>4846</v>
      </c>
      <c r="E237" s="1" t="s">
        <v>4832</v>
      </c>
      <c r="F237" s="1" t="e">
        <f>COUNTIF(#REF!,E237)</f>
        <v>#REF!</v>
      </c>
      <c r="L237" s="84"/>
      <c r="M237" s="84"/>
      <c r="N237" s="1071"/>
      <c r="O237" s="1071"/>
      <c r="P237" s="84"/>
      <c r="Q237" s="80"/>
      <c r="R237" s="80"/>
      <c r="S237" s="80"/>
      <c r="T237" s="80"/>
      <c r="U237" s="84"/>
      <c r="V237" s="1071"/>
      <c r="W237" s="1071"/>
      <c r="X237" s="84"/>
      <c r="Y237" s="84"/>
      <c r="Z237" s="84"/>
      <c r="AA237" s="1071"/>
      <c r="AB237" s="84"/>
      <c r="AD237" s="224"/>
    </row>
    <row r="238" spans="1:30" ht="13.2" x14ac:dyDescent="0.2">
      <c r="A238" s="875" t="s">
        <v>4847</v>
      </c>
      <c r="E238" s="1" t="s">
        <v>4836</v>
      </c>
      <c r="F238" s="1" t="e">
        <f>COUNTIF(#REF!,E238)</f>
        <v>#REF!</v>
      </c>
      <c r="L238" s="84"/>
      <c r="M238" s="84"/>
      <c r="N238" s="1071"/>
      <c r="O238" s="1071"/>
      <c r="P238" s="84"/>
      <c r="Q238" s="80"/>
      <c r="R238" s="80"/>
      <c r="S238" s="80"/>
      <c r="T238" s="80"/>
      <c r="U238" s="84"/>
      <c r="V238" s="1071"/>
      <c r="W238" s="1071"/>
      <c r="X238" s="84"/>
      <c r="Y238" s="84"/>
      <c r="Z238" s="84"/>
      <c r="AA238" s="1071"/>
      <c r="AB238" s="84"/>
      <c r="AD238" s="224"/>
    </row>
    <row r="239" spans="1:30" ht="13.2" x14ac:dyDescent="0.2">
      <c r="A239" s="875" t="s">
        <v>4831</v>
      </c>
      <c r="E239" s="1" t="s">
        <v>4833</v>
      </c>
      <c r="F239" s="1" t="e">
        <f>COUNTIF(#REF!,E239)</f>
        <v>#REF!</v>
      </c>
      <c r="L239" s="84"/>
      <c r="M239" s="84"/>
      <c r="N239" s="1071"/>
      <c r="O239" s="1071"/>
      <c r="P239" s="84"/>
      <c r="Q239" s="80"/>
      <c r="R239" s="80"/>
      <c r="S239" s="80"/>
      <c r="T239" s="80"/>
      <c r="U239" s="84"/>
      <c r="V239" s="1071"/>
      <c r="W239" s="1071"/>
      <c r="X239" s="84"/>
      <c r="Y239" s="84"/>
      <c r="Z239" s="84"/>
      <c r="AA239" s="1071"/>
      <c r="AB239" s="84"/>
      <c r="AD239" s="224"/>
    </row>
    <row r="240" spans="1:30" ht="13.2" x14ac:dyDescent="0.2">
      <c r="A240" s="875" t="s">
        <v>4848</v>
      </c>
      <c r="E240" s="1" t="s">
        <v>4839</v>
      </c>
      <c r="F240" s="1" t="e">
        <f>COUNTIF(#REF!,E240)</f>
        <v>#REF!</v>
      </c>
      <c r="L240" s="84"/>
      <c r="M240" s="84"/>
      <c r="N240" s="1071"/>
      <c r="O240" s="1071"/>
      <c r="P240" s="84"/>
      <c r="Q240" s="80"/>
      <c r="R240" s="80"/>
      <c r="S240" s="80"/>
      <c r="T240" s="80"/>
      <c r="U240" s="84"/>
      <c r="V240" s="1071"/>
      <c r="W240" s="1071"/>
      <c r="X240" s="84"/>
      <c r="Y240" s="84"/>
      <c r="Z240" s="84"/>
      <c r="AA240" s="1071"/>
      <c r="AB240" s="84"/>
      <c r="AD240" s="224"/>
    </row>
    <row r="241" spans="1:30" ht="13.2" x14ac:dyDescent="0.2">
      <c r="A241" s="875" t="s">
        <v>4849</v>
      </c>
      <c r="E241" s="1" t="s">
        <v>4853</v>
      </c>
      <c r="F241" s="1" t="e">
        <f>COUNTIF(#REF!,E241)</f>
        <v>#REF!</v>
      </c>
      <c r="L241" s="84"/>
      <c r="M241" s="84"/>
      <c r="N241" s="1071"/>
      <c r="O241" s="1071"/>
      <c r="P241" s="84"/>
      <c r="Q241" s="80"/>
      <c r="R241" s="80"/>
      <c r="S241" s="80"/>
      <c r="T241" s="80"/>
      <c r="U241" s="84"/>
      <c r="V241" s="1071"/>
      <c r="W241" s="1071"/>
      <c r="X241" s="84"/>
      <c r="Y241" s="84"/>
      <c r="Z241" s="84"/>
      <c r="AA241" s="1071"/>
      <c r="AB241" s="84"/>
      <c r="AD241" s="224"/>
    </row>
    <row r="242" spans="1:30" ht="13.2" x14ac:dyDescent="0.2">
      <c r="A242" s="875" t="s">
        <v>4850</v>
      </c>
      <c r="E242" s="1" t="s">
        <v>4854</v>
      </c>
      <c r="F242" s="1" t="e">
        <f>COUNTIF(#REF!,E242)</f>
        <v>#REF!</v>
      </c>
      <c r="L242" s="84"/>
      <c r="M242" s="84"/>
      <c r="N242" s="1071"/>
      <c r="O242" s="1071"/>
      <c r="P242" s="84"/>
      <c r="Q242" s="80"/>
      <c r="R242" s="80"/>
      <c r="S242" s="80"/>
      <c r="T242" s="80"/>
      <c r="U242" s="84"/>
      <c r="V242" s="1071"/>
      <c r="W242" s="1071"/>
      <c r="X242" s="84"/>
      <c r="Y242" s="84"/>
      <c r="Z242" s="84"/>
      <c r="AA242" s="1071"/>
      <c r="AB242" s="84"/>
      <c r="AD242" s="224"/>
    </row>
    <row r="243" spans="1:30" ht="13.2" x14ac:dyDescent="0.2">
      <c r="A243" s="875" t="s">
        <v>4851</v>
      </c>
      <c r="E243" s="1" t="s">
        <v>4855</v>
      </c>
      <c r="F243" s="1" t="e">
        <f>COUNTIF(#REF!,E243)</f>
        <v>#REF!</v>
      </c>
      <c r="L243" s="84"/>
      <c r="M243" s="84"/>
      <c r="N243" s="1071"/>
      <c r="O243" s="1071"/>
      <c r="P243" s="84"/>
      <c r="Q243" s="80"/>
      <c r="R243" s="80"/>
      <c r="S243" s="80"/>
      <c r="T243" s="80"/>
      <c r="U243" s="84"/>
      <c r="V243" s="1071"/>
      <c r="W243" s="1071"/>
      <c r="X243" s="84"/>
      <c r="Y243" s="84"/>
      <c r="Z243" s="84"/>
      <c r="AA243" s="1071"/>
      <c r="AB243" s="84"/>
      <c r="AD243" s="224"/>
    </row>
    <row r="244" spans="1:30" ht="13.2" x14ac:dyDescent="0.2">
      <c r="A244" s="875" t="s">
        <v>6242</v>
      </c>
      <c r="E244" s="1" t="s">
        <v>4856</v>
      </c>
      <c r="F244" s="1" t="e">
        <f>COUNTIF(#REF!,E244)</f>
        <v>#REF!</v>
      </c>
      <c r="L244" s="84"/>
      <c r="M244" s="84"/>
      <c r="N244" s="1071"/>
      <c r="O244" s="1071"/>
      <c r="P244" s="84"/>
      <c r="Q244" s="80"/>
      <c r="R244" s="80"/>
      <c r="S244" s="80"/>
      <c r="T244" s="80"/>
      <c r="U244" s="84"/>
      <c r="V244" s="1071"/>
      <c r="W244" s="1071"/>
      <c r="X244" s="84"/>
      <c r="Y244" s="84"/>
      <c r="Z244" s="84"/>
      <c r="AA244" s="1071"/>
      <c r="AB244" s="84"/>
      <c r="AD244" s="224"/>
    </row>
    <row r="245" spans="1:30" ht="13.2" x14ac:dyDescent="0.2">
      <c r="A245" s="875" t="s">
        <v>4852</v>
      </c>
      <c r="E245" s="1" t="s">
        <v>4857</v>
      </c>
      <c r="F245" s="1" t="e">
        <f>COUNTIF(#REF!,E245)</f>
        <v>#REF!</v>
      </c>
      <c r="L245" s="84"/>
      <c r="M245" s="84"/>
      <c r="N245" s="1071"/>
      <c r="O245" s="1071"/>
      <c r="P245" s="84"/>
      <c r="Q245" s="80"/>
      <c r="R245" s="80"/>
      <c r="S245" s="80"/>
      <c r="T245" s="80"/>
      <c r="U245" s="84"/>
      <c r="V245" s="1071"/>
      <c r="W245" s="1071"/>
      <c r="X245" s="84"/>
      <c r="Y245" s="84"/>
      <c r="Z245" s="84"/>
      <c r="AA245" s="1071"/>
      <c r="AB245" s="84"/>
      <c r="AD245" s="224"/>
    </row>
    <row r="246" spans="1:30" ht="13.2" x14ac:dyDescent="0.2">
      <c r="L246" s="84"/>
      <c r="M246" s="84"/>
      <c r="N246" s="1071"/>
      <c r="O246" s="1071"/>
      <c r="P246" s="84"/>
      <c r="Q246" s="80"/>
      <c r="R246" s="80"/>
      <c r="S246" s="80"/>
      <c r="T246" s="80"/>
      <c r="U246" s="84"/>
      <c r="V246" s="1071"/>
      <c r="W246" s="1071"/>
      <c r="X246" s="84"/>
      <c r="Y246" s="84"/>
      <c r="Z246" s="84"/>
      <c r="AA246" s="1071"/>
      <c r="AB246" s="84"/>
      <c r="AD246" s="224"/>
    </row>
    <row r="247" spans="1:30" ht="13.2" x14ac:dyDescent="0.2">
      <c r="F247" s="1" t="e">
        <f>SUM(F230:F246)</f>
        <v>#REF!</v>
      </c>
      <c r="L247" s="84"/>
      <c r="M247" s="84"/>
      <c r="N247" s="1071"/>
      <c r="O247" s="1071"/>
      <c r="P247" s="84"/>
      <c r="Q247" s="80"/>
      <c r="R247" s="80"/>
      <c r="S247" s="80"/>
      <c r="T247" s="80"/>
      <c r="U247" s="84"/>
      <c r="V247" s="1071"/>
      <c r="W247" s="1071"/>
      <c r="X247" s="84"/>
      <c r="Y247" s="84"/>
      <c r="Z247" s="84"/>
      <c r="AA247" s="1071"/>
      <c r="AB247" s="84"/>
      <c r="AD247" s="224"/>
    </row>
    <row r="248" spans="1:30" ht="13.2" x14ac:dyDescent="0.2">
      <c r="L248" s="84"/>
      <c r="M248" s="84"/>
      <c r="N248" s="1071"/>
      <c r="O248" s="1071"/>
      <c r="P248" s="84"/>
      <c r="Q248" s="80"/>
      <c r="R248" s="80"/>
      <c r="S248" s="80"/>
      <c r="T248" s="80"/>
      <c r="U248" s="84"/>
      <c r="V248" s="1071"/>
      <c r="W248" s="1071"/>
      <c r="X248" s="84"/>
      <c r="Y248" s="84"/>
      <c r="Z248" s="84"/>
      <c r="AA248" s="1071"/>
      <c r="AB248" s="84"/>
      <c r="AD248" s="224"/>
    </row>
    <row r="249" spans="1:30" ht="13.2" x14ac:dyDescent="0.2">
      <c r="L249" s="84"/>
      <c r="M249" s="84"/>
      <c r="N249" s="1071"/>
      <c r="O249" s="1071"/>
      <c r="P249" s="84"/>
      <c r="Q249" s="80"/>
      <c r="R249" s="80"/>
      <c r="S249" s="80"/>
      <c r="T249" s="80"/>
      <c r="U249" s="84"/>
      <c r="V249" s="1071"/>
      <c r="W249" s="1071"/>
      <c r="X249" s="84"/>
      <c r="Y249" s="84"/>
      <c r="Z249" s="84"/>
      <c r="AA249" s="1071"/>
      <c r="AB249" s="84"/>
      <c r="AD249" s="224"/>
    </row>
    <row r="250" spans="1:30" ht="13.2" x14ac:dyDescent="0.2">
      <c r="L250" s="84"/>
      <c r="M250" s="84"/>
      <c r="N250" s="1071"/>
      <c r="O250" s="1071"/>
      <c r="P250" s="84"/>
      <c r="Q250" s="80"/>
      <c r="R250" s="80"/>
      <c r="S250" s="80"/>
      <c r="T250" s="80"/>
      <c r="U250" s="84"/>
      <c r="V250" s="1071"/>
      <c r="W250" s="1071"/>
      <c r="X250" s="84"/>
      <c r="Y250" s="84"/>
      <c r="Z250" s="84"/>
      <c r="AA250" s="1071"/>
      <c r="AB250" s="84"/>
      <c r="AD250" s="224"/>
    </row>
    <row r="251" spans="1:30" ht="13.2" x14ac:dyDescent="0.2">
      <c r="L251" s="84"/>
      <c r="M251" s="84"/>
      <c r="N251" s="1071"/>
      <c r="O251" s="1071"/>
      <c r="P251" s="84"/>
      <c r="Q251" s="80"/>
      <c r="R251" s="80"/>
      <c r="S251" s="80"/>
      <c r="T251" s="80"/>
      <c r="U251" s="84"/>
      <c r="V251" s="1071"/>
      <c r="W251" s="1071"/>
      <c r="X251" s="84"/>
      <c r="Y251" s="84"/>
      <c r="Z251" s="84"/>
      <c r="AA251" s="1071"/>
      <c r="AB251" s="84"/>
      <c r="AD251" s="224"/>
    </row>
    <row r="252" spans="1:30" x14ac:dyDescent="0.2">
      <c r="AD252" s="224"/>
    </row>
    <row r="253" spans="1:30" x14ac:dyDescent="0.2">
      <c r="AD253" s="224"/>
    </row>
    <row r="254" spans="1:30" x14ac:dyDescent="0.2">
      <c r="AD254" s="224"/>
    </row>
    <row r="255" spans="1:30" x14ac:dyDescent="0.2">
      <c r="AD255" s="224"/>
    </row>
    <row r="256" spans="1:30" x14ac:dyDescent="0.2">
      <c r="AD256" s="224"/>
    </row>
    <row r="257" spans="30:30" x14ac:dyDescent="0.2">
      <c r="AD257" s="224"/>
    </row>
    <row r="258" spans="30:30" x14ac:dyDescent="0.2">
      <c r="AD258" s="224"/>
    </row>
    <row r="259" spans="30:30" x14ac:dyDescent="0.2">
      <c r="AD259" s="224"/>
    </row>
    <row r="260" spans="30:30" x14ac:dyDescent="0.2">
      <c r="AD260" s="224"/>
    </row>
    <row r="261" spans="30:30" x14ac:dyDescent="0.2">
      <c r="AD261" s="224"/>
    </row>
    <row r="262" spans="30:30" x14ac:dyDescent="0.2">
      <c r="AD262" s="224"/>
    </row>
    <row r="263" spans="30:30" x14ac:dyDescent="0.2">
      <c r="AD263" s="224"/>
    </row>
    <row r="264" spans="30:30" x14ac:dyDescent="0.2">
      <c r="AD264" s="224"/>
    </row>
    <row r="265" spans="30:30" x14ac:dyDescent="0.2">
      <c r="AD265" s="224"/>
    </row>
    <row r="266" spans="30:30" x14ac:dyDescent="0.2">
      <c r="AD266" s="224"/>
    </row>
    <row r="267" spans="30:30" x14ac:dyDescent="0.2">
      <c r="AD267" s="224"/>
    </row>
    <row r="268" spans="30:30" x14ac:dyDescent="0.2">
      <c r="AD268" s="224"/>
    </row>
    <row r="269" spans="30:30" x14ac:dyDescent="0.2">
      <c r="AD269" s="224"/>
    </row>
    <row r="270" spans="30:30" x14ac:dyDescent="0.2">
      <c r="AD270" s="224"/>
    </row>
    <row r="271" spans="30:30" x14ac:dyDescent="0.2">
      <c r="AD271" s="224"/>
    </row>
    <row r="272" spans="30:30" x14ac:dyDescent="0.2">
      <c r="AD272" s="224"/>
    </row>
    <row r="273" spans="30:30" x14ac:dyDescent="0.2">
      <c r="AD273" s="224"/>
    </row>
    <row r="274" spans="30:30" x14ac:dyDescent="0.2">
      <c r="AD274" s="224"/>
    </row>
    <row r="275" spans="30:30" x14ac:dyDescent="0.2">
      <c r="AD275" s="224"/>
    </row>
    <row r="276" spans="30:30" x14ac:dyDescent="0.2">
      <c r="AD276" s="224"/>
    </row>
    <row r="277" spans="30:30" x14ac:dyDescent="0.2">
      <c r="AD277" s="224"/>
    </row>
    <row r="278" spans="30:30" x14ac:dyDescent="0.2">
      <c r="AD278" s="224"/>
    </row>
    <row r="279" spans="30:30" x14ac:dyDescent="0.2">
      <c r="AD279" s="224"/>
    </row>
    <row r="280" spans="30:30" x14ac:dyDescent="0.2">
      <c r="AD280" s="224"/>
    </row>
    <row r="281" spans="30:30" x14ac:dyDescent="0.2">
      <c r="AD281" s="224"/>
    </row>
    <row r="282" spans="30:30" x14ac:dyDescent="0.2">
      <c r="AD282" s="224"/>
    </row>
    <row r="283" spans="30:30" x14ac:dyDescent="0.2">
      <c r="AD283" s="224"/>
    </row>
    <row r="284" spans="30:30" x14ac:dyDescent="0.2">
      <c r="AD284" s="224"/>
    </row>
    <row r="285" spans="30:30" x14ac:dyDescent="0.2">
      <c r="AD285" s="224"/>
    </row>
    <row r="286" spans="30:30" x14ac:dyDescent="0.2">
      <c r="AD286" s="224"/>
    </row>
    <row r="287" spans="30:30" x14ac:dyDescent="0.2">
      <c r="AD287" s="224"/>
    </row>
    <row r="288" spans="30:30" x14ac:dyDescent="0.2">
      <c r="AD288" s="224"/>
    </row>
    <row r="289" spans="30:30" x14ac:dyDescent="0.2">
      <c r="AD289" s="224"/>
    </row>
    <row r="290" spans="30:30" x14ac:dyDescent="0.2">
      <c r="AD290" s="224"/>
    </row>
    <row r="291" spans="30:30" x14ac:dyDescent="0.2">
      <c r="AD291" s="224"/>
    </row>
    <row r="292" spans="30:30" x14ac:dyDescent="0.2">
      <c r="AD292" s="224"/>
    </row>
    <row r="293" spans="30:30" x14ac:dyDescent="0.2">
      <c r="AD293" s="224"/>
    </row>
    <row r="294" spans="30:30" x14ac:dyDescent="0.2">
      <c r="AD294" s="224"/>
    </row>
    <row r="295" spans="30:30" x14ac:dyDescent="0.2">
      <c r="AD295" s="224"/>
    </row>
    <row r="296" spans="30:30" x14ac:dyDescent="0.2">
      <c r="AD296" s="224"/>
    </row>
    <row r="297" spans="30:30" x14ac:dyDescent="0.2">
      <c r="AD297" s="224"/>
    </row>
    <row r="298" spans="30:30" x14ac:dyDescent="0.2">
      <c r="AD298" s="224"/>
    </row>
    <row r="299" spans="30:30" x14ac:dyDescent="0.2">
      <c r="AD299" s="224"/>
    </row>
    <row r="300" spans="30:30" x14ac:dyDescent="0.2">
      <c r="AD300" s="224"/>
    </row>
    <row r="301" spans="30:30" x14ac:dyDescent="0.2">
      <c r="AD301" s="224"/>
    </row>
    <row r="302" spans="30:30" x14ac:dyDescent="0.2">
      <c r="AD302" s="224"/>
    </row>
    <row r="303" spans="30:30" x14ac:dyDescent="0.2">
      <c r="AD303" s="224"/>
    </row>
    <row r="304" spans="30:30" x14ac:dyDescent="0.2">
      <c r="AD304" s="224"/>
    </row>
    <row r="305" spans="30:30" x14ac:dyDescent="0.2">
      <c r="AD305" s="224"/>
    </row>
    <row r="306" spans="30:30" x14ac:dyDescent="0.2">
      <c r="AD306" s="224"/>
    </row>
    <row r="307" spans="30:30" x14ac:dyDescent="0.2">
      <c r="AD307" s="224"/>
    </row>
    <row r="308" spans="30:30" x14ac:dyDescent="0.2">
      <c r="AD308" s="224"/>
    </row>
    <row r="309" spans="30:30" x14ac:dyDescent="0.2">
      <c r="AD309" s="224"/>
    </row>
    <row r="310" spans="30:30" x14ac:dyDescent="0.2">
      <c r="AD310" s="224"/>
    </row>
    <row r="311" spans="30:30" x14ac:dyDescent="0.2">
      <c r="AD311" s="224"/>
    </row>
    <row r="312" spans="30:30" x14ac:dyDescent="0.2">
      <c r="AD312" s="224"/>
    </row>
    <row r="313" spans="30:30" x14ac:dyDescent="0.2">
      <c r="AD313" s="224"/>
    </row>
    <row r="314" spans="30:30" x14ac:dyDescent="0.2">
      <c r="AD314" s="224"/>
    </row>
    <row r="315" spans="30:30" x14ac:dyDescent="0.2">
      <c r="AD315" s="224"/>
    </row>
    <row r="316" spans="30:30" x14ac:dyDescent="0.2">
      <c r="AD316" s="224"/>
    </row>
    <row r="317" spans="30:30" x14ac:dyDescent="0.2">
      <c r="AD317" s="224"/>
    </row>
    <row r="318" spans="30:30" x14ac:dyDescent="0.2">
      <c r="AD318" s="224"/>
    </row>
    <row r="319" spans="30:30" x14ac:dyDescent="0.2">
      <c r="AD319" s="224"/>
    </row>
    <row r="320" spans="30:30" x14ac:dyDescent="0.2">
      <c r="AD320" s="224"/>
    </row>
    <row r="321" spans="30:30" x14ac:dyDescent="0.2">
      <c r="AD321" s="224"/>
    </row>
    <row r="322" spans="30:30" x14ac:dyDescent="0.2">
      <c r="AD322" s="224"/>
    </row>
    <row r="323" spans="30:30" x14ac:dyDescent="0.2">
      <c r="AD323" s="224"/>
    </row>
    <row r="324" spans="30:30" x14ac:dyDescent="0.2">
      <c r="AD324" s="224"/>
    </row>
    <row r="325" spans="30:30" x14ac:dyDescent="0.2">
      <c r="AD325" s="224"/>
    </row>
    <row r="326" spans="30:30" x14ac:dyDescent="0.2">
      <c r="AD326" s="224"/>
    </row>
    <row r="327" spans="30:30" x14ac:dyDescent="0.2">
      <c r="AD327" s="224"/>
    </row>
    <row r="328" spans="30:30" x14ac:dyDescent="0.2">
      <c r="AD328" s="224"/>
    </row>
    <row r="329" spans="30:30" x14ac:dyDescent="0.2">
      <c r="AD329" s="224"/>
    </row>
    <row r="330" spans="30:30" x14ac:dyDescent="0.2">
      <c r="AD330" s="224"/>
    </row>
    <row r="331" spans="30:30" x14ac:dyDescent="0.2">
      <c r="AD331" s="224"/>
    </row>
    <row r="332" spans="30:30" x14ac:dyDescent="0.2">
      <c r="AD332" s="224"/>
    </row>
    <row r="333" spans="30:30" x14ac:dyDescent="0.2">
      <c r="AD333" s="224"/>
    </row>
    <row r="334" spans="30:30" x14ac:dyDescent="0.2">
      <c r="AD334" s="224"/>
    </row>
  </sheetData>
  <sheetProtection sheet="1" objects="1" scenarios="1"/>
  <autoFilter ref="F1:F334" xr:uid="{00000000-0001-0000-1100-000000000000}"/>
  <mergeCells count="62">
    <mergeCell ref="B202:H202"/>
    <mergeCell ref="B204:H204"/>
    <mergeCell ref="B212:H212"/>
    <mergeCell ref="B208:H208"/>
    <mergeCell ref="B71:H71"/>
    <mergeCell ref="B88:H88"/>
    <mergeCell ref="B96:H96"/>
    <mergeCell ref="B94:H94"/>
    <mergeCell ref="B102:H102"/>
    <mergeCell ref="B112:H112"/>
    <mergeCell ref="A3:A4"/>
    <mergeCell ref="B3:B4"/>
    <mergeCell ref="C3:C4"/>
    <mergeCell ref="B197:H197"/>
    <mergeCell ref="B131:H131"/>
    <mergeCell ref="B134:H134"/>
    <mergeCell ref="B139:H139"/>
    <mergeCell ref="B143:H143"/>
    <mergeCell ref="B147:H147"/>
    <mergeCell ref="B190:H190"/>
    <mergeCell ref="B108:H108"/>
    <mergeCell ref="B25:H25"/>
    <mergeCell ref="B63:H63"/>
    <mergeCell ref="B5:H5"/>
    <mergeCell ref="B177:H177"/>
    <mergeCell ref="B116:H116"/>
    <mergeCell ref="AK3:AO3"/>
    <mergeCell ref="P2:P4"/>
    <mergeCell ref="Q2:Q4"/>
    <mergeCell ref="R2:R4"/>
    <mergeCell ref="B200:H200"/>
    <mergeCell ref="B36:H36"/>
    <mergeCell ref="B125:H125"/>
    <mergeCell ref="B129:H129"/>
    <mergeCell ref="B45:H45"/>
    <mergeCell ref="AG3:AJ3"/>
    <mergeCell ref="AF3:AF4"/>
    <mergeCell ref="T2:T4"/>
    <mergeCell ref="U2:U4"/>
    <mergeCell ref="C2:E2"/>
    <mergeCell ref="Z2:Z4"/>
    <mergeCell ref="X2:X4"/>
    <mergeCell ref="W2:W4"/>
    <mergeCell ref="V2:V4"/>
    <mergeCell ref="Y2:Y4"/>
    <mergeCell ref="AA2:AA4"/>
    <mergeCell ref="AB2:AB4"/>
    <mergeCell ref="AC1:AF1"/>
    <mergeCell ref="AC2:AF2"/>
    <mergeCell ref="AC3:AC4"/>
    <mergeCell ref="AD3:AD4"/>
    <mergeCell ref="AE3:AE4"/>
    <mergeCell ref="O5:O6"/>
    <mergeCell ref="I2:I4"/>
    <mergeCell ref="N5:N6"/>
    <mergeCell ref="S2:S4"/>
    <mergeCell ref="M2:M4"/>
    <mergeCell ref="J2:J4"/>
    <mergeCell ref="L2:L4"/>
    <mergeCell ref="K2:K4"/>
    <mergeCell ref="N2:N4"/>
    <mergeCell ref="O2:O4"/>
  </mergeCells>
  <phoneticPr fontId="6" type="noConversion"/>
  <conditionalFormatting sqref="AB6:AB215">
    <cfRule type="cellIs" dxfId="40" priority="1" operator="equal">
      <formula>2</formula>
    </cfRule>
    <cfRule type="cellIs" dxfId="39" priority="2" operator="equal">
      <formula>3</formula>
    </cfRule>
    <cfRule type="cellIs" dxfId="38" priority="3" operator="equal">
      <formula>4</formula>
    </cfRule>
  </conditionalFormatting>
  <pageMargins left="0.31496062992125984" right="0.35433070866141736" top="0.39370078740157483" bottom="0.51181102362204722" header="0" footer="0.27559055118110237"/>
  <pageSetup paperSize="9" scale="90" firstPageNumber="0" fitToHeight="4" orientation="landscape" r:id="rId1"/>
  <headerFooter alignWithMargins="0">
    <oddFooter>&amp;LMise à jour : 18/03/2021&amp;RPage &amp;P</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8D43-230A-43EA-820F-09110A871AE5}">
  <sheetPr codeName="Feuil21"/>
  <dimension ref="A1:M16"/>
  <sheetViews>
    <sheetView workbookViewId="0">
      <selection sqref="A1:F15"/>
    </sheetView>
  </sheetViews>
  <sheetFormatPr baseColWidth="10" defaultRowHeight="13.2" x14ac:dyDescent="0.25"/>
  <cols>
    <col min="1" max="1" width="27.6640625" customWidth="1"/>
    <col min="2" max="2" width="6.88671875" customWidth="1"/>
    <col min="3" max="3" width="56.44140625" customWidth="1"/>
    <col min="4" max="4" width="12" customWidth="1"/>
    <col min="5" max="5" width="18.5546875" customWidth="1"/>
  </cols>
  <sheetData>
    <row r="1" spans="1:13" ht="22.8" x14ac:dyDescent="0.25">
      <c r="A1" s="707" t="s">
        <v>4393</v>
      </c>
      <c r="B1" s="707"/>
    </row>
    <row r="2" spans="1:13" ht="24" customHeight="1" thickBot="1" x14ac:dyDescent="0.3">
      <c r="B2" s="385" t="s">
        <v>4394</v>
      </c>
      <c r="C2" s="708" t="s">
        <v>4395</v>
      </c>
      <c r="D2" s="708" t="s">
        <v>2185</v>
      </c>
      <c r="E2" s="1310" t="s">
        <v>4396</v>
      </c>
      <c r="F2" s="1310"/>
    </row>
    <row r="3" spans="1:13" ht="21" customHeight="1" x14ac:dyDescent="0.25">
      <c r="A3" s="1338" t="s">
        <v>4397</v>
      </c>
      <c r="B3" s="709" t="s">
        <v>4398</v>
      </c>
      <c r="C3" s="710" t="s">
        <v>4399</v>
      </c>
      <c r="D3" s="1065">
        <v>1</v>
      </c>
      <c r="E3" s="1310"/>
      <c r="F3" s="1310"/>
    </row>
    <row r="4" spans="1:13" ht="21" customHeight="1" x14ac:dyDescent="0.25">
      <c r="A4" s="1339"/>
      <c r="B4" s="711" t="s">
        <v>4808</v>
      </c>
      <c r="C4" s="712" t="s">
        <v>3103</v>
      </c>
      <c r="D4" s="1066">
        <v>1</v>
      </c>
    </row>
    <row r="5" spans="1:13" ht="21" customHeight="1" x14ac:dyDescent="0.25">
      <c r="A5" s="1340"/>
      <c r="B5" s="713" t="s">
        <v>4400</v>
      </c>
      <c r="C5" s="712" t="s">
        <v>4401</v>
      </c>
      <c r="D5" s="1066">
        <v>1</v>
      </c>
    </row>
    <row r="6" spans="1:13" ht="21" customHeight="1" x14ac:dyDescent="0.25">
      <c r="A6" s="1341" t="s">
        <v>4402</v>
      </c>
      <c r="B6" s="705" t="s">
        <v>4403</v>
      </c>
      <c r="C6" s="714" t="s">
        <v>4404</v>
      </c>
      <c r="D6" s="1066">
        <v>1</v>
      </c>
    </row>
    <row r="7" spans="1:13" ht="21" customHeight="1" x14ac:dyDescent="0.25">
      <c r="A7" s="1342"/>
      <c r="B7" s="705" t="s">
        <v>4405</v>
      </c>
      <c r="C7" s="714" t="s">
        <v>516</v>
      </c>
      <c r="D7" s="1066">
        <v>1</v>
      </c>
    </row>
    <row r="8" spans="1:13" ht="21" customHeight="1" x14ac:dyDescent="0.25">
      <c r="A8" s="1342"/>
      <c r="B8" s="705" t="s">
        <v>4406</v>
      </c>
      <c r="C8" s="714" t="s">
        <v>4407</v>
      </c>
      <c r="D8" s="1066">
        <v>1</v>
      </c>
    </row>
    <row r="9" spans="1:13" ht="21" customHeight="1" x14ac:dyDescent="0.25">
      <c r="A9" s="1343"/>
      <c r="B9" s="873" t="s">
        <v>4810</v>
      </c>
      <c r="C9" s="874" t="s">
        <v>4809</v>
      </c>
      <c r="D9" s="1066">
        <v>1</v>
      </c>
    </row>
    <row r="10" spans="1:13" ht="32.25" customHeight="1" x14ac:dyDescent="0.25">
      <c r="A10" s="715" t="s">
        <v>4408</v>
      </c>
      <c r="B10" s="705" t="s">
        <v>514</v>
      </c>
      <c r="C10" s="712" t="s">
        <v>4409</v>
      </c>
      <c r="D10" s="1066">
        <v>1</v>
      </c>
      <c r="E10" s="486"/>
      <c r="F10" s="735"/>
      <c r="G10" s="486"/>
      <c r="H10" s="486"/>
      <c r="I10" s="486"/>
      <c r="J10" s="486"/>
      <c r="K10" s="486"/>
      <c r="L10" s="486"/>
      <c r="M10" s="486"/>
    </row>
    <row r="11" spans="1:13" ht="21" customHeight="1" x14ac:dyDescent="0.25">
      <c r="A11" s="1340" t="s">
        <v>4410</v>
      </c>
      <c r="B11" s="713" t="s">
        <v>349</v>
      </c>
      <c r="C11" s="712" t="s">
        <v>4411</v>
      </c>
      <c r="D11" s="1066">
        <v>1</v>
      </c>
      <c r="E11" s="486"/>
      <c r="F11" s="486"/>
      <c r="G11" s="486"/>
      <c r="H11" s="486"/>
      <c r="I11" s="486"/>
      <c r="J11" s="486"/>
      <c r="K11" s="486"/>
      <c r="L11" s="486"/>
      <c r="M11" s="486"/>
    </row>
    <row r="12" spans="1:13" ht="21" customHeight="1" x14ac:dyDescent="0.25">
      <c r="A12" s="1340"/>
      <c r="B12" s="713" t="s">
        <v>4412</v>
      </c>
      <c r="C12" s="712" t="s">
        <v>4413</v>
      </c>
      <c r="D12" s="1066">
        <v>1</v>
      </c>
      <c r="E12" s="706"/>
      <c r="F12" s="706"/>
      <c r="G12" s="706"/>
      <c r="H12" s="706"/>
      <c r="I12" s="706"/>
      <c r="J12" s="706"/>
      <c r="K12" s="706"/>
      <c r="L12" s="706"/>
      <c r="M12" s="706"/>
    </row>
    <row r="13" spans="1:13" ht="21" customHeight="1" x14ac:dyDescent="0.25">
      <c r="A13" s="1340"/>
      <c r="B13" s="713" t="s">
        <v>4414</v>
      </c>
      <c r="C13" s="714" t="s">
        <v>4415</v>
      </c>
      <c r="D13" s="1066">
        <v>1</v>
      </c>
    </row>
    <row r="14" spans="1:13" ht="31.5" customHeight="1" x14ac:dyDescent="0.25">
      <c r="A14" s="792" t="s">
        <v>4631</v>
      </c>
      <c r="B14" s="793" t="s">
        <v>4632</v>
      </c>
      <c r="C14" s="794" t="s">
        <v>4633</v>
      </c>
      <c r="D14" s="1067">
        <v>1</v>
      </c>
    </row>
    <row r="15" spans="1:13" ht="36" customHeight="1" thickBot="1" x14ac:dyDescent="0.3">
      <c r="A15" s="716" t="s">
        <v>4416</v>
      </c>
      <c r="B15" s="717" t="s">
        <v>470</v>
      </c>
      <c r="C15" s="718" t="s">
        <v>4417</v>
      </c>
      <c r="D15" s="1068">
        <v>1</v>
      </c>
    </row>
    <row r="16" spans="1:13" ht="13.8" x14ac:dyDescent="0.25">
      <c r="C16" s="28"/>
    </row>
  </sheetData>
  <sheetProtection sheet="1" objects="1" scenarios="1"/>
  <mergeCells count="4">
    <mergeCell ref="E2:F3"/>
    <mergeCell ref="A3:A5"/>
    <mergeCell ref="A11:A13"/>
    <mergeCell ref="A6:A9"/>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2066-92DE-4773-951F-37C6C2A2AA6E}">
  <sheetPr codeName="Feuil22"/>
  <dimension ref="A1:J15"/>
  <sheetViews>
    <sheetView topLeftCell="E1" workbookViewId="0">
      <selection sqref="A1:F15"/>
    </sheetView>
  </sheetViews>
  <sheetFormatPr baseColWidth="10" defaultColWidth="11.44140625" defaultRowHeight="13.2" x14ac:dyDescent="0.25"/>
  <cols>
    <col min="1" max="1" width="20.33203125" style="720" customWidth="1"/>
    <col min="2" max="2" width="16.6640625" style="720" customWidth="1"/>
    <col min="3" max="3" width="8.33203125" style="720" customWidth="1"/>
    <col min="4" max="4" width="36.6640625" style="720" customWidth="1"/>
    <col min="5" max="5" width="81.109375" style="720" customWidth="1"/>
    <col min="6" max="6" width="10.6640625" style="720" customWidth="1"/>
    <col min="7" max="16384" width="11.44140625" style="720"/>
  </cols>
  <sheetData>
    <row r="1" spans="1:10" ht="19.5" customHeight="1" x14ac:dyDescent="0.3">
      <c r="A1" s="719" t="s">
        <v>4418</v>
      </c>
      <c r="G1" s="1350"/>
      <c r="H1" s="1350"/>
      <c r="I1" s="1350"/>
      <c r="J1" s="1350"/>
    </row>
    <row r="2" spans="1:10" ht="66.75" customHeight="1" thickBot="1" x14ac:dyDescent="0.3">
      <c r="A2" s="1351" t="s">
        <v>4419</v>
      </c>
      <c r="B2" s="1352"/>
      <c r="C2" s="1352"/>
      <c r="D2" s="1352"/>
      <c r="E2" s="1352"/>
      <c r="F2" s="721"/>
    </row>
    <row r="3" spans="1:10" ht="30" customHeight="1" x14ac:dyDescent="0.25">
      <c r="A3" s="722" t="s">
        <v>4420</v>
      </c>
      <c r="B3" s="722" t="s">
        <v>4421</v>
      </c>
      <c r="C3" s="723" t="s">
        <v>4394</v>
      </c>
      <c r="D3" s="724" t="s">
        <v>4422</v>
      </c>
      <c r="E3" s="725" t="s">
        <v>405</v>
      </c>
      <c r="F3" s="726" t="s">
        <v>2185</v>
      </c>
      <c r="G3" s="1310" t="s">
        <v>4423</v>
      </c>
      <c r="H3" s="1310"/>
      <c r="I3" s="1310"/>
    </row>
    <row r="4" spans="1:10" ht="16.5" customHeight="1" x14ac:dyDescent="0.25">
      <c r="A4" s="1353" t="s">
        <v>341</v>
      </c>
      <c r="B4" s="1355" t="s">
        <v>468</v>
      </c>
      <c r="C4" s="703" t="s">
        <v>4424</v>
      </c>
      <c r="D4" s="727" t="s">
        <v>1552</v>
      </c>
      <c r="E4" s="728" t="s">
        <v>4425</v>
      </c>
      <c r="F4" s="1066">
        <v>1</v>
      </c>
      <c r="G4" s="1310"/>
      <c r="H4" s="1310"/>
      <c r="I4" s="1310"/>
    </row>
    <row r="5" spans="1:10" ht="16.5" customHeight="1" x14ac:dyDescent="0.25">
      <c r="A5" s="1354"/>
      <c r="B5" s="1356"/>
      <c r="C5" s="703" t="s">
        <v>4426</v>
      </c>
      <c r="D5" s="727" t="s">
        <v>181</v>
      </c>
      <c r="E5" s="728" t="s">
        <v>4427</v>
      </c>
      <c r="F5" s="1066">
        <v>1</v>
      </c>
    </row>
    <row r="6" spans="1:10" ht="16.5" customHeight="1" x14ac:dyDescent="0.25">
      <c r="A6" s="1354"/>
      <c r="B6" s="1356"/>
      <c r="C6" s="703" t="s">
        <v>4428</v>
      </c>
      <c r="D6" s="729" t="s">
        <v>4429</v>
      </c>
      <c r="E6" s="728" t="s">
        <v>4430</v>
      </c>
      <c r="F6" s="1066">
        <v>1</v>
      </c>
    </row>
    <row r="7" spans="1:10" ht="27" customHeight="1" x14ac:dyDescent="0.25">
      <c r="A7" s="1354"/>
      <c r="B7" s="1356"/>
      <c r="C7" s="703" t="s">
        <v>4431</v>
      </c>
      <c r="D7" s="739" t="s">
        <v>4583</v>
      </c>
      <c r="E7" s="728" t="s">
        <v>4432</v>
      </c>
      <c r="F7" s="1066">
        <v>1</v>
      </c>
    </row>
    <row r="8" spans="1:10" ht="28.5" customHeight="1" x14ac:dyDescent="0.25">
      <c r="A8" s="1354"/>
      <c r="B8" s="1356"/>
      <c r="C8" s="703" t="s">
        <v>4433</v>
      </c>
      <c r="D8" s="727" t="s">
        <v>4434</v>
      </c>
      <c r="E8" s="728" t="s">
        <v>4435</v>
      </c>
      <c r="F8" s="1066">
        <v>1</v>
      </c>
    </row>
    <row r="9" spans="1:10" ht="59.4" customHeight="1" x14ac:dyDescent="0.25">
      <c r="A9" s="1354"/>
      <c r="B9" s="1357"/>
      <c r="C9" s="703" t="s">
        <v>4436</v>
      </c>
      <c r="D9" s="730" t="s">
        <v>545</v>
      </c>
      <c r="E9" s="728" t="s">
        <v>6686</v>
      </c>
      <c r="F9" s="1066">
        <v>1</v>
      </c>
    </row>
    <row r="10" spans="1:10" ht="28.2" customHeight="1" x14ac:dyDescent="0.25">
      <c r="A10" s="1344" t="s">
        <v>342</v>
      </c>
      <c r="B10" s="1347" t="s">
        <v>4437</v>
      </c>
      <c r="C10" s="731" t="s">
        <v>4438</v>
      </c>
      <c r="D10" s="732" t="s">
        <v>4439</v>
      </c>
      <c r="E10" s="733" t="s">
        <v>6687</v>
      </c>
      <c r="F10" s="1066">
        <v>1</v>
      </c>
    </row>
    <row r="11" spans="1:10" ht="27" customHeight="1" x14ac:dyDescent="0.25">
      <c r="A11" s="1345"/>
      <c r="B11" s="1348"/>
      <c r="C11" s="731" t="s">
        <v>4440</v>
      </c>
      <c r="D11" s="732" t="s">
        <v>4441</v>
      </c>
      <c r="E11" s="733" t="s">
        <v>4442</v>
      </c>
      <c r="F11" s="1066">
        <v>1</v>
      </c>
    </row>
    <row r="12" spans="1:10" ht="16.5" customHeight="1" x14ac:dyDescent="0.25">
      <c r="A12" s="1345"/>
      <c r="B12" s="1348"/>
      <c r="C12" s="731" t="s">
        <v>4443</v>
      </c>
      <c r="D12" s="731" t="s">
        <v>4444</v>
      </c>
      <c r="E12" s="728" t="s">
        <v>4445</v>
      </c>
      <c r="F12" s="1066">
        <v>1</v>
      </c>
    </row>
    <row r="13" spans="1:10" ht="16.5" customHeight="1" x14ac:dyDescent="0.25">
      <c r="A13" s="1346"/>
      <c r="B13" s="1349"/>
      <c r="C13" s="731" t="s">
        <v>6688</v>
      </c>
      <c r="D13" s="731" t="s">
        <v>3244</v>
      </c>
      <c r="E13" s="728" t="s">
        <v>4446</v>
      </c>
      <c r="F13" s="1066">
        <v>1</v>
      </c>
    </row>
    <row r="14" spans="1:10" ht="18" customHeight="1" x14ac:dyDescent="0.25">
      <c r="A14" s="790" t="s">
        <v>343</v>
      </c>
      <c r="B14" s="791" t="s">
        <v>397</v>
      </c>
      <c r="C14" s="731" t="s">
        <v>4447</v>
      </c>
      <c r="D14" s="786" t="s">
        <v>4609</v>
      </c>
      <c r="E14" s="787" t="s">
        <v>4807</v>
      </c>
      <c r="F14" s="1066">
        <v>1</v>
      </c>
    </row>
    <row r="15" spans="1:10" ht="40.5" customHeight="1" thickBot="1" x14ac:dyDescent="0.3">
      <c r="A15" s="879" t="s">
        <v>4448</v>
      </c>
      <c r="B15" s="880" t="s">
        <v>6275</v>
      </c>
      <c r="C15" s="881" t="s">
        <v>4449</v>
      </c>
      <c r="D15" s="882" t="s">
        <v>4450</v>
      </c>
      <c r="E15" s="883" t="s">
        <v>4451</v>
      </c>
      <c r="F15" s="1068">
        <v>1</v>
      </c>
    </row>
  </sheetData>
  <sheetProtection sheet="1" objects="1" scenarios="1"/>
  <mergeCells count="7">
    <mergeCell ref="A10:A13"/>
    <mergeCell ref="B10:B13"/>
    <mergeCell ref="G1:J1"/>
    <mergeCell ref="A2:E2"/>
    <mergeCell ref="G3:I4"/>
    <mergeCell ref="A4:A9"/>
    <mergeCell ref="B4:B9"/>
  </mergeCells>
  <pageMargins left="0.19685039370078741" right="0.23622047244094491" top="0.39370078740157483" bottom="0.23622047244094491" header="0" footer="0"/>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tabColor indexed="42"/>
  </sheetPr>
  <dimension ref="A1:AA28"/>
  <sheetViews>
    <sheetView workbookViewId="0">
      <pane ySplit="1" topLeftCell="A2" activePane="bottomLeft" state="frozen"/>
      <selection activeCell="C18" sqref="C18"/>
      <selection pane="bottomLeft" activeCell="A2" sqref="A2:Q26"/>
    </sheetView>
  </sheetViews>
  <sheetFormatPr baseColWidth="10" defaultColWidth="11.44140625" defaultRowHeight="13.2" x14ac:dyDescent="0.25"/>
  <cols>
    <col min="1" max="1" width="5.44140625" style="8" customWidth="1"/>
    <col min="2" max="2" width="74.44140625" style="10" customWidth="1"/>
    <col min="3" max="3" width="4.109375" style="8" customWidth="1"/>
    <col min="4" max="6" width="3.5546875" style="8" customWidth="1"/>
    <col min="7" max="7" width="2" style="8" customWidth="1"/>
    <col min="8" max="11" width="3.5546875" style="8" customWidth="1"/>
    <col min="12" max="12" width="2" style="8" customWidth="1"/>
    <col min="13" max="13" width="3.5546875" style="8" customWidth="1"/>
    <col min="14" max="14" width="3.109375" style="8" customWidth="1"/>
    <col min="15" max="16" width="3.5546875" style="8" customWidth="1"/>
    <col min="17" max="17" width="2" style="8" customWidth="1"/>
    <col min="18" max="18" width="2.44140625" style="8" customWidth="1"/>
    <col min="19" max="19" width="3.6640625" style="8" customWidth="1"/>
    <col min="20" max="20" width="11.6640625" style="8" customWidth="1"/>
    <col min="21" max="24" width="6.6640625" style="8" customWidth="1"/>
    <col min="25" max="16384" width="11.44140625" style="8"/>
  </cols>
  <sheetData>
    <row r="1" spans="1:27" s="18" customFormat="1" ht="24.75" customHeight="1" thickBot="1" x14ac:dyDescent="0.3">
      <c r="A1" s="8"/>
      <c r="B1" s="10"/>
      <c r="C1" s="8"/>
      <c r="D1" s="8"/>
      <c r="E1" s="8"/>
      <c r="F1" s="8"/>
      <c r="G1" s="8"/>
      <c r="H1" s="8"/>
      <c r="I1" s="8"/>
      <c r="J1" s="8"/>
      <c r="K1" s="8"/>
      <c r="L1" s="8"/>
      <c r="M1" s="8"/>
      <c r="N1" s="8"/>
      <c r="O1" s="8"/>
      <c r="P1" s="8"/>
      <c r="Q1" s="8"/>
    </row>
    <row r="2" spans="1:27" ht="15.75" customHeight="1" x14ac:dyDescent="0.25">
      <c r="A2" s="1377" t="s">
        <v>166</v>
      </c>
      <c r="B2" s="1378"/>
      <c r="C2" s="1360" t="s">
        <v>341</v>
      </c>
      <c r="D2" s="1361"/>
      <c r="E2" s="1361"/>
      <c r="F2" s="1361"/>
      <c r="G2" s="1362"/>
      <c r="H2" s="1360" t="s">
        <v>342</v>
      </c>
      <c r="I2" s="1361"/>
      <c r="J2" s="1361"/>
      <c r="K2" s="1361"/>
      <c r="L2" s="1362"/>
      <c r="M2" s="1360" t="s">
        <v>343</v>
      </c>
      <c r="N2" s="1361"/>
      <c r="O2" s="1361"/>
      <c r="P2" s="1361"/>
      <c r="Q2" s="1362"/>
      <c r="S2" s="1379" t="s">
        <v>2262</v>
      </c>
      <c r="T2" s="1380"/>
      <c r="U2" s="1380"/>
      <c r="V2" s="1380"/>
      <c r="W2" s="1380"/>
      <c r="X2" s="1381"/>
    </row>
    <row r="3" spans="1:27" ht="12.75" customHeight="1" x14ac:dyDescent="0.25">
      <c r="A3" s="101" t="s">
        <v>4706</v>
      </c>
      <c r="B3" s="20"/>
      <c r="C3" s="109" t="s">
        <v>490</v>
      </c>
      <c r="D3" s="109" t="s">
        <v>491</v>
      </c>
      <c r="E3" s="109" t="s">
        <v>492</v>
      </c>
      <c r="F3" s="120" t="s">
        <v>493</v>
      </c>
      <c r="G3" s="430"/>
      <c r="H3" s="109" t="s">
        <v>490</v>
      </c>
      <c r="I3" s="109" t="s">
        <v>491</v>
      </c>
      <c r="J3" s="109" t="s">
        <v>492</v>
      </c>
      <c r="K3" s="120" t="s">
        <v>493</v>
      </c>
      <c r="L3" s="430"/>
      <c r="M3" s="109" t="s">
        <v>490</v>
      </c>
      <c r="N3" s="109" t="s">
        <v>491</v>
      </c>
      <c r="O3" s="109" t="s">
        <v>492</v>
      </c>
      <c r="P3" s="120" t="s">
        <v>493</v>
      </c>
      <c r="Q3" s="110"/>
      <c r="S3" s="1382"/>
      <c r="T3" s="1383"/>
      <c r="U3" s="1383"/>
      <c r="V3" s="1383"/>
      <c r="W3" s="1383"/>
      <c r="X3" s="1384"/>
    </row>
    <row r="4" spans="1:27" ht="12.75" customHeight="1" x14ac:dyDescent="0.25">
      <c r="A4" s="96"/>
      <c r="B4" s="97"/>
      <c r="C4" s="104"/>
      <c r="D4" s="105"/>
      <c r="E4" s="105"/>
      <c r="F4" s="121"/>
      <c r="G4" s="431"/>
      <c r="H4" s="104"/>
      <c r="I4" s="105"/>
      <c r="J4" s="105"/>
      <c r="K4" s="121"/>
      <c r="L4" s="431"/>
      <c r="M4" s="104"/>
      <c r="N4" s="105"/>
      <c r="O4" s="105"/>
      <c r="P4" s="121"/>
      <c r="Q4" s="106"/>
      <c r="S4" s="381"/>
      <c r="T4" s="1368"/>
      <c r="U4" s="1368"/>
      <c r="V4" s="1368"/>
      <c r="W4" s="1368"/>
      <c r="X4" s="1368"/>
    </row>
    <row r="5" spans="1:27" ht="14.25" customHeight="1" x14ac:dyDescent="0.25">
      <c r="A5" s="827" t="s">
        <v>4694</v>
      </c>
      <c r="B5" s="28" t="s">
        <v>4696</v>
      </c>
      <c r="C5" s="118">
        <f>Plans_action!B5</f>
        <v>0</v>
      </c>
      <c r="D5" s="119">
        <f>Plans_action!C5</f>
        <v>0</v>
      </c>
      <c r="E5" s="119">
        <f>Plans_action!D5</f>
        <v>17</v>
      </c>
      <c r="F5" s="122">
        <f>Plans_action!E5</f>
        <v>0</v>
      </c>
      <c r="G5" s="438" t="s">
        <v>494</v>
      </c>
      <c r="H5" s="107">
        <f>Plans_action!B16</f>
        <v>0</v>
      </c>
      <c r="I5" s="108">
        <f>Plans_action!C16</f>
        <v>0</v>
      </c>
      <c r="J5" s="119">
        <f>Plans_action!D16</f>
        <v>10</v>
      </c>
      <c r="K5" s="122">
        <f>Plans_action!E16</f>
        <v>0</v>
      </c>
      <c r="L5" s="432" t="s">
        <v>494</v>
      </c>
      <c r="M5" s="107">
        <f>Plans_action!B28</f>
        <v>0</v>
      </c>
      <c r="N5" s="108">
        <f>Plans_action!C28</f>
        <v>0</v>
      </c>
      <c r="O5" s="119">
        <f>Plans_action!D28</f>
        <v>7</v>
      </c>
      <c r="P5" s="122">
        <f>Plans_action!E28</f>
        <v>0</v>
      </c>
      <c r="Q5" s="439" t="s">
        <v>494</v>
      </c>
      <c r="S5" s="1366"/>
      <c r="T5" s="1369" t="s">
        <v>2222</v>
      </c>
      <c r="U5" s="1369"/>
      <c r="V5" s="1369"/>
      <c r="W5" s="1369"/>
      <c r="X5" s="1385"/>
    </row>
    <row r="6" spans="1:27" ht="14.25" customHeight="1" x14ac:dyDescent="0.25">
      <c r="A6" s="827" t="s">
        <v>4695</v>
      </c>
      <c r="B6" s="28" t="s">
        <v>4697</v>
      </c>
      <c r="C6" s="107">
        <f>Plans_action!B38</f>
        <v>0</v>
      </c>
      <c r="D6" s="108">
        <f>Plans_action!C38</f>
        <v>15</v>
      </c>
      <c r="E6" s="119">
        <f>Plans_action!D38</f>
        <v>1</v>
      </c>
      <c r="F6" s="122">
        <f>Plans_action!E38</f>
        <v>0</v>
      </c>
      <c r="G6" s="438" t="s">
        <v>494</v>
      </c>
      <c r="H6" s="107">
        <f>Plans_action!B49</f>
        <v>0</v>
      </c>
      <c r="I6" s="108">
        <f>Plans_action!C49</f>
        <v>7</v>
      </c>
      <c r="J6" s="119">
        <f>Plans_action!D49</f>
        <v>0</v>
      </c>
      <c r="K6" s="122">
        <f>Plans_action!E49</f>
        <v>0</v>
      </c>
      <c r="L6" s="432" t="s">
        <v>494</v>
      </c>
      <c r="M6" s="107">
        <f>Plans_action!B59</f>
        <v>0</v>
      </c>
      <c r="N6" s="108">
        <f>Plans_action!C59</f>
        <v>0</v>
      </c>
      <c r="O6" s="119">
        <f>Plans_action!D59</f>
        <v>15</v>
      </c>
      <c r="P6" s="122">
        <f>Plans_action!E59</f>
        <v>1</v>
      </c>
      <c r="Q6" s="439" t="s">
        <v>494</v>
      </c>
      <c r="S6" s="1367"/>
      <c r="T6" s="1369"/>
      <c r="U6" s="1369"/>
      <c r="V6" s="1369"/>
      <c r="W6" s="1369"/>
      <c r="X6" s="1385"/>
      <c r="AA6" s="465"/>
    </row>
    <row r="7" spans="1:27" ht="14.25" customHeight="1" x14ac:dyDescent="0.25">
      <c r="A7" s="827" t="s">
        <v>4702</v>
      </c>
      <c r="B7" s="28" t="s">
        <v>3187</v>
      </c>
      <c r="C7" s="107">
        <f>Plans_action!B71</f>
        <v>0</v>
      </c>
      <c r="D7" s="108">
        <f>Plans_action!C71</f>
        <v>0</v>
      </c>
      <c r="E7" s="119">
        <f>Plans_action!D71</f>
        <v>0</v>
      </c>
      <c r="F7" s="122">
        <f>Plans_action!E71</f>
        <v>0</v>
      </c>
      <c r="G7" s="438" t="s">
        <v>494</v>
      </c>
      <c r="H7" s="107">
        <f>Plans_action!B76</f>
        <v>0</v>
      </c>
      <c r="I7" s="108">
        <f>Plans_action!C76</f>
        <v>0</v>
      </c>
      <c r="J7" s="119">
        <f>Plans_action!D76</f>
        <v>0</v>
      </c>
      <c r="K7" s="122">
        <f>Plans_action!E76</f>
        <v>0</v>
      </c>
      <c r="L7" s="432" t="s">
        <v>494</v>
      </c>
      <c r="M7" s="107">
        <f>Plans_action!B81</f>
        <v>0</v>
      </c>
      <c r="N7" s="108">
        <f>Plans_action!C81</f>
        <v>0</v>
      </c>
      <c r="O7" s="119">
        <f>Plans_action!D81</f>
        <v>0</v>
      </c>
      <c r="P7" s="122">
        <f>Plans_action!E81</f>
        <v>0</v>
      </c>
      <c r="Q7" s="439" t="s">
        <v>494</v>
      </c>
      <c r="S7" s="381"/>
      <c r="T7" s="1386"/>
      <c r="U7" s="1386"/>
      <c r="V7" s="1386"/>
      <c r="W7" s="1386"/>
      <c r="X7" s="1368"/>
      <c r="AA7" s="465"/>
    </row>
    <row r="8" spans="1:27" ht="14.25" customHeight="1" x14ac:dyDescent="0.25">
      <c r="A8" s="827" t="s">
        <v>4713</v>
      </c>
      <c r="B8" s="834" t="s">
        <v>4698</v>
      </c>
      <c r="C8" s="107">
        <f>Plans_action!B86</f>
        <v>0</v>
      </c>
      <c r="D8" s="108">
        <f>Plans_action!C86</f>
        <v>0</v>
      </c>
      <c r="E8" s="119">
        <f>Plans_action!D86</f>
        <v>5</v>
      </c>
      <c r="F8" s="122">
        <f>Plans_action!E86</f>
        <v>0</v>
      </c>
      <c r="G8" s="438" t="s">
        <v>494</v>
      </c>
      <c r="H8" s="107">
        <f>Plans_action!B91</f>
        <v>0</v>
      </c>
      <c r="I8" s="108">
        <f>Plans_action!C91</f>
        <v>3</v>
      </c>
      <c r="J8" s="119">
        <f>Plans_action!D91</f>
        <v>0</v>
      </c>
      <c r="K8" s="122">
        <f>Plans_action!E91</f>
        <v>0</v>
      </c>
      <c r="L8" s="432" t="s">
        <v>494</v>
      </c>
      <c r="M8" s="107">
        <f>Plans_action!B96</f>
        <v>0</v>
      </c>
      <c r="N8" s="108">
        <f>Plans_action!C96</f>
        <v>3</v>
      </c>
      <c r="O8" s="119">
        <f>Plans_action!D96</f>
        <v>0</v>
      </c>
      <c r="P8" s="122">
        <f>Plans_action!E96</f>
        <v>0</v>
      </c>
      <c r="Q8" s="439" t="s">
        <v>494</v>
      </c>
      <c r="S8" s="1366"/>
      <c r="T8" s="1369" t="s">
        <v>2130</v>
      </c>
      <c r="U8" s="1369"/>
      <c r="V8" s="1369"/>
      <c r="W8" s="1369"/>
      <c r="X8" s="1385"/>
      <c r="AA8" s="465"/>
    </row>
    <row r="9" spans="1:27" ht="15.75" customHeight="1" x14ac:dyDescent="0.25">
      <c r="A9" s="833" t="s">
        <v>4703</v>
      </c>
      <c r="B9" s="834" t="s">
        <v>4699</v>
      </c>
      <c r="C9" s="828">
        <f>Plans_action!B101</f>
        <v>0</v>
      </c>
      <c r="D9" s="829">
        <f>Plans_action!C101</f>
        <v>0</v>
      </c>
      <c r="E9" s="830">
        <f>Plans_action!D101</f>
        <v>0</v>
      </c>
      <c r="F9" s="831">
        <f>Plans_action!E101</f>
        <v>0</v>
      </c>
      <c r="G9" s="832" t="s">
        <v>494</v>
      </c>
      <c r="H9" s="112"/>
      <c r="I9" s="113"/>
      <c r="J9" s="113"/>
      <c r="K9" s="123"/>
      <c r="L9" s="440"/>
      <c r="M9" s="107">
        <f>Plans_action!B106</f>
        <v>0</v>
      </c>
      <c r="N9" s="108">
        <f>Plans_action!C106</f>
        <v>0</v>
      </c>
      <c r="O9" s="119">
        <f>Plans_action!D106</f>
        <v>0</v>
      </c>
      <c r="P9" s="122">
        <f>Plans_action!E106</f>
        <v>0</v>
      </c>
      <c r="Q9" s="439" t="s">
        <v>494</v>
      </c>
      <c r="S9" s="1367"/>
      <c r="T9" s="1369"/>
      <c r="U9" s="1369"/>
      <c r="V9" s="1369"/>
      <c r="W9" s="1369"/>
      <c r="X9" s="1385"/>
    </row>
    <row r="10" spans="1:27" ht="12.75" customHeight="1" x14ac:dyDescent="0.25">
      <c r="A10" s="833" t="s">
        <v>4704</v>
      </c>
      <c r="B10" s="834" t="s">
        <v>4700</v>
      </c>
      <c r="C10" s="828">
        <f>Plans_action!B111</f>
        <v>0</v>
      </c>
      <c r="D10" s="829">
        <f>Plans_action!C111</f>
        <v>1</v>
      </c>
      <c r="E10" s="830">
        <f>Plans_action!D111</f>
        <v>0</v>
      </c>
      <c r="F10" s="831">
        <f>Plans_action!E111</f>
        <v>0</v>
      </c>
      <c r="G10" s="832" t="s">
        <v>494</v>
      </c>
      <c r="H10" s="828">
        <f>Plans_action!B116</f>
        <v>0</v>
      </c>
      <c r="I10" s="829">
        <f>Plans_action!C116</f>
        <v>2</v>
      </c>
      <c r="J10" s="830">
        <f>Plans_action!D116</f>
        <v>0</v>
      </c>
      <c r="K10" s="831">
        <f>Plans_action!E116</f>
        <v>0</v>
      </c>
      <c r="L10" s="432" t="s">
        <v>494</v>
      </c>
      <c r="M10" s="112"/>
      <c r="N10" s="113"/>
      <c r="O10" s="113"/>
      <c r="P10" s="123"/>
      <c r="Q10" s="440"/>
      <c r="S10" s="381"/>
      <c r="T10" s="1368"/>
      <c r="U10" s="1368"/>
      <c r="V10" s="1368"/>
      <c r="W10" s="1368"/>
      <c r="X10" s="1368"/>
    </row>
    <row r="11" spans="1:27" ht="12.75" customHeight="1" x14ac:dyDescent="0.25">
      <c r="A11" s="833" t="s">
        <v>4705</v>
      </c>
      <c r="B11" s="834" t="s">
        <v>4701</v>
      </c>
      <c r="C11" s="828">
        <f>Plans_action!B121</f>
        <v>0</v>
      </c>
      <c r="D11" s="829">
        <f>Plans_action!C121</f>
        <v>0</v>
      </c>
      <c r="E11" s="830">
        <f>Plans_action!D121</f>
        <v>4</v>
      </c>
      <c r="F11" s="831">
        <f>Plans_action!E121</f>
        <v>0</v>
      </c>
      <c r="G11" s="832" t="s">
        <v>494</v>
      </c>
      <c r="H11" s="828">
        <f>Plans_action!B126</f>
        <v>0</v>
      </c>
      <c r="I11" s="829">
        <f>Plans_action!C126</f>
        <v>0</v>
      </c>
      <c r="J11" s="830">
        <f>Plans_action!D126</f>
        <v>3</v>
      </c>
      <c r="K11" s="831">
        <f>Plans_action!E126</f>
        <v>0</v>
      </c>
      <c r="L11" s="432" t="s">
        <v>494</v>
      </c>
      <c r="M11" s="107">
        <f>Plans_action!B131</f>
        <v>0</v>
      </c>
      <c r="N11" s="108">
        <f>Plans_action!C131</f>
        <v>0</v>
      </c>
      <c r="O11" s="119">
        <f>Plans_action!D131</f>
        <v>3</v>
      </c>
      <c r="P11" s="122">
        <f>Plans_action!E131</f>
        <v>0</v>
      </c>
      <c r="Q11" s="439" t="s">
        <v>494</v>
      </c>
      <c r="S11" s="1366"/>
      <c r="T11" s="1369" t="s">
        <v>2292</v>
      </c>
      <c r="U11" s="1370"/>
      <c r="V11" s="1370"/>
      <c r="W11" s="1370"/>
      <c r="X11" s="1371"/>
    </row>
    <row r="12" spans="1:27" ht="14.25" customHeight="1" x14ac:dyDescent="0.3">
      <c r="A12" s="9"/>
      <c r="C12" s="111"/>
      <c r="D12" s="108"/>
      <c r="E12" s="115"/>
      <c r="F12" s="122"/>
      <c r="G12" s="433"/>
      <c r="H12" s="111"/>
      <c r="I12" s="108"/>
      <c r="J12" s="119"/>
      <c r="K12" s="122"/>
      <c r="L12" s="433"/>
      <c r="M12" s="111"/>
      <c r="N12" s="108"/>
      <c r="O12" s="108"/>
      <c r="P12" s="122"/>
      <c r="Q12" s="441"/>
      <c r="S12" s="1367"/>
      <c r="T12" s="1370"/>
      <c r="U12" s="1370"/>
      <c r="V12" s="1370"/>
      <c r="W12" s="1370"/>
      <c r="X12" s="1371"/>
    </row>
    <row r="13" spans="1:27" ht="14.25" customHeight="1" x14ac:dyDescent="0.25">
      <c r="A13" s="101" t="s">
        <v>4707</v>
      </c>
      <c r="B13" s="20"/>
      <c r="C13" s="100"/>
      <c r="D13" s="21"/>
      <c r="E13" s="21"/>
      <c r="F13" s="124"/>
      <c r="G13" s="434"/>
      <c r="H13" s="100"/>
      <c r="I13" s="21"/>
      <c r="J13" s="21"/>
      <c r="K13" s="124"/>
      <c r="L13" s="434"/>
      <c r="M13" s="100"/>
      <c r="N13" s="21"/>
      <c r="O13" s="21"/>
      <c r="P13" s="124"/>
      <c r="Q13" s="442"/>
      <c r="S13" s="1367"/>
      <c r="T13" s="453"/>
      <c r="U13" s="453"/>
      <c r="V13" s="453"/>
      <c r="W13" s="453"/>
      <c r="X13" s="454"/>
    </row>
    <row r="14" spans="1:27" ht="14.25" customHeight="1" x14ac:dyDescent="0.25">
      <c r="A14" s="96"/>
      <c r="B14" s="97"/>
      <c r="C14" s="104"/>
      <c r="D14" s="105"/>
      <c r="E14" s="105"/>
      <c r="F14" s="121"/>
      <c r="G14" s="431"/>
      <c r="H14" s="104"/>
      <c r="I14" s="105"/>
      <c r="J14" s="105"/>
      <c r="K14" s="121"/>
      <c r="L14" s="431"/>
      <c r="M14" s="104"/>
      <c r="N14" s="108"/>
      <c r="O14" s="105"/>
      <c r="P14" s="121"/>
      <c r="Q14" s="443"/>
      <c r="S14" s="381"/>
      <c r="T14" s="1372" t="s">
        <v>2223</v>
      </c>
      <c r="U14" s="1373"/>
      <c r="V14" s="1373"/>
      <c r="W14" s="1373"/>
      <c r="X14" s="1374"/>
    </row>
    <row r="15" spans="1:27" ht="14.25" customHeight="1" x14ac:dyDescent="0.25">
      <c r="A15" s="827" t="s">
        <v>4710</v>
      </c>
      <c r="B15" s="835" t="s">
        <v>420</v>
      </c>
      <c r="C15" s="107">
        <f>Plans_action!B136</f>
        <v>0</v>
      </c>
      <c r="D15" s="108">
        <f>Plans_action!C136</f>
        <v>28</v>
      </c>
      <c r="E15" s="119">
        <f>Plans_action!D136</f>
        <v>1</v>
      </c>
      <c r="F15" s="122">
        <f>Plans_action!E136</f>
        <v>0</v>
      </c>
      <c r="G15" s="438" t="s">
        <v>494</v>
      </c>
      <c r="H15" s="828">
        <f>Plans_action!B154</f>
        <v>0</v>
      </c>
      <c r="I15" s="829">
        <f>Plans_action!C154</f>
        <v>12</v>
      </c>
      <c r="J15" s="830">
        <f>Plans_action!D154</f>
        <v>0</v>
      </c>
      <c r="K15" s="831">
        <f>Plans_action!E154</f>
        <v>0</v>
      </c>
      <c r="L15" s="840" t="s">
        <v>494</v>
      </c>
      <c r="M15" s="828">
        <f>Plans_action!B165</f>
        <v>0</v>
      </c>
      <c r="N15" s="108">
        <f>Plans_action!C165</f>
        <v>0</v>
      </c>
      <c r="O15" s="830">
        <f>Plans_action!D165</f>
        <v>0</v>
      </c>
      <c r="P15" s="831">
        <f>Plans_action!E165</f>
        <v>0</v>
      </c>
      <c r="Q15" s="841" t="s">
        <v>494</v>
      </c>
      <c r="S15" s="381"/>
      <c r="T15" s="1373"/>
      <c r="U15" s="1373"/>
      <c r="V15" s="1373"/>
      <c r="W15" s="1373"/>
      <c r="X15" s="1374"/>
    </row>
    <row r="16" spans="1:27" ht="14.25" customHeight="1" thickBot="1" x14ac:dyDescent="0.3">
      <c r="A16" s="827" t="s">
        <v>4711</v>
      </c>
      <c r="B16" s="835" t="s">
        <v>1408</v>
      </c>
      <c r="C16" s="107">
        <f>Plans_action!B173</f>
        <v>0</v>
      </c>
      <c r="D16" s="108">
        <f>Plans_action!C173</f>
        <v>0</v>
      </c>
      <c r="E16" s="119">
        <f>Plans_action!D173</f>
        <v>2</v>
      </c>
      <c r="F16" s="122">
        <f>Plans_action!E173</f>
        <v>0</v>
      </c>
      <c r="G16" s="438" t="s">
        <v>494</v>
      </c>
      <c r="H16" s="828">
        <f>Plans_action!B178</f>
        <v>0</v>
      </c>
      <c r="I16" s="829">
        <f>Plans_action!C178</f>
        <v>1</v>
      </c>
      <c r="J16" s="830">
        <f>Plans_action!D178</f>
        <v>0</v>
      </c>
      <c r="K16" s="831">
        <f>Plans_action!E178</f>
        <v>0</v>
      </c>
      <c r="L16" s="840" t="s">
        <v>494</v>
      </c>
      <c r="M16" s="112"/>
      <c r="N16" s="113"/>
      <c r="O16" s="113"/>
      <c r="P16" s="123"/>
      <c r="Q16" s="440"/>
      <c r="S16" s="399"/>
      <c r="T16" s="463"/>
      <c r="U16" s="1375">
        <v>44196</v>
      </c>
      <c r="V16" s="1376"/>
      <c r="W16" s="463"/>
      <c r="X16" s="464"/>
    </row>
    <row r="17" spans="1:24" ht="13.8" x14ac:dyDescent="0.25">
      <c r="A17" s="827" t="s">
        <v>4712</v>
      </c>
      <c r="B17" s="835" t="s">
        <v>358</v>
      </c>
      <c r="C17" s="107">
        <f>Plans_action!B183</f>
        <v>0</v>
      </c>
      <c r="D17" s="108">
        <f>Plans_action!C183</f>
        <v>1</v>
      </c>
      <c r="E17" s="119">
        <f>Plans_action!D183</f>
        <v>0</v>
      </c>
      <c r="F17" s="122">
        <f>Plans_action!E183</f>
        <v>0</v>
      </c>
      <c r="G17" s="438" t="s">
        <v>494</v>
      </c>
      <c r="H17" s="828">
        <f>Plans_action!B188</f>
        <v>0</v>
      </c>
      <c r="I17" s="829">
        <f>Plans_action!C188</f>
        <v>3</v>
      </c>
      <c r="J17" s="830">
        <f>Plans_action!D188</f>
        <v>0</v>
      </c>
      <c r="K17" s="831">
        <f>Plans_action!E188</f>
        <v>0</v>
      </c>
      <c r="L17" s="838" t="s">
        <v>494</v>
      </c>
      <c r="M17" s="104"/>
      <c r="N17" s="108"/>
      <c r="O17" s="105"/>
      <c r="P17" s="121"/>
      <c r="Q17" s="443"/>
    </row>
    <row r="18" spans="1:24" ht="14.4" thickBot="1" x14ac:dyDescent="0.35">
      <c r="A18" s="11"/>
      <c r="B18" s="12"/>
      <c r="C18" s="107"/>
      <c r="D18" s="108"/>
      <c r="E18" s="116"/>
      <c r="F18" s="122"/>
      <c r="G18" s="433"/>
      <c r="H18" s="107"/>
      <c r="I18" s="108"/>
      <c r="J18" s="108"/>
      <c r="K18" s="122"/>
      <c r="L18" s="433"/>
      <c r="M18" s="161"/>
      <c r="N18" s="108"/>
      <c r="O18" s="108"/>
      <c r="P18" s="122"/>
      <c r="Q18" s="441"/>
      <c r="S18" s="1358" t="s">
        <v>2196</v>
      </c>
      <c r="T18" s="1359"/>
      <c r="U18" s="1359"/>
      <c r="V18" s="1359"/>
      <c r="W18" s="1359"/>
      <c r="X18" s="1359"/>
    </row>
    <row r="19" spans="1:24" ht="15" customHeight="1" thickBot="1" x14ac:dyDescent="0.3">
      <c r="A19" s="101" t="s">
        <v>1407</v>
      </c>
      <c r="B19" s="20"/>
      <c r="C19" s="1363" t="s">
        <v>284</v>
      </c>
      <c r="D19" s="1364"/>
      <c r="E19" s="1364"/>
      <c r="F19" s="1364"/>
      <c r="G19" s="1365"/>
      <c r="H19" s="102"/>
      <c r="I19" s="103"/>
      <c r="J19" s="103"/>
      <c r="K19" s="19"/>
      <c r="L19" s="436"/>
      <c r="M19" s="102"/>
      <c r="N19" s="103"/>
      <c r="O19" s="103"/>
      <c r="P19" s="19"/>
      <c r="Q19" s="436"/>
      <c r="S19" s="1359"/>
      <c r="T19" s="1359"/>
      <c r="U19" s="1359"/>
      <c r="V19" s="1359"/>
      <c r="W19" s="1359"/>
      <c r="X19" s="1359"/>
    </row>
    <row r="20" spans="1:24" ht="16.5" customHeight="1" thickBot="1" x14ac:dyDescent="0.3">
      <c r="A20" s="96"/>
      <c r="B20" s="97"/>
      <c r="C20" s="157"/>
      <c r="D20" s="158"/>
      <c r="E20" s="158"/>
      <c r="F20" s="159"/>
      <c r="G20" s="160"/>
      <c r="H20" s="104"/>
      <c r="I20" s="105"/>
      <c r="J20" s="105"/>
      <c r="K20" s="121"/>
      <c r="L20" s="431"/>
      <c r="M20" s="104"/>
      <c r="N20" s="105"/>
      <c r="O20" s="105"/>
      <c r="P20" s="121"/>
      <c r="Q20" s="431"/>
      <c r="T20" s="400" t="s">
        <v>365</v>
      </c>
    </row>
    <row r="21" spans="1:24" ht="13.8" x14ac:dyDescent="0.25">
      <c r="A21" s="827" t="s">
        <v>4708</v>
      </c>
      <c r="B21" s="836" t="s">
        <v>3188</v>
      </c>
      <c r="C21" s="162">
        <f>Plans_action!B193</f>
        <v>0</v>
      </c>
      <c r="D21" s="108">
        <f>Plans_action!C193</f>
        <v>3</v>
      </c>
      <c r="E21" s="117">
        <f>Plans_action!D193</f>
        <v>0</v>
      </c>
      <c r="F21" s="122">
        <f>Plans_action!E193</f>
        <v>0</v>
      </c>
      <c r="G21" s="839" t="s">
        <v>494</v>
      </c>
      <c r="H21" s="112"/>
      <c r="I21" s="113"/>
      <c r="J21" s="113"/>
      <c r="K21" s="123"/>
      <c r="L21" s="435"/>
      <c r="M21" s="112"/>
      <c r="N21" s="113"/>
      <c r="O21" s="113"/>
      <c r="P21" s="123"/>
      <c r="Q21" s="435"/>
      <c r="T21" s="8">
        <v>4</v>
      </c>
      <c r="U21" s="402">
        <f>COUNTIF(Scénarios!$AP$6:$AP$215,41)</f>
        <v>0</v>
      </c>
      <c r="V21" s="403">
        <f>COUNTIF(Scénarios!$AP$6:$AP$215,42)</f>
        <v>0</v>
      </c>
      <c r="W21" s="404">
        <f>COUNTIF(Scénarios!$AP$6:$AP$215,43)</f>
        <v>0</v>
      </c>
      <c r="X21" s="405">
        <f>COUNTIF(Scénarios!$AP$6:$AP$215,44)</f>
        <v>0</v>
      </c>
    </row>
    <row r="22" spans="1:24" ht="14.4" thickBot="1" x14ac:dyDescent="0.3">
      <c r="A22" s="827" t="s">
        <v>4709</v>
      </c>
      <c r="B22" s="837" t="s">
        <v>3189</v>
      </c>
      <c r="C22" s="162">
        <f>Plans_action!B198</f>
        <v>0</v>
      </c>
      <c r="D22" s="108">
        <f>Plans_action!C198</f>
        <v>0</v>
      </c>
      <c r="E22" s="117">
        <f>Plans_action!D198</f>
        <v>0</v>
      </c>
      <c r="F22" s="122">
        <f>Plans_action!E198</f>
        <v>0</v>
      </c>
      <c r="G22" s="438" t="s">
        <v>494</v>
      </c>
      <c r="H22" s="112"/>
      <c r="I22" s="113"/>
      <c r="J22" s="113"/>
      <c r="K22" s="123"/>
      <c r="L22" s="435"/>
      <c r="M22" s="112"/>
      <c r="N22" s="113"/>
      <c r="O22" s="113"/>
      <c r="P22" s="123"/>
      <c r="Q22" s="435"/>
      <c r="T22" s="8">
        <v>3</v>
      </c>
      <c r="U22" s="406">
        <f>COUNTIF(Scénarios!$AP$6:$AP$215,31)</f>
        <v>0</v>
      </c>
      <c r="V22" s="407">
        <f>COUNTIF(Scénarios!$AP$6:$AP$215,32)</f>
        <v>6</v>
      </c>
      <c r="W22" s="407">
        <f>COUNTIF(Scénarios!$AP$6:$AP$215,33)</f>
        <v>60</v>
      </c>
      <c r="X22" s="408">
        <f>COUNTIF(Scénarios!$AP$6:$AP$215,34)</f>
        <v>1</v>
      </c>
    </row>
    <row r="23" spans="1:24" ht="13.8" thickBot="1" x14ac:dyDescent="0.3">
      <c r="A23" s="13"/>
      <c r="B23" s="14"/>
      <c r="C23" s="154"/>
      <c r="D23" s="155"/>
      <c r="E23" s="155"/>
      <c r="F23" s="156"/>
      <c r="G23" s="437"/>
      <c r="H23" s="154"/>
      <c r="I23" s="155"/>
      <c r="J23" s="155"/>
      <c r="K23" s="156"/>
      <c r="L23" s="315"/>
      <c r="M23" s="154"/>
      <c r="N23" s="155"/>
      <c r="O23" s="155"/>
      <c r="P23" s="156"/>
      <c r="Q23" s="315"/>
      <c r="T23" s="8">
        <v>2</v>
      </c>
      <c r="U23" s="409">
        <f>COUNTIF(Scénarios!$AP$6:$AP$215,21)</f>
        <v>0</v>
      </c>
      <c r="V23" s="410">
        <f>COUNTIF(Scénarios!$AP$6:$AP$215,22)</f>
        <v>27</v>
      </c>
      <c r="W23" s="410">
        <f>COUNTIF(Scénarios!$AP$6:$AP$215,23)</f>
        <v>52</v>
      </c>
      <c r="X23" s="411">
        <f>COUNTIF(Scénarios!$AP$6:$AP$215,24)</f>
        <v>2</v>
      </c>
    </row>
    <row r="24" spans="1:24" ht="13.8" thickBot="1" x14ac:dyDescent="0.3">
      <c r="T24" s="8">
        <v>1</v>
      </c>
      <c r="U24" s="412">
        <f>COUNTIF(Scénarios!$AP$6:$AP$215,11)</f>
        <v>0</v>
      </c>
      <c r="V24" s="413">
        <f>COUNTIF(Scénarios!$AP$6:$AP$215,12)</f>
        <v>0</v>
      </c>
      <c r="W24" s="413">
        <f>COUNTIF(Scénarios!$AP$6:$AP$215,13)</f>
        <v>0</v>
      </c>
      <c r="X24" s="414">
        <f>COUNTIF(Scénarios!$AP$6:$AP$215,14)</f>
        <v>0</v>
      </c>
    </row>
    <row r="25" spans="1:24" x14ac:dyDescent="0.25">
      <c r="B25" s="460" t="s">
        <v>2221</v>
      </c>
      <c r="C25" s="511">
        <f>SUM(C5:C22)</f>
        <v>0</v>
      </c>
      <c r="D25" s="511">
        <f>SUM(D5:D22)</f>
        <v>48</v>
      </c>
      <c r="E25" s="512">
        <f>SUM(E5:E22)</f>
        <v>30</v>
      </c>
      <c r="F25" s="511">
        <f>SUM(F5:F22)</f>
        <v>0</v>
      </c>
      <c r="G25" s="397"/>
      <c r="H25" s="511">
        <f>SUM(H5:H22)</f>
        <v>0</v>
      </c>
      <c r="I25" s="511">
        <f>SUM(I5:I22)</f>
        <v>28</v>
      </c>
      <c r="J25" s="512">
        <f>SUM(J5:J22)</f>
        <v>13</v>
      </c>
      <c r="K25" s="511">
        <f>SUM(K5:K22)</f>
        <v>0</v>
      </c>
      <c r="L25" s="397"/>
      <c r="M25" s="511">
        <f>SUM(M5:M22)</f>
        <v>0</v>
      </c>
      <c r="N25" s="511">
        <f>SUM(N5:N22)</f>
        <v>3</v>
      </c>
      <c r="O25" s="512">
        <f>SUM(O5:O22)</f>
        <v>25</v>
      </c>
      <c r="P25" s="511">
        <f>SUM(P5:P22)</f>
        <v>1</v>
      </c>
      <c r="U25" s="397">
        <v>1</v>
      </c>
      <c r="V25" s="397">
        <v>2</v>
      </c>
      <c r="W25" s="397">
        <v>3</v>
      </c>
      <c r="X25" s="397">
        <v>4</v>
      </c>
    </row>
    <row r="26" spans="1:24" x14ac:dyDescent="0.25">
      <c r="B26" s="461" t="str">
        <f xml:space="preserve"> "Nombre total de scénarios, hors scénarios évités, transférés ou acceptés : " &amp; SUM(C5:P22)</f>
        <v>Nombre total de scénarios, hors scénarios évités, transférés ou acceptés : 148</v>
      </c>
      <c r="X26" s="401" t="s">
        <v>366</v>
      </c>
    </row>
    <row r="27" spans="1:24" x14ac:dyDescent="0.25">
      <c r="B27" s="461"/>
    </row>
    <row r="28" spans="1:24" x14ac:dyDescent="0.25">
      <c r="U28" s="8">
        <f>SUM(U21:X24)</f>
        <v>148</v>
      </c>
    </row>
  </sheetData>
  <sheetProtection sheet="1" objects="1" scenarios="1"/>
  <mergeCells count="18">
    <mergeCell ref="A2:B2"/>
    <mergeCell ref="C2:G2"/>
    <mergeCell ref="H2:L2"/>
    <mergeCell ref="S5:S6"/>
    <mergeCell ref="S8:S9"/>
    <mergeCell ref="S2:X3"/>
    <mergeCell ref="T4:X4"/>
    <mergeCell ref="T5:X6"/>
    <mergeCell ref="T7:X7"/>
    <mergeCell ref="T8:X9"/>
    <mergeCell ref="S18:X19"/>
    <mergeCell ref="M2:Q2"/>
    <mergeCell ref="C19:G19"/>
    <mergeCell ref="S11:S13"/>
    <mergeCell ref="T10:X10"/>
    <mergeCell ref="T11:X12"/>
    <mergeCell ref="T14:X15"/>
    <mergeCell ref="U16:V16"/>
  </mergeCells>
  <phoneticPr fontId="20" type="noConversion"/>
  <conditionalFormatting sqref="E4 E24 E12:E14 E18 E26:E65520 E20">
    <cfRule type="cellIs" dxfId="37" priority="67" stopIfTrue="1" operator="greaterThan">
      <formula>0</formula>
    </cfRule>
  </conditionalFormatting>
  <conditionalFormatting sqref="F5:F20 F22:F25">
    <cfRule type="cellIs" dxfId="36" priority="68" operator="greaterThan">
      <formula>0</formula>
    </cfRule>
  </conditionalFormatting>
  <conditionalFormatting sqref="O2 O24 E22 O12:O14 O4 E5 O26:O65520 O18:O20 N13">
    <cfRule type="cellIs" dxfId="35" priority="69" operator="greaterThan">
      <formula>0</formula>
    </cfRule>
  </conditionalFormatting>
  <conditionalFormatting sqref="O17">
    <cfRule type="cellIs" dxfId="34" priority="65" stopIfTrue="1" operator="greaterThan">
      <formula>0</formula>
    </cfRule>
  </conditionalFormatting>
  <conditionalFormatting sqref="K10:K11 K18">
    <cfRule type="cellIs" dxfId="33" priority="48" stopIfTrue="1" operator="greaterThan">
      <formula>0</formula>
    </cfRule>
  </conditionalFormatting>
  <conditionalFormatting sqref="E6:E11 J8 J10:J12">
    <cfRule type="cellIs" dxfId="32" priority="45" stopIfTrue="1" operator="greaterThan">
      <formula>0</formula>
    </cfRule>
  </conditionalFormatting>
  <conditionalFormatting sqref="P5:P7">
    <cfRule type="cellIs" dxfId="31" priority="40" stopIfTrue="1" operator="greaterThan">
      <formula>0</formula>
    </cfRule>
  </conditionalFormatting>
  <conditionalFormatting sqref="K5:K8">
    <cfRule type="cellIs" dxfId="30" priority="39" stopIfTrue="1" operator="greaterThan">
      <formula>0</formula>
    </cfRule>
  </conditionalFormatting>
  <conditionalFormatting sqref="K25">
    <cfRule type="cellIs" dxfId="29" priority="37" stopIfTrue="1" operator="greaterThan">
      <formula>0</formula>
    </cfRule>
  </conditionalFormatting>
  <conditionalFormatting sqref="P25">
    <cfRule type="cellIs" dxfId="28" priority="36" stopIfTrue="1" operator="greaterThan">
      <formula>0</formula>
    </cfRule>
  </conditionalFormatting>
  <conditionalFormatting sqref="E15:E17">
    <cfRule type="cellIs" dxfId="27" priority="32" stopIfTrue="1" operator="greaterThan">
      <formula>0</formula>
    </cfRule>
  </conditionalFormatting>
  <conditionalFormatting sqref="E25">
    <cfRule type="cellIs" dxfId="26" priority="31" stopIfTrue="1" operator="greaterThan">
      <formula>0</formula>
    </cfRule>
  </conditionalFormatting>
  <conditionalFormatting sqref="J5:J7">
    <cfRule type="cellIs" dxfId="25" priority="30" stopIfTrue="1" operator="greaterThan">
      <formula>0</formula>
    </cfRule>
  </conditionalFormatting>
  <conditionalFormatting sqref="O5:O7">
    <cfRule type="cellIs" dxfId="24" priority="28" stopIfTrue="1" operator="greaterThan">
      <formula>0</formula>
    </cfRule>
  </conditionalFormatting>
  <conditionalFormatting sqref="J25">
    <cfRule type="cellIs" dxfId="23" priority="26" stopIfTrue="1" operator="greaterThan">
      <formula>0</formula>
    </cfRule>
  </conditionalFormatting>
  <conditionalFormatting sqref="O25">
    <cfRule type="cellIs" dxfId="22" priority="25" stopIfTrue="1" operator="greaterThan">
      <formula>0</formula>
    </cfRule>
  </conditionalFormatting>
  <conditionalFormatting sqref="F21">
    <cfRule type="cellIs" dxfId="21" priority="19" operator="greaterThan">
      <formula>0</formula>
    </cfRule>
  </conditionalFormatting>
  <conditionalFormatting sqref="E21">
    <cfRule type="cellIs" dxfId="20" priority="20" operator="greaterThan">
      <formula>0</formula>
    </cfRule>
  </conditionalFormatting>
  <conditionalFormatting sqref="K15">
    <cfRule type="cellIs" dxfId="19" priority="16" stopIfTrue="1" operator="greaterThan">
      <formula>0</formula>
    </cfRule>
  </conditionalFormatting>
  <conditionalFormatting sqref="J15">
    <cfRule type="cellIs" dxfId="18" priority="15" stopIfTrue="1" operator="greaterThan">
      <formula>0</formula>
    </cfRule>
  </conditionalFormatting>
  <conditionalFormatting sqref="K16">
    <cfRule type="cellIs" dxfId="17" priority="14" stopIfTrue="1" operator="greaterThan">
      <formula>0</formula>
    </cfRule>
  </conditionalFormatting>
  <conditionalFormatting sqref="J16">
    <cfRule type="cellIs" dxfId="16" priority="13" stopIfTrue="1" operator="greaterThan">
      <formula>0</formula>
    </cfRule>
  </conditionalFormatting>
  <conditionalFormatting sqref="K17">
    <cfRule type="cellIs" dxfId="15" priority="12" stopIfTrue="1" operator="greaterThan">
      <formula>0</formula>
    </cfRule>
  </conditionalFormatting>
  <conditionalFormatting sqref="J17">
    <cfRule type="cellIs" dxfId="14" priority="11" stopIfTrue="1" operator="greaterThan">
      <formula>0</formula>
    </cfRule>
  </conditionalFormatting>
  <conditionalFormatting sqref="P15">
    <cfRule type="cellIs" dxfId="13" priority="10" stopIfTrue="1" operator="greaterThan">
      <formula>0</formula>
    </cfRule>
  </conditionalFormatting>
  <conditionalFormatting sqref="O15">
    <cfRule type="cellIs" dxfId="12" priority="9" stopIfTrue="1" operator="greaterThan">
      <formula>0</formula>
    </cfRule>
  </conditionalFormatting>
  <conditionalFormatting sqref="P8:P9">
    <cfRule type="cellIs" dxfId="11" priority="8" stopIfTrue="1" operator="greaterThan">
      <formula>0</formula>
    </cfRule>
  </conditionalFormatting>
  <conditionalFormatting sqref="O8:O9">
    <cfRule type="cellIs" dxfId="10" priority="7" stopIfTrue="1" operator="greaterThan">
      <formula>0</formula>
    </cfRule>
  </conditionalFormatting>
  <conditionalFormatting sqref="P11">
    <cfRule type="cellIs" dxfId="9" priority="6" stopIfTrue="1" operator="greaterThan">
      <formula>0</formula>
    </cfRule>
  </conditionalFormatting>
  <conditionalFormatting sqref="O11">
    <cfRule type="cellIs" dxfId="8" priority="5" stopIfTrue="1" operator="greaterThan">
      <formula>0</formula>
    </cfRule>
  </conditionalFormatting>
  <conditionalFormatting sqref="I5:I18">
    <cfRule type="cellIs" dxfId="7" priority="4" operator="greaterThan">
      <formula>0</formula>
    </cfRule>
  </conditionalFormatting>
  <conditionalFormatting sqref="D5:D18">
    <cfRule type="cellIs" dxfId="6" priority="3" operator="greaterThan">
      <formula>0</formula>
    </cfRule>
  </conditionalFormatting>
  <conditionalFormatting sqref="D21:D22">
    <cfRule type="cellIs" dxfId="5" priority="2" operator="greaterThan">
      <formula>0</formula>
    </cfRule>
  </conditionalFormatting>
  <conditionalFormatting sqref="N5:N9 N14:N15 N11:N12 N17:N18">
    <cfRule type="cellIs" dxfId="4" priority="1" operator="greaterThan">
      <formula>0</formula>
    </cfRule>
  </conditionalFormatting>
  <hyperlinks>
    <hyperlink ref="L5" location="'Plans_action'!A15" display="&gt;" xr:uid="{00000000-0004-0000-1200-000000000000}"/>
    <hyperlink ref="Q5" location="'Plans_action'!A27" display="&gt;" xr:uid="{00000000-0004-0000-1200-000001000000}"/>
    <hyperlink ref="G6" location="'Plans_action'!A37" display="&gt;" xr:uid="{00000000-0004-0000-1200-000002000000}"/>
    <hyperlink ref="L6" location="'Plans_action'!A48" display="&gt;" xr:uid="{00000000-0004-0000-1200-000003000000}"/>
    <hyperlink ref="Q6" location="'Plans_action'!A58" display="&gt;" xr:uid="{00000000-0004-0000-1200-000004000000}"/>
    <hyperlink ref="G7" location="'Plans_action'!A70" display="&gt;" xr:uid="{00000000-0004-0000-1200-000005000000}"/>
    <hyperlink ref="L7" location="'Plans_action'!A75" display="&gt;" xr:uid="{00000000-0004-0000-1200-000006000000}"/>
    <hyperlink ref="Q7" location="'Plans_action'!A80" display="&gt;" xr:uid="{00000000-0004-0000-1200-000007000000}"/>
    <hyperlink ref="G8" location="'Plans_action'!A85" display="&gt;" xr:uid="{00000000-0004-0000-1200-000008000000}"/>
    <hyperlink ref="L8" location="'Plans_action'!A90" display="&gt;" xr:uid="{00000000-0004-0000-1200-000009000000}"/>
    <hyperlink ref="G15" location="'Plans_action'!A135" display="&gt;" xr:uid="{00000000-0004-0000-1200-00000A000000}"/>
    <hyperlink ref="G16" location="'Plans_action'!A171" display="&gt;" xr:uid="{00000000-0004-0000-1200-00000B000000}"/>
    <hyperlink ref="G17" location="'Plans_action'!A181" display="&gt;" xr:uid="{00000000-0004-0000-1200-00000C000000}"/>
    <hyperlink ref="G5" location="'Plans_action'!A4" display="&gt;" xr:uid="{00000000-0004-0000-1200-000013000000}"/>
    <hyperlink ref="Q8" location="'Plans_action'!A95" display="&gt;" xr:uid="{C8C61C42-8F6D-4B7C-A408-8A92159E7366}"/>
    <hyperlink ref="G9" location="'Plans_action'!A100" display="&gt;" xr:uid="{E0237A14-81E3-4F14-95A5-4CB61EFBA69E}"/>
    <hyperlink ref="Q9" location="'Plans_action'!A105" display="&gt;" xr:uid="{7BEE1262-0A98-4E84-B6C3-6D5B95D5CB14}"/>
    <hyperlink ref="G10" location="'Plans_action'!A110" display="&gt;" xr:uid="{2DC6B041-44EA-4167-9D44-9114AB75545A}"/>
    <hyperlink ref="L10" location="'Plans_action'!A115" display="&gt;" xr:uid="{218CBE1D-44A3-4430-80C1-A247731EF457}"/>
    <hyperlink ref="G11" location="'Plans_action'!A120" display="&gt;" xr:uid="{588E3021-17F7-4868-8811-46CB97F9EF25}"/>
    <hyperlink ref="L11" location="'Plans_action'!A125" display="&gt;" xr:uid="{F2772DA6-B96D-4DC4-AF6A-C9F9B1BF21E1}"/>
    <hyperlink ref="Q11" location="'Plans_action'!A130" display="&gt;" xr:uid="{C2AE64C6-E25E-4B3D-8AE6-1FD92F51CCFC}"/>
    <hyperlink ref="L15" location="'Plans_action'!A153" display="&gt;" xr:uid="{8454D9C7-1B54-4839-927B-6D9DF696B6A5}"/>
    <hyperlink ref="Q15" location="'Plans_action'!A164" display="&gt;" xr:uid="{C224D996-5A9F-402D-8D83-170A90362E87}"/>
    <hyperlink ref="L16" location="'Plans_action'!A177" display="&gt;" xr:uid="{745C5EF7-DDD8-49F5-A8DA-8229A5BB086E}"/>
    <hyperlink ref="L17" location="'Plans_action'!A187" display="&gt;" xr:uid="{6A0351A4-17FD-48D5-9D5F-40AF9C796526}"/>
    <hyperlink ref="G21" location="'Plans_action'!A192" display="&gt;" xr:uid="{2C6CC973-C8E0-422A-9D4F-AD0689CC5DD0}"/>
    <hyperlink ref="G22" location="'Plans_action'!A197" display="&gt;" xr:uid="{AA401AB7-F8FC-4B5B-9882-C99ED9203E17}"/>
  </hyperlinks>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885" r:id="rId4" name="Option Button 13">
              <controlPr defaultSize="0" autoFill="0" autoLine="0" autoPict="0">
                <anchor moveWithCells="1">
                  <from>
                    <xdr:col>18</xdr:col>
                    <xdr:colOff>22860</xdr:colOff>
                    <xdr:row>4</xdr:row>
                    <xdr:rowOff>68580</xdr:rowOff>
                  </from>
                  <to>
                    <xdr:col>19</xdr:col>
                    <xdr:colOff>76200</xdr:colOff>
                    <xdr:row>5</xdr:row>
                    <xdr:rowOff>106680</xdr:rowOff>
                  </to>
                </anchor>
              </controlPr>
            </control>
          </mc:Choice>
        </mc:AlternateContent>
        <mc:AlternateContent xmlns:mc="http://schemas.openxmlformats.org/markup-compatibility/2006">
          <mc:Choice Requires="x14">
            <control shapeId="207886" r:id="rId5" name="Option Button 14">
              <controlPr defaultSize="0" autoFill="0" autoLine="0" autoPict="0">
                <anchor moveWithCells="1">
                  <from>
                    <xdr:col>18</xdr:col>
                    <xdr:colOff>7620</xdr:colOff>
                    <xdr:row>7</xdr:row>
                    <xdr:rowOff>60960</xdr:rowOff>
                  </from>
                  <to>
                    <xdr:col>19</xdr:col>
                    <xdr:colOff>68580</xdr:colOff>
                    <xdr:row>8</xdr:row>
                    <xdr:rowOff>99060</xdr:rowOff>
                  </to>
                </anchor>
              </controlPr>
            </control>
          </mc:Choice>
        </mc:AlternateContent>
        <mc:AlternateContent xmlns:mc="http://schemas.openxmlformats.org/markup-compatibility/2006">
          <mc:Choice Requires="x14">
            <control shapeId="207887" r:id="rId6" name="Option Button 15">
              <controlPr defaultSize="0" autoFill="0" autoLine="0" autoPict="0">
                <anchor moveWithCells="1">
                  <from>
                    <xdr:col>18</xdr:col>
                    <xdr:colOff>7620</xdr:colOff>
                    <xdr:row>10</xdr:row>
                    <xdr:rowOff>60960</xdr:rowOff>
                  </from>
                  <to>
                    <xdr:col>19</xdr:col>
                    <xdr:colOff>68580</xdr:colOff>
                    <xdr:row>11</xdr:row>
                    <xdr:rowOff>114300</xdr:rowOff>
                  </to>
                </anchor>
              </controlPr>
            </control>
          </mc:Choice>
        </mc:AlternateContent>
        <mc:AlternateContent xmlns:mc="http://schemas.openxmlformats.org/markup-compatibility/2006">
          <mc:Choice Requires="x14">
            <control shapeId="207889" r:id="rId7" name="Option Button 17">
              <controlPr defaultSize="0" autoFill="0" autoLine="0" autoPict="0">
                <anchor moveWithCells="1">
                  <from>
                    <xdr:col>18</xdr:col>
                    <xdr:colOff>7620</xdr:colOff>
                    <xdr:row>13</xdr:row>
                    <xdr:rowOff>83820</xdr:rowOff>
                  </from>
                  <to>
                    <xdr:col>19</xdr:col>
                    <xdr:colOff>68580</xdr:colOff>
                    <xdr:row>14</xdr:row>
                    <xdr:rowOff>121920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1">
    <tabColor indexed="42"/>
  </sheetPr>
  <dimension ref="A1:K38"/>
  <sheetViews>
    <sheetView workbookViewId="0">
      <selection activeCell="E12" sqref="E12"/>
    </sheetView>
  </sheetViews>
  <sheetFormatPr baseColWidth="10" defaultRowHeight="15.75" customHeight="1" x14ac:dyDescent="0.25"/>
  <cols>
    <col min="1" max="1" width="28.5546875" style="1" customWidth="1"/>
    <col min="2" max="2" width="6.44140625" style="1" customWidth="1"/>
    <col min="3" max="3" width="58.88671875" style="1" customWidth="1"/>
    <col min="4" max="4" width="9.44140625" style="1" customWidth="1"/>
    <col min="5" max="8" width="7.33203125" customWidth="1"/>
  </cols>
  <sheetData>
    <row r="1" spans="1:11" ht="34.5" customHeight="1" x14ac:dyDescent="0.25">
      <c r="A1" s="1394" t="s">
        <v>314</v>
      </c>
      <c r="B1" s="1395"/>
      <c r="C1" s="1395"/>
      <c r="D1" s="189"/>
      <c r="E1" s="1396" t="s">
        <v>143</v>
      </c>
      <c r="F1" s="1396"/>
      <c r="G1" s="1396"/>
      <c r="H1" s="1397"/>
      <c r="J1" s="1393"/>
      <c r="K1" s="1393"/>
    </row>
    <row r="2" spans="1:11" ht="25.5" customHeight="1" x14ac:dyDescent="0.25">
      <c r="A2" s="178" t="s">
        <v>533</v>
      </c>
      <c r="B2" s="27" t="s">
        <v>133</v>
      </c>
      <c r="C2" s="15" t="s">
        <v>527</v>
      </c>
      <c r="D2" s="15" t="s">
        <v>537</v>
      </c>
      <c r="E2" s="205" t="s">
        <v>197</v>
      </c>
      <c r="F2" s="205" t="s">
        <v>198</v>
      </c>
      <c r="G2" s="205" t="s">
        <v>277</v>
      </c>
      <c r="H2" s="206" t="s">
        <v>278</v>
      </c>
    </row>
    <row r="3" spans="1:11" ht="15.75" customHeight="1" x14ac:dyDescent="0.25">
      <c r="A3" s="375" t="s">
        <v>530</v>
      </c>
      <c r="B3" s="2" t="s">
        <v>584</v>
      </c>
      <c r="C3" s="375" t="s">
        <v>530</v>
      </c>
      <c r="D3" s="2" t="s">
        <v>585</v>
      </c>
      <c r="E3" s="17">
        <f>COUNTIF(Scénarios!AG$6:AG$214,$D3&amp;"1")</f>
        <v>0</v>
      </c>
      <c r="F3" s="17">
        <f>COUNTIF(Scénarios!AH$6:AH$214,$D3&amp;"2")</f>
        <v>2</v>
      </c>
      <c r="G3" s="17">
        <f>COUNTIF(Scénarios!AI$6:AI$214,$D3&amp;"3")</f>
        <v>0</v>
      </c>
      <c r="H3" s="173">
        <f>COUNTIF(Scénarios!AJ$6:AJ$214,$D3&amp;"4")</f>
        <v>0</v>
      </c>
    </row>
    <row r="4" spans="1:11" ht="14.25" customHeight="1" x14ac:dyDescent="0.25">
      <c r="A4" s="1387" t="s">
        <v>531</v>
      </c>
      <c r="B4" s="1389" t="s">
        <v>426</v>
      </c>
      <c r="C4" s="2" t="s">
        <v>319</v>
      </c>
      <c r="D4" s="2" t="s">
        <v>586</v>
      </c>
      <c r="E4" s="17">
        <f>COUNTIF(Scénarios!AG$6:AG$214,$D4&amp;"1")</f>
        <v>0</v>
      </c>
      <c r="F4" s="17">
        <f>COUNTIF(Scénarios!AH$6:AH$214,$D4&amp;"2")</f>
        <v>0</v>
      </c>
      <c r="G4" s="17">
        <f>COUNTIF(Scénarios!AI$6:AI$214,$D4&amp;"3")</f>
        <v>0</v>
      </c>
      <c r="H4" s="173">
        <f>COUNTIF(Scénarios!AJ$6:AJ$214,$D4&amp;"4")</f>
        <v>0</v>
      </c>
    </row>
    <row r="5" spans="1:11" ht="15.75" customHeight="1" x14ac:dyDescent="0.25">
      <c r="A5" s="1391"/>
      <c r="B5" s="1392"/>
      <c r="C5" s="2" t="s">
        <v>320</v>
      </c>
      <c r="D5" s="2" t="s">
        <v>587</v>
      </c>
      <c r="E5" s="17">
        <f>COUNTIF(Scénarios!AG$6:AG$214,$D5&amp;"1")</f>
        <v>0</v>
      </c>
      <c r="F5" s="17">
        <f>COUNTIF(Scénarios!AH$6:AH$214,$D5&amp;"2")</f>
        <v>1</v>
      </c>
      <c r="G5" s="17">
        <f>COUNTIF(Scénarios!AI$6:AI$214,$D5&amp;"3")</f>
        <v>0</v>
      </c>
      <c r="H5" s="173">
        <f>COUNTIF(Scénarios!AJ$6:AJ$214,$D5&amp;"4")</f>
        <v>0</v>
      </c>
    </row>
    <row r="6" spans="1:11" ht="15" customHeight="1" x14ac:dyDescent="0.25">
      <c r="A6" s="1391"/>
      <c r="B6" s="1392"/>
      <c r="C6" s="2" t="s">
        <v>2129</v>
      </c>
      <c r="D6" s="2" t="s">
        <v>1553</v>
      </c>
      <c r="E6" s="17">
        <f>COUNTIF(Scénarios!AG$6:AG$214,$D6&amp;"1")</f>
        <v>0</v>
      </c>
      <c r="F6" s="17">
        <f>COUNTIF(Scénarios!AH$6:AH$214,$D6&amp;"2")</f>
        <v>0</v>
      </c>
      <c r="G6" s="17">
        <f>COUNTIF(Scénarios!AI$6:AI$214,$D6&amp;"3")</f>
        <v>0</v>
      </c>
      <c r="H6" s="173">
        <f>COUNTIF(Scénarios!AJ$6:AJ$214,$D6&amp;"4")</f>
        <v>0</v>
      </c>
    </row>
    <row r="7" spans="1:11" ht="15" customHeight="1" x14ac:dyDescent="0.25">
      <c r="A7" s="1391"/>
      <c r="B7" s="1392"/>
      <c r="C7" s="2" t="s">
        <v>2128</v>
      </c>
      <c r="D7" s="2" t="s">
        <v>1950</v>
      </c>
      <c r="E7" s="17">
        <f>COUNTIF(Scénarios!AG$6:AG$214,$D7&amp;"1")</f>
        <v>0</v>
      </c>
      <c r="F7" s="17">
        <f>COUNTIF(Scénarios!AH$6:AH$214,$D7&amp;"2")</f>
        <v>0</v>
      </c>
      <c r="G7" s="17">
        <f>COUNTIF(Scénarios!AI$6:AI$214,$D7&amp;"3")</f>
        <v>0</v>
      </c>
      <c r="H7" s="173">
        <f>COUNTIF(Scénarios!AJ$6:AJ$214,$D7&amp;"4")</f>
        <v>0</v>
      </c>
    </row>
    <row r="8" spans="1:11" ht="15.75" customHeight="1" x14ac:dyDescent="0.25">
      <c r="A8" s="375" t="s">
        <v>180</v>
      </c>
      <c r="B8" s="2" t="s">
        <v>134</v>
      </c>
      <c r="C8" s="375" t="s">
        <v>180</v>
      </c>
      <c r="D8" s="2" t="s">
        <v>1542</v>
      </c>
      <c r="E8" s="17">
        <f>COUNTIF(Scénarios!AG$6:AG$214,$D8&amp;"1")</f>
        <v>0</v>
      </c>
      <c r="F8" s="17">
        <f>COUNTIF(Scénarios!AH$6:AH$214,$D8&amp;"2")</f>
        <v>0</v>
      </c>
      <c r="G8" s="17">
        <f>COUNTIF(Scénarios!AI$6:AI$214,$D8&amp;"3")</f>
        <v>0</v>
      </c>
      <c r="H8" s="173">
        <f>COUNTIF(Scénarios!AJ$6:AJ$214,$D8&amp;"4")</f>
        <v>0</v>
      </c>
    </row>
    <row r="9" spans="1:11" ht="15.75" customHeight="1" x14ac:dyDescent="0.25">
      <c r="A9" s="1387" t="s">
        <v>529</v>
      </c>
      <c r="B9" s="1389" t="s">
        <v>135</v>
      </c>
      <c r="C9" s="2" t="s">
        <v>317</v>
      </c>
      <c r="D9" s="2" t="s">
        <v>454</v>
      </c>
      <c r="E9" s="17">
        <f>COUNTIF(Scénarios!AG$6:AG$214,$D9&amp;"1")</f>
        <v>0</v>
      </c>
      <c r="F9" s="17">
        <f>COUNTIF(Scénarios!AH$6:AH$214,$D9&amp;"2")</f>
        <v>3</v>
      </c>
      <c r="G9" s="17">
        <f>COUNTIF(Scénarios!AI$6:AI$214,$D9&amp;"3")</f>
        <v>0</v>
      </c>
      <c r="H9" s="173">
        <f>COUNTIF(Scénarios!AJ$6:AJ$214,$D9&amp;"4")</f>
        <v>0</v>
      </c>
    </row>
    <row r="10" spans="1:11" ht="15.75" customHeight="1" x14ac:dyDescent="0.25">
      <c r="A10" s="1387"/>
      <c r="B10" s="1389"/>
      <c r="C10" s="2" t="s">
        <v>318</v>
      </c>
      <c r="D10" s="2" t="s">
        <v>312</v>
      </c>
      <c r="E10" s="17">
        <f>COUNTIF(Scénarios!AG$6:AG$214,$D10&amp;"1")</f>
        <v>0</v>
      </c>
      <c r="F10" s="17">
        <f>COUNTIF(Scénarios!AH$6:AH$214,$D10&amp;"2")</f>
        <v>0</v>
      </c>
      <c r="G10" s="17">
        <f>COUNTIF(Scénarios!AI$6:AI$214,$D10&amp;"3")</f>
        <v>0</v>
      </c>
      <c r="H10" s="173">
        <f>COUNTIF(Scénarios!AJ$6:AJ$214,$D10&amp;"4")</f>
        <v>0</v>
      </c>
    </row>
    <row r="11" spans="1:11" ht="15" customHeight="1" x14ac:dyDescent="0.25">
      <c r="A11" s="1387" t="s">
        <v>221</v>
      </c>
      <c r="B11" s="1389" t="s">
        <v>506</v>
      </c>
      <c r="C11" s="2" t="s">
        <v>477</v>
      </c>
      <c r="D11" s="2" t="s">
        <v>455</v>
      </c>
      <c r="E11" s="17">
        <f>COUNTIF(Scénarios!AG$6:AG$214,$D11&amp;"1")</f>
        <v>0</v>
      </c>
      <c r="F11" s="17">
        <f>COUNTIF(Scénarios!AH$6:AH$214,$D11&amp;"2")</f>
        <v>3</v>
      </c>
      <c r="G11" s="17">
        <f>COUNTIF(Scénarios!AI$6:AI$214,$D11&amp;"3")</f>
        <v>3</v>
      </c>
      <c r="H11" s="173">
        <f>COUNTIF(Scénarios!AJ$6:AJ$214,$D11&amp;"4")</f>
        <v>0</v>
      </c>
      <c r="J11" s="29"/>
    </row>
    <row r="12" spans="1:11" ht="15.75" customHeight="1" x14ac:dyDescent="0.25">
      <c r="A12" s="1391"/>
      <c r="B12" s="1392"/>
      <c r="C12" s="2" t="s">
        <v>532</v>
      </c>
      <c r="D12" s="2" t="s">
        <v>546</v>
      </c>
      <c r="E12" s="17">
        <f>COUNTIF(Scénarios!AG$6:AG$214,$D12&amp;"1")</f>
        <v>0</v>
      </c>
      <c r="F12" s="17">
        <f>COUNTIF(Scénarios!AH$6:AH$214,$D12&amp;"2")</f>
        <v>7</v>
      </c>
      <c r="G12" s="17">
        <f>COUNTIF(Scénarios!AI$6:AI$214,$D12&amp;"3")</f>
        <v>11</v>
      </c>
      <c r="H12" s="173">
        <f>COUNTIF(Scénarios!AJ$6:AJ$214,$D12&amp;"4")</f>
        <v>0</v>
      </c>
      <c r="J12" s="29"/>
    </row>
    <row r="13" spans="1:11" ht="12.75" customHeight="1" x14ac:dyDescent="0.25">
      <c r="A13" s="1391"/>
      <c r="B13" s="1392"/>
      <c r="C13" s="2" t="s">
        <v>406</v>
      </c>
      <c r="D13" s="2" t="s">
        <v>456</v>
      </c>
      <c r="E13" s="17">
        <f>COUNTIF(Scénarios!AG$6:AG$214,$D13&amp;"1")</f>
        <v>0</v>
      </c>
      <c r="F13" s="17">
        <f>COUNTIF(Scénarios!AH$6:AH$214,$D13&amp;"2")</f>
        <v>0</v>
      </c>
      <c r="G13" s="17">
        <f>COUNTIF(Scénarios!AI$6:AI$214,$D13&amp;"3")</f>
        <v>1</v>
      </c>
      <c r="H13" s="173">
        <f>COUNTIF(Scénarios!AJ$6:AJ$214,$D13&amp;"4")</f>
        <v>0</v>
      </c>
      <c r="J13" s="29"/>
    </row>
    <row r="14" spans="1:11" ht="17.25" customHeight="1" x14ac:dyDescent="0.25">
      <c r="A14" s="1387" t="s">
        <v>471</v>
      </c>
      <c r="B14" s="1389" t="s">
        <v>472</v>
      </c>
      <c r="C14" s="2" t="s">
        <v>2218</v>
      </c>
      <c r="D14" s="2" t="s">
        <v>1544</v>
      </c>
      <c r="E14" s="17">
        <f>COUNTIF(Scénarios!AG$6:AG$214,$D14&amp;"1")</f>
        <v>0</v>
      </c>
      <c r="F14" s="17">
        <f>COUNTIF(Scénarios!AH$6:AH$214,$D14&amp;"2")</f>
        <v>0</v>
      </c>
      <c r="G14" s="17">
        <f>COUNTIF(Scénarios!AI$6:AI$214,$D14&amp;"3")</f>
        <v>0</v>
      </c>
      <c r="H14" s="173">
        <f>COUNTIF(Scénarios!AJ$6:AJ$214,$D14&amp;"4")</f>
        <v>0</v>
      </c>
    </row>
    <row r="15" spans="1:11" ht="14.25" customHeight="1" x14ac:dyDescent="0.25">
      <c r="A15" s="1391"/>
      <c r="B15" s="1392"/>
      <c r="C15" s="2" t="s">
        <v>2219</v>
      </c>
      <c r="D15" s="2" t="s">
        <v>1951</v>
      </c>
      <c r="E15" s="17">
        <f>COUNTIF(Scénarios!AG$6:AG$214,$D15&amp;"1")</f>
        <v>0</v>
      </c>
      <c r="F15" s="17">
        <f>COUNTIF(Scénarios!AH$6:AH$214,$D15&amp;"2")</f>
        <v>0</v>
      </c>
      <c r="G15" s="17">
        <f>COUNTIF(Scénarios!AI$6:AI$214,$D15&amp;"3")</f>
        <v>0</v>
      </c>
      <c r="H15" s="173">
        <f>COUNTIF(Scénarios!AJ$6:AJ$214,$D15&amp;"4")</f>
        <v>0</v>
      </c>
    </row>
    <row r="16" spans="1:11" ht="15.75" customHeight="1" x14ac:dyDescent="0.25">
      <c r="A16" s="1387" t="s">
        <v>528</v>
      </c>
      <c r="B16" s="1389" t="s">
        <v>422</v>
      </c>
      <c r="C16" s="2" t="s">
        <v>315</v>
      </c>
      <c r="D16" s="2" t="s">
        <v>423</v>
      </c>
      <c r="E16" s="17">
        <f>COUNTIF(Scénarios!AG$6:AG$214,$D16&amp;"1")</f>
        <v>0</v>
      </c>
      <c r="F16" s="17">
        <f>COUNTIF(Scénarios!AH$6:AH$214,$D16&amp;"2")</f>
        <v>0</v>
      </c>
      <c r="G16" s="17">
        <f>COUNTIF(Scénarios!AI$6:AI$214,$D16&amp;"3")</f>
        <v>0</v>
      </c>
      <c r="H16" s="173">
        <f>COUNTIF(Scénarios!AJ$6:AJ$214,$D16&amp;"4")</f>
        <v>0</v>
      </c>
    </row>
    <row r="17" spans="1:8" ht="15.75" customHeight="1" x14ac:dyDescent="0.25">
      <c r="A17" s="1387"/>
      <c r="B17" s="1389"/>
      <c r="C17" s="2" t="s">
        <v>476</v>
      </c>
      <c r="D17" s="2" t="s">
        <v>203</v>
      </c>
      <c r="E17" s="17">
        <f>COUNTIF(Scénarios!AG$6:AG$214,$D17&amp;"1")</f>
        <v>0</v>
      </c>
      <c r="F17" s="17">
        <f>COUNTIF(Scénarios!AH$6:AH$214,$D17&amp;"2")</f>
        <v>1</v>
      </c>
      <c r="G17" s="17">
        <f>COUNTIF(Scénarios!AI$6:AI$214,$D17&amp;"3")</f>
        <v>0</v>
      </c>
      <c r="H17" s="173">
        <f>COUNTIF(Scénarios!AJ$6:AJ$214,$D17&amp;"4")</f>
        <v>0</v>
      </c>
    </row>
    <row r="18" spans="1:8" ht="15.75" customHeight="1" x14ac:dyDescent="0.25">
      <c r="A18" s="1387"/>
      <c r="B18" s="1389"/>
      <c r="C18" s="2" t="s">
        <v>316</v>
      </c>
      <c r="D18" s="2" t="s">
        <v>424</v>
      </c>
      <c r="E18" s="17">
        <f>COUNTIF(Scénarios!AG$6:AG$214,$D18&amp;"1")</f>
        <v>0</v>
      </c>
      <c r="F18" s="17">
        <f>COUNTIF(Scénarios!AH$6:AH$214,$D18&amp;"2")</f>
        <v>0</v>
      </c>
      <c r="G18" s="17">
        <f>COUNTIF(Scénarios!AI$6:AI$214,$D18&amp;"3")</f>
        <v>2</v>
      </c>
      <c r="H18" s="173">
        <f>COUNTIF(Scénarios!AJ$6:AJ$214,$D18&amp;"4")</f>
        <v>1</v>
      </c>
    </row>
    <row r="19" spans="1:8" ht="15.75" customHeight="1" x14ac:dyDescent="0.25">
      <c r="A19" s="1387" t="s">
        <v>222</v>
      </c>
      <c r="B19" s="1389" t="s">
        <v>507</v>
      </c>
      <c r="C19" s="2" t="s">
        <v>56</v>
      </c>
      <c r="D19" s="2" t="s">
        <v>485</v>
      </c>
      <c r="E19" s="17">
        <f>COUNTIF(Scénarios!AG$6:AG$214,$D19&amp;"1")</f>
        <v>0</v>
      </c>
      <c r="F19" s="17">
        <f>COUNTIF(Scénarios!AH$6:AH$214,$D19&amp;"2")</f>
        <v>0</v>
      </c>
      <c r="G19" s="17">
        <f>COUNTIF(Scénarios!AI$6:AI$214,$D19&amp;"3")</f>
        <v>0</v>
      </c>
      <c r="H19" s="173">
        <f>COUNTIF(Scénarios!AJ$6:AJ$214,$D19&amp;"4")</f>
        <v>0</v>
      </c>
    </row>
    <row r="20" spans="1:8" ht="15.75" customHeight="1" x14ac:dyDescent="0.25">
      <c r="A20" s="1387"/>
      <c r="B20" s="1389"/>
      <c r="C20" s="2" t="s">
        <v>513</v>
      </c>
      <c r="D20" s="2" t="s">
        <v>512</v>
      </c>
      <c r="E20" s="17">
        <f>COUNTIF(Scénarios!AG$6:AG$214,$D20&amp;"1")</f>
        <v>0</v>
      </c>
      <c r="F20" s="17">
        <f>COUNTIF(Scénarios!AH$6:AH$214,$D20&amp;"2")</f>
        <v>0</v>
      </c>
      <c r="G20" s="17">
        <f>COUNTIF(Scénarios!AI$6:AI$214,$D20&amp;"3")</f>
        <v>0</v>
      </c>
      <c r="H20" s="173">
        <f>COUNTIF(Scénarios!AJ$6:AJ$214,$D20&amp;"4")</f>
        <v>0</v>
      </c>
    </row>
    <row r="21" spans="1:8" ht="15.75" customHeight="1" x14ac:dyDescent="0.25">
      <c r="A21" s="1387"/>
      <c r="B21" s="1389"/>
      <c r="C21" s="2" t="s">
        <v>407</v>
      </c>
      <c r="D21" s="2" t="s">
        <v>580</v>
      </c>
      <c r="E21" s="17">
        <f>COUNTIF(Scénarios!AG$6:AG$214,$D21&amp;"1")</f>
        <v>0</v>
      </c>
      <c r="F21" s="17">
        <f>COUNTIF(Scénarios!AH$6:AH$214,$D21&amp;"2")</f>
        <v>0</v>
      </c>
      <c r="G21" s="17">
        <f>COUNTIF(Scénarios!AI$6:AI$214,$D21&amp;"3")</f>
        <v>0</v>
      </c>
      <c r="H21" s="173">
        <f>COUNTIF(Scénarios!AJ$6:AJ$214,$D21&amp;"4")</f>
        <v>0</v>
      </c>
    </row>
    <row r="22" spans="1:8" ht="15.75" customHeight="1" x14ac:dyDescent="0.25">
      <c r="A22" s="1391"/>
      <c r="B22" s="1392"/>
      <c r="C22" s="2" t="s">
        <v>408</v>
      </c>
      <c r="D22" s="2" t="s">
        <v>521</v>
      </c>
      <c r="E22" s="17">
        <f>COUNTIF(Scénarios!AG$6:AG$214,$D22&amp;"1")</f>
        <v>0</v>
      </c>
      <c r="F22" s="17">
        <f>COUNTIF(Scénarios!AH$6:AH$214,$D22&amp;"2")</f>
        <v>0</v>
      </c>
      <c r="G22" s="17">
        <f>COUNTIF(Scénarios!AI$6:AI$214,$D22&amp;"3")</f>
        <v>0</v>
      </c>
      <c r="H22" s="173">
        <f>COUNTIF(Scénarios!AJ$6:AJ$214,$D22&amp;"4")</f>
        <v>0</v>
      </c>
    </row>
    <row r="23" spans="1:8" ht="15.75" customHeight="1" x14ac:dyDescent="0.25">
      <c r="A23" s="1391"/>
      <c r="B23" s="1392"/>
      <c r="C23" s="2" t="s">
        <v>174</v>
      </c>
      <c r="D23" s="2" t="s">
        <v>175</v>
      </c>
      <c r="E23" s="17">
        <f>COUNTIF(Scénarios!AG$6:AG$214,$D23&amp;"1")</f>
        <v>0</v>
      </c>
      <c r="F23" s="17">
        <f>COUNTIF(Scénarios!AH$6:AH$214,$D23&amp;"2")</f>
        <v>0</v>
      </c>
      <c r="G23" s="17">
        <f>COUNTIF(Scénarios!AI$6:AI$214,$D23&amp;"3")</f>
        <v>0</v>
      </c>
      <c r="H23" s="173">
        <f>COUNTIF(Scénarios!AJ$6:AJ$214,$D23&amp;"4")</f>
        <v>0</v>
      </c>
    </row>
    <row r="24" spans="1:8" ht="15.75" customHeight="1" x14ac:dyDescent="0.25">
      <c r="A24" s="1391"/>
      <c r="B24" s="1392"/>
      <c r="C24" s="2" t="s">
        <v>589</v>
      </c>
      <c r="D24" s="2" t="s">
        <v>588</v>
      </c>
      <c r="E24" s="17">
        <f>COUNTIF(Scénarios!AG$6:AG$214,$D24&amp;"1")</f>
        <v>0</v>
      </c>
      <c r="F24" s="17">
        <f>COUNTIF(Scénarios!AH$6:AH$214,$D24&amp;"2")</f>
        <v>0</v>
      </c>
      <c r="G24" s="17">
        <f>COUNTIF(Scénarios!AI$6:AI$214,$D24&amp;"3")</f>
        <v>0</v>
      </c>
      <c r="H24" s="173">
        <f>COUNTIF(Scénarios!AJ$6:AJ$214,$D24&amp;"4")</f>
        <v>0</v>
      </c>
    </row>
    <row r="25" spans="1:8" ht="15.75" customHeight="1" x14ac:dyDescent="0.25">
      <c r="A25" s="1391"/>
      <c r="B25" s="1392"/>
      <c r="C25" s="2" t="s">
        <v>204</v>
      </c>
      <c r="D25" s="2" t="s">
        <v>205</v>
      </c>
      <c r="E25" s="17">
        <f>COUNTIF(Scénarios!AG$6:AG$214,$D25&amp;"1")</f>
        <v>0</v>
      </c>
      <c r="F25" s="17">
        <f>COUNTIF(Scénarios!AH$6:AH$214,$D25&amp;"2")</f>
        <v>0</v>
      </c>
      <c r="G25" s="17">
        <f>COUNTIF(Scénarios!AI$6:AI$214,$D25&amp;"3")</f>
        <v>0</v>
      </c>
      <c r="H25" s="173">
        <f>COUNTIF(Scénarios!AJ$6:AJ$214,$D25&amp;"4")</f>
        <v>0</v>
      </c>
    </row>
    <row r="26" spans="1:8" ht="15.75" customHeight="1" x14ac:dyDescent="0.25">
      <c r="A26" s="1391"/>
      <c r="B26" s="1392"/>
      <c r="C26" s="2" t="s">
        <v>590</v>
      </c>
      <c r="D26" s="2" t="s">
        <v>581</v>
      </c>
      <c r="E26" s="17">
        <f>COUNTIF(Scénarios!AG$6:AG$214,$D26&amp;"1")</f>
        <v>0</v>
      </c>
      <c r="F26" s="17">
        <f>COUNTIF(Scénarios!AH$6:AH$214,$D26&amp;"2")</f>
        <v>0</v>
      </c>
      <c r="G26" s="17">
        <f>COUNTIF(Scénarios!AI$6:AI$214,$D26&amp;"3")</f>
        <v>0</v>
      </c>
      <c r="H26" s="173">
        <f>COUNTIF(Scénarios!AJ$6:AJ$214,$D26&amp;"4")</f>
        <v>0</v>
      </c>
    </row>
    <row r="27" spans="1:8" ht="15.75" customHeight="1" x14ac:dyDescent="0.25">
      <c r="A27" s="1391"/>
      <c r="B27" s="1392"/>
      <c r="C27" s="2" t="s">
        <v>464</v>
      </c>
      <c r="D27" s="2" t="s">
        <v>310</v>
      </c>
      <c r="E27" s="17">
        <f>COUNTIF(Scénarios!AG$6:AG$214,$D27&amp;"1")</f>
        <v>0</v>
      </c>
      <c r="F27" s="17">
        <f>COUNTIF(Scénarios!AH$6:AH$214,$D27&amp;"2")</f>
        <v>0</v>
      </c>
      <c r="G27" s="17">
        <f>COUNTIF(Scénarios!AI$6:AI$214,$D27&amp;"3")</f>
        <v>0</v>
      </c>
      <c r="H27" s="173">
        <f>COUNTIF(Scénarios!AJ$6:AJ$214,$D27&amp;"4")</f>
        <v>0</v>
      </c>
    </row>
    <row r="28" spans="1:8" ht="15.75" customHeight="1" x14ac:dyDescent="0.25">
      <c r="A28" s="1387" t="s">
        <v>223</v>
      </c>
      <c r="B28" s="1389" t="s">
        <v>508</v>
      </c>
      <c r="C28" s="2" t="s">
        <v>465</v>
      </c>
      <c r="D28" s="2" t="s">
        <v>442</v>
      </c>
      <c r="E28" s="17">
        <f>COUNTIF(Scénarios!AG$6:AG$214,$D28&amp;"1")</f>
        <v>0</v>
      </c>
      <c r="F28" s="17">
        <f>COUNTIF(Scénarios!AH$6:AH$214,$D28&amp;"2")</f>
        <v>0</v>
      </c>
      <c r="G28" s="17">
        <f>COUNTIF(Scénarios!AI$6:AI$214,$D28&amp;"3")</f>
        <v>0</v>
      </c>
      <c r="H28" s="173">
        <f>COUNTIF(Scénarios!AJ$6:AJ$214,$D28&amp;"4")</f>
        <v>0</v>
      </c>
    </row>
    <row r="29" spans="1:8" ht="15.75" customHeight="1" x14ac:dyDescent="0.25">
      <c r="A29" s="1387"/>
      <c r="B29" s="1389"/>
      <c r="C29" s="2" t="s">
        <v>466</v>
      </c>
      <c r="D29" s="2" t="s">
        <v>443</v>
      </c>
      <c r="E29" s="17">
        <f>COUNTIF(Scénarios!AG$6:AG$214,$D29&amp;"1")</f>
        <v>0</v>
      </c>
      <c r="F29" s="17">
        <f>COUNTIF(Scénarios!AH$6:AH$214,$D29&amp;"2")</f>
        <v>0</v>
      </c>
      <c r="G29" s="17">
        <f>COUNTIF(Scénarios!AI$6:AI$214,$D29&amp;"3")</f>
        <v>0</v>
      </c>
      <c r="H29" s="173">
        <f>COUNTIF(Scénarios!AJ$6:AJ$214,$D29&amp;"4")</f>
        <v>0</v>
      </c>
    </row>
    <row r="30" spans="1:8" ht="15.75" customHeight="1" x14ac:dyDescent="0.25">
      <c r="A30" s="1387"/>
      <c r="B30" s="1389"/>
      <c r="C30" s="2" t="s">
        <v>467</v>
      </c>
      <c r="D30" s="2" t="s">
        <v>444</v>
      </c>
      <c r="E30" s="17">
        <f>COUNTIF(Scénarios!AG$6:AG$214,$D30&amp;"1")</f>
        <v>0</v>
      </c>
      <c r="F30" s="17">
        <f>COUNTIF(Scénarios!AH$6:AH$214,$D30&amp;"2")</f>
        <v>0</v>
      </c>
      <c r="G30" s="17">
        <f>COUNTIF(Scénarios!AI$6:AI$214,$D30&amp;"3")</f>
        <v>0</v>
      </c>
      <c r="H30" s="173">
        <f>COUNTIF(Scénarios!AJ$6:AJ$214,$D30&amp;"4")</f>
        <v>0</v>
      </c>
    </row>
    <row r="31" spans="1:8" ht="15.75" customHeight="1" x14ac:dyDescent="0.25">
      <c r="A31" s="1387"/>
      <c r="B31" s="1389"/>
      <c r="C31" s="2" t="s">
        <v>182</v>
      </c>
      <c r="D31" s="2" t="s">
        <v>347</v>
      </c>
      <c r="E31" s="17">
        <f>COUNTIF(Scénarios!AG$6:AG$214,$D31&amp;"1")</f>
        <v>0</v>
      </c>
      <c r="F31" s="17">
        <f>COUNTIF(Scénarios!AH$6:AH$214,$D31&amp;"2")</f>
        <v>0</v>
      </c>
      <c r="G31" s="17">
        <f>COUNTIF(Scénarios!AI$6:AI$214,$D31&amp;"3")</f>
        <v>0</v>
      </c>
      <c r="H31" s="173">
        <f>COUNTIF(Scénarios!AJ$6:AJ$214,$D31&amp;"4")</f>
        <v>0</v>
      </c>
    </row>
    <row r="32" spans="1:8" ht="15.75" customHeight="1" x14ac:dyDescent="0.25">
      <c r="A32" s="1387" t="s">
        <v>415</v>
      </c>
      <c r="B32" s="1389" t="s">
        <v>416</v>
      </c>
      <c r="C32" s="2" t="s">
        <v>417</v>
      </c>
      <c r="D32" s="2" t="s">
        <v>132</v>
      </c>
      <c r="E32" s="17">
        <f>COUNTIF(Scénarios!AG$6:AG$214,$D32&amp;"1")</f>
        <v>0</v>
      </c>
      <c r="F32" s="17">
        <f>COUNTIF(Scénarios!AH$6:AH$214,$D32&amp;"2")</f>
        <v>0</v>
      </c>
      <c r="G32" s="17">
        <f>COUNTIF(Scénarios!AI$6:AI$214,$D32&amp;"3")</f>
        <v>0</v>
      </c>
      <c r="H32" s="173">
        <f>COUNTIF(Scénarios!AJ$6:AJ$214,$D32&amp;"4")</f>
        <v>0</v>
      </c>
    </row>
    <row r="33" spans="1:8" ht="15.75" customHeight="1" x14ac:dyDescent="0.25">
      <c r="A33" s="1387"/>
      <c r="B33" s="1389"/>
      <c r="C33" s="2" t="s">
        <v>418</v>
      </c>
      <c r="D33" s="2" t="s">
        <v>509</v>
      </c>
      <c r="E33" s="17">
        <f>COUNTIF(Scénarios!AG$6:AG$214,$D33&amp;"1")</f>
        <v>0</v>
      </c>
      <c r="F33" s="17">
        <f>COUNTIF(Scénarios!AH$6:AH$214,$D33&amp;"2")</f>
        <v>0</v>
      </c>
      <c r="G33" s="17">
        <f>COUNTIF(Scénarios!AI$6:AI$214,$D33&amp;"3")</f>
        <v>0</v>
      </c>
      <c r="H33" s="173">
        <f>COUNTIF(Scénarios!AJ$6:AJ$214,$D33&amp;"4")</f>
        <v>0</v>
      </c>
    </row>
    <row r="34" spans="1:8" ht="15.75" customHeight="1" x14ac:dyDescent="0.25">
      <c r="A34" s="1387"/>
      <c r="B34" s="1389"/>
      <c r="C34" s="2" t="s">
        <v>419</v>
      </c>
      <c r="D34" s="2" t="s">
        <v>510</v>
      </c>
      <c r="E34" s="17">
        <f>COUNTIF(Scénarios!AG$6:AG$214,$D34&amp;"1")</f>
        <v>0</v>
      </c>
      <c r="F34" s="17">
        <f>COUNTIF(Scénarios!AH$6:AH$214,$D34&amp;"2")</f>
        <v>0</v>
      </c>
      <c r="G34" s="17">
        <f>COUNTIF(Scénarios!AI$6:AI$214,$D34&amp;"3")</f>
        <v>0</v>
      </c>
      <c r="H34" s="173">
        <f>COUNTIF(Scénarios!AJ$6:AJ$214,$D34&amp;"4")</f>
        <v>0</v>
      </c>
    </row>
    <row r="35" spans="1:8" ht="15.75" customHeight="1" thickBot="1" x14ac:dyDescent="0.3">
      <c r="A35" s="1388"/>
      <c r="B35" s="1390"/>
      <c r="C35" s="174" t="s">
        <v>131</v>
      </c>
      <c r="D35" s="174" t="s">
        <v>511</v>
      </c>
      <c r="E35" s="175">
        <f>COUNTIF(Scénarios!AG$6:AG$214,$D35&amp;"1")</f>
        <v>0</v>
      </c>
      <c r="F35" s="175">
        <f>COUNTIF(Scénarios!AH$6:AH$214,$D35&amp;"2")</f>
        <v>1</v>
      </c>
      <c r="G35" s="175">
        <f>COUNTIF(Scénarios!AI$6:AI$214,$D35&amp;"3")</f>
        <v>0</v>
      </c>
      <c r="H35" s="176">
        <f>COUNTIF(Scénarios!AJ$6:AJ$214,$D35&amp;"4")</f>
        <v>0</v>
      </c>
    </row>
    <row r="36" spans="1:8" ht="15.75" customHeight="1" x14ac:dyDescent="0.25">
      <c r="E36" s="16"/>
      <c r="F36" s="16"/>
      <c r="G36" s="16"/>
      <c r="H36" s="16"/>
    </row>
    <row r="37" spans="1:8" ht="15.75" customHeight="1" x14ac:dyDescent="0.25">
      <c r="D37" s="462" t="s">
        <v>2221</v>
      </c>
      <c r="E37" s="397">
        <f>SUM(E3:E35)</f>
        <v>0</v>
      </c>
      <c r="F37" s="397">
        <f>SUM(F3:F35)</f>
        <v>18</v>
      </c>
      <c r="G37" s="397">
        <f>SUM(G3:G35)</f>
        <v>17</v>
      </c>
      <c r="H37" s="397">
        <f>SUM(H3:H35)</f>
        <v>1</v>
      </c>
    </row>
    <row r="38" spans="1:8" ht="15.75" customHeight="1" x14ac:dyDescent="0.25">
      <c r="D38" s="461" t="str">
        <f xml:space="preserve"> "Nombre total de scénarios : " &amp; SUM(E3:H35)</f>
        <v>Nombre total de scénarios : 36</v>
      </c>
      <c r="E38" s="8"/>
    </row>
  </sheetData>
  <sheetProtection sheet="1" objects="1" scenarios="1"/>
  <mergeCells count="19">
    <mergeCell ref="J1:K1"/>
    <mergeCell ref="A1:C1"/>
    <mergeCell ref="A14:A15"/>
    <mergeCell ref="E1:H1"/>
    <mergeCell ref="B4:B7"/>
    <mergeCell ref="B14:B15"/>
    <mergeCell ref="B9:B10"/>
    <mergeCell ref="A32:A35"/>
    <mergeCell ref="B32:B35"/>
    <mergeCell ref="A28:A31"/>
    <mergeCell ref="A4:A7"/>
    <mergeCell ref="A16:A18"/>
    <mergeCell ref="A9:A10"/>
    <mergeCell ref="A11:A13"/>
    <mergeCell ref="A19:A27"/>
    <mergeCell ref="B11:B13"/>
    <mergeCell ref="B28:B31"/>
    <mergeCell ref="B19:B27"/>
    <mergeCell ref="B16:B18"/>
  </mergeCells>
  <phoneticPr fontId="6" type="noConversion"/>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7">
    <tabColor indexed="13"/>
  </sheetPr>
  <dimension ref="A1:AK1649"/>
  <sheetViews>
    <sheetView zoomScaleNormal="100" zoomScaleSheetLayoutView="100" workbookViewId="0">
      <pane ySplit="3" topLeftCell="A80" activePane="bottomLeft" state="frozenSplit"/>
      <selection pane="bottomLeft" activeCell="J9" sqref="J9"/>
    </sheetView>
  </sheetViews>
  <sheetFormatPr baseColWidth="10" defaultColWidth="11.44140625" defaultRowHeight="13.2" outlineLevelCol="1" x14ac:dyDescent="0.2"/>
  <cols>
    <col min="1" max="1" width="11" style="16" customWidth="1"/>
    <col min="2" max="2" width="6" style="24" customWidth="1"/>
    <col min="3" max="3" width="6" style="25" customWidth="1"/>
    <col min="4" max="6" width="6" style="1" customWidth="1"/>
    <col min="7" max="7" width="6.44140625" style="1" customWidth="1"/>
    <col min="8" max="8" width="58.5546875" style="826" customWidth="1"/>
    <col min="9" max="9" width="14.109375" style="669" customWidth="1"/>
    <col min="10" max="10" width="8.88671875" style="24" customWidth="1"/>
    <col min="11" max="11" width="9.44140625" style="24" customWidth="1" outlineLevel="1"/>
    <col min="12" max="13" width="5.88671875" style="24" customWidth="1" outlineLevel="1"/>
    <col min="14" max="14" width="8.88671875" style="24" customWidth="1" outlineLevel="1"/>
    <col min="15" max="16" width="5.88671875" style="24" customWidth="1" outlineLevel="1"/>
    <col min="17" max="17" width="8.88671875" style="24" customWidth="1" outlineLevel="1"/>
    <col min="18" max="19" width="5.88671875" style="24" customWidth="1" outlineLevel="1"/>
    <col min="20" max="20" width="8.88671875" style="24" customWidth="1" outlineLevel="1"/>
    <col min="21" max="22" width="5.88671875" style="24" customWidth="1" outlineLevel="1"/>
    <col min="23" max="23" width="8.88671875" style="24" customWidth="1" outlineLevel="1"/>
    <col min="24" max="25" width="5.88671875" style="24" customWidth="1" outlineLevel="1"/>
    <col min="26" max="26" width="8.88671875" style="24" customWidth="1" outlineLevel="1"/>
    <col min="27" max="28" width="5.88671875" style="24" customWidth="1" outlineLevel="1"/>
    <col min="29" max="29" width="8.88671875" style="24" customWidth="1" outlineLevel="1"/>
    <col min="30" max="31" width="5.88671875" style="24" customWidth="1" outlineLevel="1"/>
    <col min="32" max="32" width="8.88671875" style="24" customWidth="1" outlineLevel="1"/>
    <col min="33" max="34" width="5.88671875" style="24" customWidth="1" outlineLevel="1"/>
  </cols>
  <sheetData>
    <row r="1" spans="1:37" ht="29.25" customHeight="1" x14ac:dyDescent="0.25">
      <c r="A1" s="85" t="s">
        <v>2263</v>
      </c>
      <c r="B1" s="86"/>
      <c r="C1" s="86"/>
      <c r="D1" s="86"/>
      <c r="E1" s="86"/>
      <c r="F1" s="86"/>
      <c r="G1" s="392"/>
      <c r="H1" s="818"/>
      <c r="I1" s="660"/>
      <c r="J1" s="87"/>
      <c r="K1" s="16"/>
      <c r="L1" s="422"/>
      <c r="M1" s="16"/>
      <c r="O1" s="422"/>
      <c r="R1" s="422"/>
      <c r="U1" s="422"/>
      <c r="X1" s="422"/>
      <c r="AA1" s="422"/>
      <c r="AD1" s="422"/>
      <c r="AG1" s="422"/>
    </row>
    <row r="2" spans="1:37" ht="18.75" customHeight="1" x14ac:dyDescent="0.25">
      <c r="A2" s="1410" t="s">
        <v>425</v>
      </c>
      <c r="B2" s="1412" t="s">
        <v>475</v>
      </c>
      <c r="C2" s="1413"/>
      <c r="D2" s="1413"/>
      <c r="E2" s="1413"/>
      <c r="F2" s="1414"/>
      <c r="G2" s="393"/>
      <c r="H2" s="819"/>
      <c r="I2" s="661"/>
      <c r="J2" s="80"/>
      <c r="L2" s="16"/>
      <c r="N2" s="16"/>
      <c r="O2" s="16"/>
      <c r="P2" s="16"/>
      <c r="Q2" s="16"/>
      <c r="R2" s="16"/>
      <c r="S2" s="16"/>
      <c r="T2" s="16"/>
      <c r="U2" s="16"/>
      <c r="V2" s="16"/>
      <c r="W2" s="16"/>
      <c r="X2" s="16"/>
      <c r="Y2" s="16"/>
      <c r="Z2" s="16"/>
      <c r="AA2" s="16"/>
      <c r="AB2" s="16"/>
      <c r="AC2" s="16"/>
      <c r="AD2" s="16"/>
      <c r="AE2" s="16"/>
      <c r="AF2" s="16"/>
      <c r="AG2" s="16"/>
      <c r="AH2" s="16"/>
    </row>
    <row r="3" spans="1:37" s="1" customFormat="1" ht="24" customHeight="1" thickBot="1" x14ac:dyDescent="0.3">
      <c r="A3" s="1411"/>
      <c r="B3" s="88" t="s">
        <v>197</v>
      </c>
      <c r="C3" s="88" t="s">
        <v>198</v>
      </c>
      <c r="D3" s="88" t="s">
        <v>277</v>
      </c>
      <c r="E3" s="88" t="s">
        <v>278</v>
      </c>
      <c r="F3" s="88" t="s">
        <v>1970</v>
      </c>
      <c r="G3" s="1405" t="s">
        <v>2287</v>
      </c>
      <c r="H3" s="1406"/>
      <c r="I3" s="662" t="s">
        <v>2288</v>
      </c>
      <c r="J3" s="152" t="s">
        <v>2185</v>
      </c>
      <c r="K3" s="81" t="s">
        <v>252</v>
      </c>
      <c r="L3" s="172" t="s">
        <v>611</v>
      </c>
      <c r="M3" s="82" t="s">
        <v>72</v>
      </c>
      <c r="N3" s="81" t="s">
        <v>252</v>
      </c>
      <c r="O3" s="172" t="s">
        <v>611</v>
      </c>
      <c r="P3" s="82" t="s">
        <v>72</v>
      </c>
      <c r="Q3" s="81" t="s">
        <v>252</v>
      </c>
      <c r="R3" s="172" t="s">
        <v>611</v>
      </c>
      <c r="S3" s="82" t="s">
        <v>72</v>
      </c>
      <c r="T3" s="81" t="s">
        <v>252</v>
      </c>
      <c r="U3" s="172" t="s">
        <v>611</v>
      </c>
      <c r="V3" s="82" t="s">
        <v>72</v>
      </c>
      <c r="W3" s="81" t="s">
        <v>252</v>
      </c>
      <c r="X3" s="172" t="s">
        <v>611</v>
      </c>
      <c r="Y3" s="82" t="s">
        <v>72</v>
      </c>
      <c r="Z3" s="81" t="s">
        <v>252</v>
      </c>
      <c r="AA3" s="172" t="s">
        <v>611</v>
      </c>
      <c r="AB3" s="82" t="s">
        <v>72</v>
      </c>
      <c r="AC3" s="81" t="s">
        <v>252</v>
      </c>
      <c r="AD3" s="172" t="s">
        <v>611</v>
      </c>
      <c r="AE3" s="82" t="s">
        <v>72</v>
      </c>
      <c r="AF3" s="81" t="s">
        <v>252</v>
      </c>
      <c r="AG3" s="172" t="s">
        <v>611</v>
      </c>
      <c r="AH3" s="82" t="s">
        <v>72</v>
      </c>
    </row>
    <row r="4" spans="1:37" ht="15" customHeight="1" x14ac:dyDescent="0.25">
      <c r="A4" s="179" t="s">
        <v>6315</v>
      </c>
      <c r="B4" s="31" t="s">
        <v>4584</v>
      </c>
      <c r="C4" s="89"/>
      <c r="D4" s="89"/>
      <c r="E4" s="89"/>
      <c r="F4" s="89"/>
      <c r="G4" s="90"/>
      <c r="H4" s="820"/>
      <c r="I4" s="663"/>
      <c r="J4" s="153"/>
      <c r="K4" s="484"/>
      <c r="L4" s="478"/>
      <c r="M4" s="479"/>
      <c r="N4" s="485"/>
      <c r="O4" s="478"/>
      <c r="P4" s="480"/>
      <c r="Q4" s="485"/>
      <c r="R4" s="478"/>
      <c r="S4" s="480"/>
      <c r="T4" s="485"/>
      <c r="U4" s="478"/>
      <c r="V4" s="480"/>
      <c r="W4" s="485"/>
      <c r="X4" s="478"/>
      <c r="Y4" s="480"/>
      <c r="Z4" s="485"/>
      <c r="AA4" s="478"/>
      <c r="AB4" s="480"/>
      <c r="AC4" s="485"/>
      <c r="AD4" s="478"/>
      <c r="AE4" s="480"/>
      <c r="AF4" s="485"/>
      <c r="AG4" s="478"/>
      <c r="AH4" s="480"/>
    </row>
    <row r="5" spans="1:37" s="1" customFormat="1" ht="11.25" customHeight="1" x14ac:dyDescent="0.25">
      <c r="A5" s="91"/>
      <c r="B5" s="1398">
        <f>COUNTIF(Scénarios!AB6:AB24,1)</f>
        <v>0</v>
      </c>
      <c r="C5" s="1408">
        <f>COUNTIF(Scénarios!AB6:AB24,2)</f>
        <v>0</v>
      </c>
      <c r="D5" s="1409">
        <f>COUNTIF(Scénarios!AB6:AB24,3)</f>
        <v>17</v>
      </c>
      <c r="E5" s="1407">
        <f>COUNTIF(Scénarios!AB6:AB24,4)</f>
        <v>0</v>
      </c>
      <c r="F5" s="1415">
        <f>SUM(B5:E5)</f>
        <v>17</v>
      </c>
      <c r="G5" s="747" t="s">
        <v>2100</v>
      </c>
      <c r="H5" s="341" t="s">
        <v>360</v>
      </c>
      <c r="I5" s="313" t="str">
        <f>IF(Projets!D22=1,"Décidé",IF(Projets!C22=1,"Sélectionné",""))</f>
        <v/>
      </c>
      <c r="J5" s="423"/>
      <c r="K5" s="481" t="str">
        <f>IF(Projets!G22="","",Projets!G22)</f>
        <v>2B01</v>
      </c>
      <c r="L5" s="481">
        <f>ES2B01</f>
        <v>1</v>
      </c>
      <c r="M5" s="481">
        <f>IF(Projets!I22="","",Projets!I22)</f>
        <v>4</v>
      </c>
      <c r="N5" s="481" t="str">
        <f>IF(Projets!J22="","",Projets!J22)</f>
        <v>2B02</v>
      </c>
      <c r="O5" s="481">
        <f>ES2B02</f>
        <v>1</v>
      </c>
      <c r="P5" s="481">
        <f>IF(Projets!L22="","",Projets!L22)</f>
        <v>4</v>
      </c>
      <c r="Q5" s="481" t="str">
        <f>IF(Projets!M22="","",Projets!M22)</f>
        <v/>
      </c>
      <c r="R5" s="481" t="str">
        <f>IF(Projets!N22="","",Projets!N22)</f>
        <v/>
      </c>
      <c r="S5" s="481" t="str">
        <f>IF(Projets!O22="","",Projets!O22)</f>
        <v/>
      </c>
      <c r="T5" s="481" t="str">
        <f>IF(Projets!P22="","",Projets!P22)</f>
        <v/>
      </c>
      <c r="U5" s="481" t="str">
        <f>IF(Projets!Q22="","",Projets!Q22)</f>
        <v/>
      </c>
      <c r="V5" s="481" t="str">
        <f>IF(Projets!R22="","",Projets!R22)</f>
        <v/>
      </c>
      <c r="W5" s="481" t="str">
        <f>IF(Projets!S22="","",Projets!S22)</f>
        <v/>
      </c>
      <c r="X5" s="481" t="str">
        <f>IF(Projets!T22="","",Projets!T22)</f>
        <v/>
      </c>
      <c r="Y5" s="481" t="str">
        <f>IF(Projets!U22="","",Projets!U22)</f>
        <v/>
      </c>
      <c r="Z5" s="481" t="str">
        <f>IF(Projets!V22="","",Projets!V22)</f>
        <v/>
      </c>
      <c r="AA5" s="481" t="str">
        <f>IF(Projets!W22="","",Projets!W22)</f>
        <v/>
      </c>
      <c r="AB5" s="481" t="str">
        <f>IF(Projets!X22="","",Projets!X22)</f>
        <v/>
      </c>
      <c r="AC5" s="481" t="str">
        <f>IF(Projets!Y22="","",Projets!Y22)</f>
        <v/>
      </c>
      <c r="AD5" s="481" t="str">
        <f>IF(Projets!Z22="","",Projets!Z22)</f>
        <v/>
      </c>
      <c r="AE5" s="481" t="str">
        <f>IF(Projets!AA22="","",Projets!AA22)</f>
        <v/>
      </c>
      <c r="AF5" s="481" t="str">
        <f>IF(Projets!AB22="","",Projets!AB22)</f>
        <v/>
      </c>
      <c r="AG5" s="481" t="str">
        <f>IF(Projets!AC22="","",Projets!AC22)</f>
        <v/>
      </c>
      <c r="AH5" s="481" t="str">
        <f>IF(Projets!AD22="","",Projets!AD22)</f>
        <v/>
      </c>
      <c r="AI5" s="1" t="str">
        <f>IF(Projets!AE22="","",Projets!AE22)</f>
        <v/>
      </c>
      <c r="AJ5" s="1" t="str">
        <f>IF(Projets!AF22="","",Projets!AF22)</f>
        <v/>
      </c>
      <c r="AK5" s="1" t="str">
        <f>IF(Projets!AG22="","",Projets!AG22)</f>
        <v/>
      </c>
    </row>
    <row r="6" spans="1:37" s="1" customFormat="1" ht="11.25" customHeight="1" x14ac:dyDescent="0.25">
      <c r="A6" s="91"/>
      <c r="B6" s="1294"/>
      <c r="C6" s="1294"/>
      <c r="D6" s="1294"/>
      <c r="E6" s="1294"/>
      <c r="F6" s="1294"/>
      <c r="G6" s="341" t="s">
        <v>1976</v>
      </c>
      <c r="H6" s="341" t="s">
        <v>731</v>
      </c>
      <c r="I6" s="313" t="str">
        <f>IF(Projets!D25=1,"Décidé",IF(Projets!C25=1,"Sélectionné",""))</f>
        <v/>
      </c>
      <c r="J6" s="423"/>
      <c r="K6" s="758" t="str">
        <f>IF(Projets!G25="","",Projets!G25)</f>
        <v>3A02</v>
      </c>
      <c r="L6" s="758">
        <f>ES3A02</f>
        <v>0</v>
      </c>
      <c r="M6" s="743">
        <f>IF(Projets!I25="","",Projets!I25)</f>
        <v>4</v>
      </c>
      <c r="N6" s="758" t="str">
        <f>IF(Projets!J25="","",Projets!J25)</f>
        <v>3A04</v>
      </c>
      <c r="O6" s="758">
        <f>ES3A04</f>
        <v>1</v>
      </c>
      <c r="P6" s="743">
        <f>IF(Projets!L25="","",Projets!L25)</f>
        <v>4</v>
      </c>
      <c r="Q6" s="758" t="str">
        <f>IF(Projets!M25="","",Projets!M25)</f>
        <v>3A06</v>
      </c>
      <c r="R6" s="758">
        <f>ES3A06</f>
        <v>0</v>
      </c>
      <c r="S6" s="743">
        <f>IF(Projets!O25="","",Projets!O25)</f>
        <v>4</v>
      </c>
      <c r="T6" s="758" t="str">
        <f>IF(Projets!P25="","",Projets!P25)</f>
        <v>3A07</v>
      </c>
      <c r="U6" s="758">
        <f>ES3A07</f>
        <v>0</v>
      </c>
      <c r="V6" s="743">
        <f>IF(Projets!R25="","",Projets!R25)</f>
        <v>4</v>
      </c>
      <c r="W6" s="481" t="str">
        <f>IF(Projets!S25="","",Projets!S25)</f>
        <v/>
      </c>
      <c r="X6" s="481" t="str">
        <f>IF(Projets!T25="","",Projets!T25)</f>
        <v/>
      </c>
      <c r="Y6" s="481" t="str">
        <f>IF(Projets!U25="","",Projets!U25)</f>
        <v/>
      </c>
      <c r="Z6" s="481" t="str">
        <f>IF(Projets!V25="","",Projets!V25)</f>
        <v/>
      </c>
      <c r="AA6" s="481" t="str">
        <f>IF(Projets!W25="","",Projets!W25)</f>
        <v/>
      </c>
      <c r="AB6" s="481" t="str">
        <f>IF(Projets!X25="","",Projets!X25)</f>
        <v/>
      </c>
      <c r="AC6" s="481" t="str">
        <f>IF(Projets!Y25="","",Projets!Y25)</f>
        <v/>
      </c>
      <c r="AD6" s="481" t="str">
        <f>IF(Projets!Z25="","",Projets!Z25)</f>
        <v/>
      </c>
      <c r="AE6" s="481" t="str">
        <f>IF(Projets!AA25="","",Projets!AA25)</f>
        <v/>
      </c>
      <c r="AF6" s="481" t="str">
        <f>IF(Projets!AB25="","",Projets!AB25)</f>
        <v/>
      </c>
      <c r="AG6" s="481" t="str">
        <f>IF(Projets!AC25="","",Projets!AC25)</f>
        <v/>
      </c>
      <c r="AH6" s="481" t="str">
        <f>IF(Projets!AD25="","",Projets!AD25)</f>
        <v/>
      </c>
      <c r="AI6" s="1" t="str">
        <f>IF(Projets!AE25="","",Projets!AE25)</f>
        <v/>
      </c>
      <c r="AJ6" s="1" t="str">
        <f>IF(Projets!AF25="","",Projets!AF25)</f>
        <v/>
      </c>
      <c r="AK6" s="1" t="str">
        <f>IF(Projets!AG25="","",Projets!AG25)</f>
        <v/>
      </c>
    </row>
    <row r="7" spans="1:37" s="1" customFormat="1" ht="11.25" customHeight="1" x14ac:dyDescent="0.25">
      <c r="A7" s="91"/>
      <c r="B7" s="1295"/>
      <c r="C7" s="1295"/>
      <c r="D7" s="1295"/>
      <c r="E7" s="1295"/>
      <c r="F7" s="1295"/>
      <c r="G7" s="341" t="s">
        <v>1978</v>
      </c>
      <c r="H7" s="341" t="s">
        <v>1957</v>
      </c>
      <c r="I7" s="313" t="str">
        <f>IF(Projets!D61=1,"Décidé",IF(Projets!C61=1,"Sélectionné",""))</f>
        <v/>
      </c>
      <c r="J7" s="423"/>
      <c r="K7" s="481" t="str">
        <f>IF(Projets!G61="","",Projets!G61)</f>
        <v>5E01</v>
      </c>
      <c r="L7" s="481">
        <f>ES5E01</f>
        <v>1</v>
      </c>
      <c r="M7" s="481">
        <f>IF(Projets!I61="","",Projets!I61)</f>
        <v>4</v>
      </c>
      <c r="N7" s="481" t="str">
        <f>IF(Projets!J61="","",Projets!J61)</f>
        <v>5E02</v>
      </c>
      <c r="O7" s="481">
        <f>ES5E02</f>
        <v>1</v>
      </c>
      <c r="P7" s="481">
        <f>IF(Projets!L61="","",Projets!L61)</f>
        <v>4</v>
      </c>
      <c r="Q7" s="481" t="str">
        <f>IF(Projets!M61="","",Projets!M61)</f>
        <v>5E03</v>
      </c>
      <c r="R7" s="481">
        <f>ES5E03</f>
        <v>1</v>
      </c>
      <c r="S7" s="481">
        <f>IF(Projets!O61="","",Projets!O61)</f>
        <v>4</v>
      </c>
      <c r="T7" s="481" t="str">
        <f>IF(Projets!P61="","",Projets!P61)</f>
        <v>5E04</v>
      </c>
      <c r="U7" s="481">
        <f>ES5E04</f>
        <v>1</v>
      </c>
      <c r="V7" s="481">
        <f>IF(Projets!R61="","",Projets!R61)</f>
        <v>4</v>
      </c>
      <c r="W7" s="481" t="str">
        <f>IF(Projets!S61="","",Projets!S61)</f>
        <v/>
      </c>
      <c r="X7" s="481" t="str">
        <f>IF(Projets!T61="","",Projets!T61)</f>
        <v/>
      </c>
      <c r="Y7" s="481" t="str">
        <f>IF(Projets!U61="","",Projets!U61)</f>
        <v/>
      </c>
      <c r="Z7" s="481" t="str">
        <f>IF(Projets!V61="","",Projets!V61)</f>
        <v/>
      </c>
      <c r="AA7" s="481" t="str">
        <f>IF(Projets!W61="","",Projets!W61)</f>
        <v/>
      </c>
      <c r="AB7" s="481" t="str">
        <f>IF(Projets!X61="","",Projets!X61)</f>
        <v/>
      </c>
      <c r="AC7" s="481" t="str">
        <f>IF(Projets!Y61="","",Projets!Y61)</f>
        <v/>
      </c>
      <c r="AD7" s="481" t="str">
        <f>IF(Projets!Z61="","",Projets!Z61)</f>
        <v/>
      </c>
      <c r="AE7" s="481" t="str">
        <f>IF(Projets!AA61="","",Projets!AA61)</f>
        <v/>
      </c>
      <c r="AF7" s="481" t="str">
        <f>IF(Projets!AB61="","",Projets!AB61)</f>
        <v/>
      </c>
      <c r="AG7" s="481" t="str">
        <f>IF(Projets!AC61="","",Projets!AC61)</f>
        <v/>
      </c>
      <c r="AH7" s="481" t="str">
        <f>IF(Projets!AD61="","",Projets!AD61)</f>
        <v/>
      </c>
      <c r="AI7" s="1" t="str">
        <f>IF(Projets!AE61="","",Projets!AE61)</f>
        <v/>
      </c>
      <c r="AJ7" s="1" t="str">
        <f>IF(Projets!AF61="","",Projets!AF61)</f>
        <v/>
      </c>
      <c r="AK7" s="1" t="str">
        <f>IF(Projets!AG61="","",Projets!AG61)</f>
        <v/>
      </c>
    </row>
    <row r="8" spans="1:37" ht="12" customHeight="1" x14ac:dyDescent="0.25">
      <c r="A8" s="741"/>
      <c r="B8" s="98"/>
      <c r="C8" s="98"/>
      <c r="D8" s="98"/>
      <c r="E8" s="98"/>
      <c r="F8" s="744"/>
      <c r="G8" s="341" t="s">
        <v>6286</v>
      </c>
      <c r="H8" s="341" t="s">
        <v>6287</v>
      </c>
      <c r="I8" s="313" t="str">
        <f>IF(Projets!D58=1,"Décidé",IF(Projets!C58=1,"Sélectionné",""))</f>
        <v/>
      </c>
      <c r="J8" s="423"/>
      <c r="K8" s="481" t="str">
        <f>IF(Projets!G58="","",Projets!G58)</f>
        <v>4C02</v>
      </c>
      <c r="L8" s="481">
        <f>ES4C02</f>
        <v>1</v>
      </c>
      <c r="M8" s="481">
        <f>IF(Projets!I58="","",Projets!I58)</f>
        <v>3</v>
      </c>
      <c r="N8" s="481" t="str">
        <f>IF(Projets!J58="","",Projets!J58)</f>
        <v/>
      </c>
      <c r="O8" s="481" t="str">
        <f>IF(Projets!K58="","",Projets!K58)</f>
        <v/>
      </c>
      <c r="P8" s="481" t="str">
        <f>IF(Projets!L58="","",Projets!L58)</f>
        <v/>
      </c>
      <c r="Q8" s="481" t="str">
        <f>IF(Projets!M58="","",Projets!M58)</f>
        <v/>
      </c>
      <c r="R8" s="481" t="str">
        <f>IF(Projets!N58="","",Projets!N58)</f>
        <v/>
      </c>
      <c r="S8" s="481" t="str">
        <f>IF(Projets!O58="","",Projets!O58)</f>
        <v/>
      </c>
      <c r="T8" s="481" t="str">
        <f>IF(Projets!P58="","",Projets!P58)</f>
        <v/>
      </c>
      <c r="U8" s="481" t="str">
        <f>IF(Projets!Q58="","",Projets!Q58)</f>
        <v/>
      </c>
      <c r="V8" s="481" t="str">
        <f>IF(Projets!R58="","",Projets!R58)</f>
        <v/>
      </c>
      <c r="W8" s="481" t="str">
        <f>IF(Projets!S58="","",Projets!S58)</f>
        <v/>
      </c>
      <c r="X8" s="481" t="str">
        <f>IF(Projets!T58="","",Projets!T58)</f>
        <v/>
      </c>
      <c r="Y8" s="481" t="str">
        <f>IF(Projets!U58="","",Projets!U58)</f>
        <v/>
      </c>
      <c r="Z8" s="481" t="str">
        <f>IF(Projets!V58="","",Projets!V58)</f>
        <v/>
      </c>
      <c r="AA8" s="481" t="str">
        <f>IF(Projets!W58="","",Projets!W58)</f>
        <v/>
      </c>
      <c r="AB8" s="481" t="str">
        <f>IF(Projets!X58="","",Projets!X58)</f>
        <v/>
      </c>
      <c r="AC8" s="481" t="str">
        <f>IF(Projets!Y58="","",Projets!Y58)</f>
        <v/>
      </c>
      <c r="AD8" s="481" t="str">
        <f>IF(Projets!Z58="","",Projets!Z58)</f>
        <v/>
      </c>
      <c r="AE8" s="481" t="str">
        <f>IF(Projets!AA58="","",Projets!AA58)</f>
        <v/>
      </c>
      <c r="AF8" s="481" t="str">
        <f>IF(Projets!AB58="","",Projets!AB58)</f>
        <v/>
      </c>
      <c r="AG8" s="481" t="str">
        <f>IF(Projets!AC58="","",Projets!AC58)</f>
        <v/>
      </c>
      <c r="AH8" s="481" t="str">
        <f>IF(Projets!AD58="","",Projets!AD58)</f>
        <v/>
      </c>
      <c r="AI8" t="str">
        <f>IF(Projets!AE58="","",Projets!AE58)</f>
        <v/>
      </c>
      <c r="AJ8" t="str">
        <f>IF(Projets!AF58="","",Projets!AF58)</f>
        <v/>
      </c>
      <c r="AK8" t="str">
        <f>IF(Projets!AG58="","",Projets!AG58)</f>
        <v/>
      </c>
    </row>
    <row r="9" spans="1:37" s="1" customFormat="1" ht="11.25" customHeight="1" x14ac:dyDescent="0.25">
      <c r="A9" s="91"/>
      <c r="B9" s="98"/>
      <c r="C9" s="98"/>
      <c r="D9" s="98"/>
      <c r="E9" s="98"/>
      <c r="F9" s="98"/>
      <c r="G9" s="341" t="s">
        <v>6290</v>
      </c>
      <c r="H9" s="341" t="s">
        <v>6291</v>
      </c>
      <c r="I9" s="313" t="str">
        <f>IF(Projets!D39=1,"Décidé",IF(Projets!C39=1,"Sélectionné",""))</f>
        <v/>
      </c>
      <c r="J9" s="423"/>
      <c r="K9" s="481" t="str">
        <f>IF(Projets!G39="","",Projets!G39)</f>
        <v>4A09</v>
      </c>
      <c r="L9" s="481">
        <f>ES4A09</f>
        <v>1</v>
      </c>
      <c r="M9" s="481">
        <f>IF(Projets!I39="","",Projets!I39)</f>
        <v>4</v>
      </c>
      <c r="N9" s="481" t="str">
        <f>IF(Projets!J39="","",Projets!J39)</f>
        <v>7B09</v>
      </c>
      <c r="O9" s="481">
        <f>ES7B09</f>
        <v>1</v>
      </c>
      <c r="P9" s="481">
        <f>IF(Projets!L39="","",Projets!L39)</f>
        <v>4</v>
      </c>
      <c r="Q9" s="481" t="str">
        <f>IF(Projets!M39="","",Projets!M39)</f>
        <v/>
      </c>
      <c r="R9" s="481" t="str">
        <f>IF(Projets!N39="","",Projets!N39)</f>
        <v/>
      </c>
      <c r="S9" s="481" t="str">
        <f>IF(Projets!O39="","",Projets!O39)</f>
        <v/>
      </c>
      <c r="T9" s="481" t="str">
        <f>IF(Projets!P39="","",Projets!P39)</f>
        <v/>
      </c>
      <c r="U9" s="481" t="str">
        <f>IF(Projets!Q39="","",Projets!Q39)</f>
        <v/>
      </c>
      <c r="V9" s="481" t="str">
        <f>IF(Projets!R39="","",Projets!R39)</f>
        <v/>
      </c>
      <c r="W9" s="481" t="str">
        <f>IF(Projets!S39="","",Projets!S39)</f>
        <v/>
      </c>
      <c r="X9" s="481" t="str">
        <f>IF(Projets!T39="","",Projets!T39)</f>
        <v/>
      </c>
      <c r="Y9" s="481" t="str">
        <f>IF(Projets!U39="","",Projets!U39)</f>
        <v/>
      </c>
      <c r="Z9" s="481" t="str">
        <f>IF(Projets!V39="","",Projets!V39)</f>
        <v/>
      </c>
      <c r="AA9" s="481" t="str">
        <f>IF(Projets!W39="","",Projets!W39)</f>
        <v/>
      </c>
      <c r="AB9" s="481" t="str">
        <f>IF(Projets!X39="","",Projets!X39)</f>
        <v/>
      </c>
      <c r="AC9" s="481" t="str">
        <f>IF(Projets!Y39="","",Projets!Y39)</f>
        <v/>
      </c>
      <c r="AD9" s="481" t="str">
        <f>IF(Projets!Z39="","",Projets!Z39)</f>
        <v/>
      </c>
      <c r="AE9" s="481" t="str">
        <f>IF(Projets!AA39="","",Projets!AA39)</f>
        <v/>
      </c>
      <c r="AF9" s="481" t="str">
        <f>IF(Projets!AB39="","",Projets!AB39)</f>
        <v/>
      </c>
      <c r="AG9" s="481" t="str">
        <f>IF(Projets!AC39="","",Projets!AC39)</f>
        <v/>
      </c>
      <c r="AH9" s="481" t="str">
        <f>IF(Projets!AD39="","",Projets!AD39)</f>
        <v/>
      </c>
      <c r="AI9" s="1" t="str">
        <f>IF(Projets!AE39="","",Projets!AE39)</f>
        <v/>
      </c>
      <c r="AJ9" s="1" t="str">
        <f>IF(Projets!AF39="","",Projets!AF39)</f>
        <v/>
      </c>
      <c r="AK9" s="1" t="str">
        <f>IF(Projets!AG39="","",Projets!AG39)</f>
        <v/>
      </c>
    </row>
    <row r="10" spans="1:37" s="1" customFormat="1" ht="11.25" customHeight="1" x14ac:dyDescent="0.25">
      <c r="A10" s="91"/>
      <c r="B10" s="98"/>
      <c r="C10" s="98"/>
      <c r="D10" s="98"/>
      <c r="E10" s="98"/>
      <c r="F10" s="98"/>
      <c r="G10" s="914" t="s">
        <v>4621</v>
      </c>
      <c r="H10" s="341" t="s">
        <v>4620</v>
      </c>
      <c r="I10" s="313" t="str">
        <f>IF(Projets!D10=1,"Décidé",IF(Projets!C10=1,"Sélectionné",""))</f>
        <v/>
      </c>
      <c r="J10" s="423"/>
      <c r="K10" s="481" t="str">
        <f>IF(Projets!G10="","",Projets!G10)</f>
        <v>4E01</v>
      </c>
      <c r="L10" s="481">
        <f>ES4E01</f>
        <v>1</v>
      </c>
      <c r="M10" s="481">
        <f>IF(Projets!I10="","",Projets!I10)</f>
        <v>4</v>
      </c>
      <c r="N10" s="481" t="str">
        <f>IF(Projets!J10="","",Projets!J10)</f>
        <v>5C01</v>
      </c>
      <c r="O10" s="481">
        <f>ES5C01</f>
        <v>1</v>
      </c>
      <c r="P10" s="481">
        <f>IF(Projets!L10="","",Projets!L10)</f>
        <v>4</v>
      </c>
      <c r="Q10" s="481" t="str">
        <f>IF(Projets!M10="","",Projets!M10)</f>
        <v>5D04</v>
      </c>
      <c r="R10" s="481">
        <f>ES5D04</f>
        <v>1</v>
      </c>
      <c r="S10" s="481">
        <f>IF(Projets!O10="","",Projets!O10)</f>
        <v>4</v>
      </c>
      <c r="T10" s="481" t="str">
        <f>IF(Projets!P10="","",Projets!P10)</f>
        <v/>
      </c>
      <c r="U10" s="481" t="str">
        <f>IF(Projets!Q10="","",Projets!Q10)</f>
        <v/>
      </c>
      <c r="V10" s="481" t="str">
        <f>IF(Projets!R10="","",Projets!R10)</f>
        <v/>
      </c>
      <c r="W10" s="481" t="str">
        <f>IF(Projets!S10="","",Projets!S10)</f>
        <v/>
      </c>
      <c r="X10" s="481" t="str">
        <f>IF(Projets!T10="","",Projets!T10)</f>
        <v/>
      </c>
      <c r="Y10" s="481" t="str">
        <f>IF(Projets!U10="","",Projets!U10)</f>
        <v/>
      </c>
      <c r="Z10" s="481" t="str">
        <f>IF(Projets!V10="","",Projets!V10)</f>
        <v/>
      </c>
      <c r="AA10" s="481" t="str">
        <f>IF(Projets!W10="","",Projets!W10)</f>
        <v/>
      </c>
      <c r="AB10" s="481" t="str">
        <f>IF(Projets!X10="","",Projets!X10)</f>
        <v/>
      </c>
      <c r="AC10" s="481" t="str">
        <f>IF(Projets!Y10="","",Projets!Y10)</f>
        <v/>
      </c>
      <c r="AD10" s="481" t="str">
        <f>IF(Projets!Z10="","",Projets!Z10)</f>
        <v/>
      </c>
      <c r="AE10" s="481" t="str">
        <f>IF(Projets!AA10="","",Projets!AA10)</f>
        <v/>
      </c>
      <c r="AF10" s="481" t="str">
        <f>IF(Projets!AB10="","",Projets!AB10)</f>
        <v/>
      </c>
      <c r="AG10" s="481" t="str">
        <f>IF(Projets!AC10="","",Projets!AC10)</f>
        <v/>
      </c>
      <c r="AH10" s="481" t="str">
        <f>IF(Projets!AD10="","",Projets!AD10)</f>
        <v/>
      </c>
      <c r="AI10" s="1" t="str">
        <f>IF(Projets!AE10="","",Projets!AE10)</f>
        <v/>
      </c>
      <c r="AJ10" s="1" t="str">
        <f>IF(Projets!AF10="","",Projets!AF10)</f>
        <v/>
      </c>
      <c r="AK10" s="1" t="str">
        <f>IF(Projets!AG10="","",Projets!AG10)</f>
        <v/>
      </c>
    </row>
    <row r="11" spans="1:37" s="1" customFormat="1" ht="11.25" customHeight="1" x14ac:dyDescent="0.25">
      <c r="A11" s="91"/>
      <c r="B11" s="98"/>
      <c r="C11" s="98"/>
      <c r="D11" s="98"/>
      <c r="E11" s="98"/>
      <c r="F11" s="98"/>
      <c r="G11" s="341" t="s">
        <v>2003</v>
      </c>
      <c r="H11" s="341" t="s">
        <v>1972</v>
      </c>
      <c r="I11" s="313" t="str">
        <f>IF(Projets!D8=1,"Décidé",IF(Projets!C8=1,"Sélectionné",""))</f>
        <v/>
      </c>
      <c r="J11" s="423"/>
      <c r="K11" s="481" t="str">
        <f>IF(Projets!G8="","",Projets!G8)</f>
        <v>4A03</v>
      </c>
      <c r="L11" s="481">
        <f>ES4A03</f>
        <v>0</v>
      </c>
      <c r="M11" s="481">
        <f>IF(Projets!I8="","",Projets!I8)</f>
        <v>3</v>
      </c>
      <c r="N11" s="481" t="str">
        <f>IF(Projets!J8="","",Projets!J8)</f>
        <v>6B04</v>
      </c>
      <c r="O11" s="481">
        <f>ES6B04</f>
        <v>1</v>
      </c>
      <c r="P11" s="481">
        <f>IF(Projets!L8="","",Projets!L8)</f>
        <v>3</v>
      </c>
      <c r="Q11" s="481" t="str">
        <f>IF(Projets!M8="","",Projets!M8)</f>
        <v>6B06</v>
      </c>
      <c r="R11" s="481">
        <f>ES6B06</f>
        <v>1</v>
      </c>
      <c r="S11" s="481">
        <f>IF(Projets!O8="","",Projets!O8)</f>
        <v>3</v>
      </c>
      <c r="T11" s="481" t="str">
        <f>IF(Projets!P8="","",Projets!P8)</f>
        <v>6B07</v>
      </c>
      <c r="U11" s="481">
        <f>ES6B07</f>
        <v>1</v>
      </c>
      <c r="V11" s="481">
        <f>IF(Projets!R8="","",Projets!R8)</f>
        <v>3</v>
      </c>
      <c r="W11" s="481" t="str">
        <f>IF(Projets!S8="","",Projets!S8)</f>
        <v/>
      </c>
      <c r="X11" s="481" t="str">
        <f>IF(Projets!T8="","",Projets!T8)</f>
        <v/>
      </c>
      <c r="Y11" s="481" t="str">
        <f>IF(Projets!U8="","",Projets!U8)</f>
        <v/>
      </c>
      <c r="Z11" s="481" t="str">
        <f>IF(Projets!V8="","",Projets!V8)</f>
        <v/>
      </c>
      <c r="AA11" s="481" t="str">
        <f>IF(Projets!W8="","",Projets!W8)</f>
        <v/>
      </c>
      <c r="AB11" s="481" t="str">
        <f>IF(Projets!X8="","",Projets!X8)</f>
        <v/>
      </c>
      <c r="AC11" s="481" t="str">
        <f>IF(Projets!Y8="","",Projets!Y8)</f>
        <v/>
      </c>
      <c r="AD11" s="481" t="str">
        <f>IF(Projets!Z8="","",Projets!Z8)</f>
        <v/>
      </c>
      <c r="AE11" s="481" t="str">
        <f>IF(Projets!AA8="","",Projets!AA8)</f>
        <v/>
      </c>
      <c r="AF11" s="481" t="str">
        <f>IF(Projets!AB8="","",Projets!AB8)</f>
        <v/>
      </c>
      <c r="AG11" s="481" t="str">
        <f>IF(Projets!AC8="","",Projets!AC8)</f>
        <v/>
      </c>
      <c r="AH11" s="481" t="str">
        <f>IF(Projets!AD8="","",Projets!AD8)</f>
        <v/>
      </c>
      <c r="AI11" s="1" t="str">
        <f>IF(Projets!AE8="","",Projets!AE8)</f>
        <v/>
      </c>
      <c r="AJ11" s="1" t="str">
        <f>IF(Projets!AF8="","",Projets!AF8)</f>
        <v/>
      </c>
      <c r="AK11" s="1" t="str">
        <f>IF(Projets!AG8="","",Projets!AG8)</f>
        <v/>
      </c>
    </row>
    <row r="12" spans="1:37" s="1" customFormat="1" ht="11.25" customHeight="1" x14ac:dyDescent="0.25">
      <c r="A12" s="741"/>
      <c r="B12" s="98"/>
      <c r="C12" s="98"/>
      <c r="D12" s="98"/>
      <c r="E12" s="98"/>
      <c r="F12" s="98"/>
      <c r="G12" s="341" t="s">
        <v>2007</v>
      </c>
      <c r="H12" s="341" t="s">
        <v>2327</v>
      </c>
      <c r="I12" s="915" t="str">
        <f>IF(Projets!D66=1,"Décidé",IF(Projets!C66=1,"Sélectionné",""))</f>
        <v/>
      </c>
      <c r="J12" s="423"/>
      <c r="K12" s="916" t="str">
        <f>IF(Projets!G66="","",Projets!G66)</f>
        <v>4E02</v>
      </c>
      <c r="L12" s="916">
        <f>ES4E02</f>
        <v>1</v>
      </c>
      <c r="M12" s="916">
        <f>IF(Projets!I66="","",Projets!I66)</f>
        <v>4</v>
      </c>
      <c r="N12" s="916" t="str">
        <f>IF(Projets!J66="","",Projets!J66)</f>
        <v>4E04</v>
      </c>
      <c r="O12" s="916">
        <f>ES4E04</f>
        <v>1</v>
      </c>
      <c r="P12" s="916">
        <f>IF(Projets!L66="","",Projets!L66)</f>
        <v>4</v>
      </c>
      <c r="Q12" s="916" t="str">
        <f>IF(Projets!M66="","",Projets!M66)</f>
        <v/>
      </c>
      <c r="R12" s="916" t="str">
        <f>IF(Projets!N66="","",Projets!N66)</f>
        <v/>
      </c>
      <c r="S12" s="916" t="str">
        <f>IF(Projets!O66="","",Projets!O66)</f>
        <v/>
      </c>
      <c r="T12" s="916" t="str">
        <f>IF(Projets!P66="","",Projets!P66)</f>
        <v/>
      </c>
      <c r="U12" s="916" t="str">
        <f>IF(Projets!Q66="","",Projets!Q66)</f>
        <v/>
      </c>
      <c r="V12" s="916" t="str">
        <f>IF(Projets!R66="","",Projets!R66)</f>
        <v/>
      </c>
      <c r="W12" s="916" t="str">
        <f>IF(Projets!S66="","",Projets!S66)</f>
        <v/>
      </c>
      <c r="X12" s="916" t="str">
        <f>IF(Projets!T66="","",Projets!T66)</f>
        <v/>
      </c>
      <c r="Y12" s="916" t="str">
        <f>IF(Projets!U66="","",Projets!U66)</f>
        <v/>
      </c>
      <c r="Z12" s="916" t="str">
        <f>IF(Projets!V66="","",Projets!V66)</f>
        <v/>
      </c>
      <c r="AA12" s="916" t="str">
        <f>IF(Projets!W66="","",Projets!W66)</f>
        <v/>
      </c>
      <c r="AB12" s="916" t="str">
        <f>IF(Projets!X66="","",Projets!X66)</f>
        <v/>
      </c>
      <c r="AC12" s="916" t="str">
        <f>IF(Projets!Y66="","",Projets!Y66)</f>
        <v/>
      </c>
      <c r="AD12" s="916" t="str">
        <f>IF(Projets!Z66="","",Projets!Z66)</f>
        <v/>
      </c>
      <c r="AE12" s="916" t="str">
        <f>IF(Projets!AA66="","",Projets!AA66)</f>
        <v/>
      </c>
      <c r="AF12" s="916" t="str">
        <f>IF(Projets!AB66="","",Projets!AB66)</f>
        <v/>
      </c>
      <c r="AG12" s="916" t="str">
        <f>IF(Projets!AC66="","",Projets!AC66)</f>
        <v/>
      </c>
      <c r="AH12" s="916" t="str">
        <f>IF(Projets!AD66="","",Projets!AD66)</f>
        <v/>
      </c>
      <c r="AI12" s="1" t="str">
        <f>IF(Projets!AE66="","",Projets!AE66)</f>
        <v/>
      </c>
      <c r="AJ12" s="1" t="str">
        <f>IF(Projets!AF66="","",Projets!AF66)</f>
        <v/>
      </c>
      <c r="AK12" s="1" t="str">
        <f>IF(Projets!AG66="","",Projets!AG66)</f>
        <v/>
      </c>
    </row>
    <row r="13" spans="1:37" s="1" customFormat="1" ht="11.25" customHeight="1" x14ac:dyDescent="0.25">
      <c r="A13" s="741"/>
      <c r="B13" s="98"/>
      <c r="C13" s="98"/>
      <c r="D13" s="98"/>
      <c r="E13" s="98"/>
      <c r="F13" s="98"/>
      <c r="G13" s="914" t="s">
        <v>6558</v>
      </c>
      <c r="H13" s="341" t="s">
        <v>6560</v>
      </c>
      <c r="I13" s="915" t="str">
        <f>IF(Projets!D36=1,"Décidé",IF(Projets!C36=1,"Sélectionné",""))</f>
        <v/>
      </c>
      <c r="J13" s="423"/>
      <c r="K13" s="916" t="str">
        <f>IF(Projets!G36="","",Projets!G36)</f>
        <v>3A08</v>
      </c>
      <c r="L13" s="916">
        <f>ES3A08</f>
        <v>0</v>
      </c>
      <c r="M13" s="916">
        <f>IF(Projets!I36="","",Projets!I36)</f>
        <v>4</v>
      </c>
      <c r="N13" s="916" t="str">
        <f>IF(Projets!J36="","",Projets!J36)</f>
        <v>4A11</v>
      </c>
      <c r="O13" s="916">
        <f>ES4A11</f>
        <v>1</v>
      </c>
      <c r="P13" s="916">
        <f>IF(Projets!L36="","",Projets!L36)</f>
        <v>4</v>
      </c>
      <c r="Q13" s="916" t="str">
        <f>IF(Projets!M36="","",Projets!M36)</f>
        <v/>
      </c>
      <c r="R13" s="916" t="str">
        <f>IF(Projets!N36="","",Projets!N36)</f>
        <v/>
      </c>
      <c r="S13" s="916" t="str">
        <f>IF(Projets!O36="","",Projets!O36)</f>
        <v/>
      </c>
      <c r="T13" s="916" t="str">
        <f>IF(Projets!P36="","",Projets!P36)</f>
        <v/>
      </c>
      <c r="U13" s="916" t="str">
        <f>IF(Projets!Q36="","",Projets!Q36)</f>
        <v/>
      </c>
      <c r="V13" s="916" t="str">
        <f>IF(Projets!R36="","",Projets!R36)</f>
        <v/>
      </c>
      <c r="W13" s="916" t="str">
        <f>IF(Projets!S36="","",Projets!S36)</f>
        <v/>
      </c>
      <c r="X13" s="916" t="str">
        <f>IF(Projets!T36="","",Projets!T36)</f>
        <v/>
      </c>
      <c r="Y13" s="916" t="str">
        <f>IF(Projets!U36="","",Projets!U36)</f>
        <v/>
      </c>
      <c r="Z13" s="916" t="str">
        <f>IF(Projets!V36="","",Projets!V36)</f>
        <v/>
      </c>
      <c r="AA13" s="916" t="str">
        <f>IF(Projets!W36="","",Projets!W36)</f>
        <v/>
      </c>
      <c r="AB13" s="916" t="str">
        <f>IF(Projets!X36="","",Projets!X36)</f>
        <v/>
      </c>
      <c r="AC13" s="916" t="str">
        <f>IF(Projets!Y36="","",Projets!Y36)</f>
        <v/>
      </c>
      <c r="AD13" s="916" t="str">
        <f>IF(Projets!Z36="","",Projets!Z36)</f>
        <v/>
      </c>
      <c r="AE13" s="916" t="str">
        <f>IF(Projets!AA36="","",Projets!AA36)</f>
        <v/>
      </c>
      <c r="AF13" s="916" t="str">
        <f>IF(Projets!AB36="","",Projets!AB36)</f>
        <v/>
      </c>
      <c r="AG13" s="916" t="str">
        <f>IF(Projets!AC36="","",Projets!AC36)</f>
        <v/>
      </c>
      <c r="AH13" s="916" t="str">
        <f>IF(Projets!AD36="","",Projets!AD36)</f>
        <v/>
      </c>
      <c r="AI13" s="1" t="str">
        <f>IF(Projets!AE36="","",Projets!AE36)</f>
        <v/>
      </c>
      <c r="AJ13" s="1" t="str">
        <f>IF(Projets!AF36="","",Projets!AF36)</f>
        <v/>
      </c>
      <c r="AK13" s="1" t="str">
        <f>IF(Projets!AG36="","",Projets!AG36)</f>
        <v/>
      </c>
    </row>
    <row r="14" spans="1:37" s="1" customFormat="1" ht="11.25" customHeight="1" x14ac:dyDescent="0.25">
      <c r="A14" s="741"/>
      <c r="B14" s="98"/>
      <c r="C14" s="98"/>
      <c r="D14" s="98"/>
      <c r="E14" s="98"/>
      <c r="F14" s="98"/>
      <c r="G14" s="914" t="s">
        <v>6555</v>
      </c>
      <c r="H14" s="341" t="s">
        <v>547</v>
      </c>
      <c r="I14" s="915" t="str">
        <f>IF(Projets!D23=1,"Décidé",IF(Projets!C23=1,"Sélectionné",""))</f>
        <v/>
      </c>
      <c r="J14" s="423"/>
      <c r="K14" s="916" t="str">
        <f>IF(Projets!G23="","",Projets!G23)</f>
        <v>2B03</v>
      </c>
      <c r="L14" s="916">
        <f>ES2B03</f>
        <v>1</v>
      </c>
      <c r="M14" s="916">
        <f>IF(Projets!I23="","",Projets!I23)</f>
        <v>4</v>
      </c>
      <c r="N14" s="916" t="str">
        <f>IF(Projets!J23="","",Projets!J23)</f>
        <v/>
      </c>
      <c r="O14" s="916" t="str">
        <f>IF(Projets!K23="","",Projets!K23)</f>
        <v/>
      </c>
      <c r="P14" s="916" t="str">
        <f>IF(Projets!L23="","",Projets!L23)</f>
        <v/>
      </c>
      <c r="Q14" s="916" t="str">
        <f>IF(Projets!M23="","",Projets!M23)</f>
        <v/>
      </c>
      <c r="R14" s="916" t="str">
        <f>IF(Projets!N23="","",Projets!N23)</f>
        <v/>
      </c>
      <c r="S14" s="916" t="str">
        <f>IF(Projets!O23="","",Projets!O23)</f>
        <v/>
      </c>
      <c r="T14" s="916" t="str">
        <f>IF(Projets!P23="","",Projets!P23)</f>
        <v/>
      </c>
      <c r="U14" s="916" t="str">
        <f>IF(Projets!Q23="","",Projets!Q23)</f>
        <v/>
      </c>
      <c r="V14" s="916" t="str">
        <f>IF(Projets!R23="","",Projets!R23)</f>
        <v/>
      </c>
      <c r="W14" s="916" t="str">
        <f>IF(Projets!S23="","",Projets!S23)</f>
        <v/>
      </c>
      <c r="X14" s="916" t="str">
        <f>IF(Projets!T23="","",Projets!T23)</f>
        <v/>
      </c>
      <c r="Y14" s="916" t="str">
        <f>IF(Projets!U23="","",Projets!U23)</f>
        <v/>
      </c>
      <c r="Z14" s="916" t="str">
        <f>IF(Projets!V23="","",Projets!V23)</f>
        <v/>
      </c>
      <c r="AA14" s="916" t="str">
        <f>IF(Projets!W23="","",Projets!W23)</f>
        <v/>
      </c>
      <c r="AB14" s="916" t="str">
        <f>IF(Projets!X23="","",Projets!X23)</f>
        <v/>
      </c>
      <c r="AC14" s="916" t="str">
        <f>IF(Projets!Y23="","",Projets!Y23)</f>
        <v/>
      </c>
      <c r="AD14" s="916" t="str">
        <f>IF(Projets!Z23="","",Projets!Z23)</f>
        <v/>
      </c>
      <c r="AE14" s="916" t="str">
        <f>IF(Projets!AA23="","",Projets!AA23)</f>
        <v/>
      </c>
      <c r="AF14" s="916" t="str">
        <f>IF(Projets!AB23="","",Projets!AB23)</f>
        <v/>
      </c>
      <c r="AG14" s="916" t="str">
        <f>IF(Projets!AC23="","",Projets!AC23)</f>
        <v/>
      </c>
      <c r="AH14" s="916" t="str">
        <f>IF(Projets!AD23="","",Projets!AD23)</f>
        <v/>
      </c>
      <c r="AI14" s="1" t="str">
        <f>IF(Projets!AE23="","",Projets!AE23)</f>
        <v/>
      </c>
      <c r="AJ14" s="1" t="str">
        <f>IF(Projets!AF23="","",Projets!AF23)</f>
        <v/>
      </c>
      <c r="AK14" s="1" t="str">
        <f>IF(Projets!AG23="","",Projets!AG23)</f>
        <v/>
      </c>
    </row>
    <row r="15" spans="1:37" s="1" customFormat="1" ht="20.25" customHeight="1" x14ac:dyDescent="0.25">
      <c r="A15" s="180" t="s">
        <v>6316</v>
      </c>
      <c r="B15" s="777" t="s">
        <v>3234</v>
      </c>
      <c r="C15" s="778"/>
      <c r="D15" s="778"/>
      <c r="E15" s="778"/>
      <c r="F15" s="778"/>
      <c r="G15" s="887"/>
      <c r="H15" s="887"/>
      <c r="I15" s="888"/>
      <c r="J15" s="424"/>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row>
    <row r="16" spans="1:37" s="1" customFormat="1" ht="12" customHeight="1" x14ac:dyDescent="0.25">
      <c r="A16" s="95"/>
      <c r="B16" s="1415">
        <f>COUNTIF(Scénarios!AB26:AB35,1)</f>
        <v>0</v>
      </c>
      <c r="C16" s="1416">
        <f>COUNTIF(Scénarios!AB26:AB35,2)</f>
        <v>0</v>
      </c>
      <c r="D16" s="1417">
        <f>COUNTIF(Scénarios!AB26:AB35,3)</f>
        <v>10</v>
      </c>
      <c r="E16" s="1418">
        <f>COUNTIF(Scénarios!AB26:AB35,4)</f>
        <v>0</v>
      </c>
      <c r="F16" s="1415">
        <f>SUM(B16:E16)</f>
        <v>10</v>
      </c>
      <c r="G16" s="747" t="s">
        <v>2100</v>
      </c>
      <c r="H16" s="341" t="s">
        <v>360</v>
      </c>
      <c r="I16" s="664" t="str">
        <f>IF(Projets!D22=1,"Décidé",IF(Projets!C22=1,"Sélectionné",""))</f>
        <v/>
      </c>
      <c r="J16" s="425"/>
      <c r="K16" s="481" t="str">
        <f>IF(Projets!G22="","",Projets!G22)</f>
        <v>2B01</v>
      </c>
      <c r="L16" s="481">
        <f>ES2B01</f>
        <v>1</v>
      </c>
      <c r="M16" s="481">
        <f>IF(Projets!I22="","",Projets!I22)</f>
        <v>4</v>
      </c>
      <c r="N16" s="481" t="str">
        <f>IF(Projets!J22="","",Projets!J22)</f>
        <v>2B02</v>
      </c>
      <c r="O16" s="481">
        <f>ES2B02</f>
        <v>1</v>
      </c>
      <c r="P16" s="481">
        <f>IF(Projets!L22="","",Projets!L22)</f>
        <v>4</v>
      </c>
      <c r="Q16" s="481" t="str">
        <f>IF(Projets!M22="","",Projets!M22)</f>
        <v/>
      </c>
      <c r="R16" s="481" t="str">
        <f>IF(Projets!N22="","",Projets!N22)</f>
        <v/>
      </c>
      <c r="S16" s="481" t="str">
        <f>IF(Projets!O22="","",Projets!O22)</f>
        <v/>
      </c>
      <c r="T16" s="481" t="str">
        <f>IF(Projets!P22="","",Projets!P22)</f>
        <v/>
      </c>
      <c r="U16" s="481" t="str">
        <f>IF(Projets!Q22="","",Projets!Q22)</f>
        <v/>
      </c>
      <c r="V16" s="481" t="str">
        <f>IF(Projets!R22="","",Projets!R22)</f>
        <v/>
      </c>
      <c r="W16" s="481" t="str">
        <f>IF(Projets!S22="","",Projets!S22)</f>
        <v/>
      </c>
      <c r="X16" s="481" t="str">
        <f>IF(Projets!T22="","",Projets!T22)</f>
        <v/>
      </c>
      <c r="Y16" s="481" t="str">
        <f>IF(Projets!U22="","",Projets!U22)</f>
        <v/>
      </c>
      <c r="Z16" s="481" t="str">
        <f>IF(Projets!V22="","",Projets!V22)</f>
        <v/>
      </c>
      <c r="AA16" s="481" t="str">
        <f>IF(Projets!W22="","",Projets!W22)</f>
        <v/>
      </c>
      <c r="AB16" s="481" t="str">
        <f>IF(Projets!X22="","",Projets!X22)</f>
        <v/>
      </c>
      <c r="AC16" s="481" t="str">
        <f>IF(Projets!Y22="","",Projets!Y22)</f>
        <v/>
      </c>
      <c r="AD16" s="481" t="str">
        <f>IF(Projets!Z22="","",Projets!Z22)</f>
        <v/>
      </c>
      <c r="AE16" s="481" t="str">
        <f>IF(Projets!AA22="","",Projets!AA22)</f>
        <v/>
      </c>
      <c r="AF16" s="481" t="str">
        <f>IF(Projets!AB22="","",Projets!AB22)</f>
        <v/>
      </c>
      <c r="AG16" s="481" t="str">
        <f>IF(Projets!AC22="","",Projets!AC22)</f>
        <v/>
      </c>
      <c r="AH16" s="481" t="str">
        <f>IF(Projets!AD22="","",Projets!AD22)</f>
        <v/>
      </c>
      <c r="AI16" s="1" t="str">
        <f>IF(Projets!AE22="","",Projets!AE22)</f>
        <v/>
      </c>
      <c r="AJ16" s="1" t="str">
        <f>IF(Projets!AF22="","",Projets!AF22)</f>
        <v/>
      </c>
      <c r="AK16" s="1" t="str">
        <f>IF(Projets!AG22="","",Projets!AG22)</f>
        <v/>
      </c>
    </row>
    <row r="17" spans="1:37" s="1" customFormat="1" ht="12" customHeight="1" x14ac:dyDescent="0.25">
      <c r="A17" s="91"/>
      <c r="B17" s="1294"/>
      <c r="C17" s="1294"/>
      <c r="D17" s="1294"/>
      <c r="E17" s="1294"/>
      <c r="F17" s="1294"/>
      <c r="G17" s="314" t="s">
        <v>1976</v>
      </c>
      <c r="H17" s="341" t="s">
        <v>731</v>
      </c>
      <c r="I17" s="313" t="str">
        <f>IF(Projets!D25=1,"Décidé",IF(Projets!C25=1,"Sélectionné",""))</f>
        <v/>
      </c>
      <c r="J17" s="425"/>
      <c r="K17" s="758" t="str">
        <f>IF(Projets!G25="","",Projets!G25)</f>
        <v>3A02</v>
      </c>
      <c r="L17" s="758">
        <f>ES3A02</f>
        <v>0</v>
      </c>
      <c r="M17" s="743">
        <f>IF(Projets!I25="","",Projets!I25)</f>
        <v>4</v>
      </c>
      <c r="N17" s="758" t="str">
        <f>IF(Projets!J25="","",Projets!J25)</f>
        <v>3A04</v>
      </c>
      <c r="O17" s="758">
        <f>ES3A04</f>
        <v>1</v>
      </c>
      <c r="P17" s="743">
        <f>IF(Projets!L25="","",Projets!L25)</f>
        <v>4</v>
      </c>
      <c r="Q17" s="758" t="str">
        <f>IF(Projets!M25="","",Projets!M25)</f>
        <v>3A06</v>
      </c>
      <c r="R17" s="758">
        <f>ES3A06</f>
        <v>0</v>
      </c>
      <c r="S17" s="743">
        <f>IF(Projets!O25="","",Projets!O25)</f>
        <v>4</v>
      </c>
      <c r="T17" s="758" t="str">
        <f>IF(Projets!P25="","",Projets!P25)</f>
        <v>3A07</v>
      </c>
      <c r="U17" s="758">
        <f>ES3A07</f>
        <v>0</v>
      </c>
      <c r="V17" s="743">
        <f>IF(Projets!R25="","",Projets!R25)</f>
        <v>4</v>
      </c>
      <c r="W17" s="481" t="str">
        <f>IF(Projets!S25="","",Projets!S25)</f>
        <v/>
      </c>
      <c r="X17" s="481" t="str">
        <f>IF(Projets!T25="","",Projets!T25)</f>
        <v/>
      </c>
      <c r="Y17" s="481" t="str">
        <f>IF(Projets!U25="","",Projets!U25)</f>
        <v/>
      </c>
      <c r="Z17" s="481" t="str">
        <f>IF(Projets!V25="","",Projets!V25)</f>
        <v/>
      </c>
      <c r="AA17" s="481" t="str">
        <f>IF(Projets!W25="","",Projets!W25)</f>
        <v/>
      </c>
      <c r="AB17" s="481" t="str">
        <f>IF(Projets!X25="","",Projets!X25)</f>
        <v/>
      </c>
      <c r="AC17" s="481" t="str">
        <f>IF(Projets!Y25="","",Projets!Y25)</f>
        <v/>
      </c>
      <c r="AD17" s="481" t="str">
        <f>IF(Projets!Z25="","",Projets!Z25)</f>
        <v/>
      </c>
      <c r="AE17" s="481" t="str">
        <f>IF(Projets!AA25="","",Projets!AA25)</f>
        <v/>
      </c>
      <c r="AF17" s="481" t="str">
        <f>IF(Projets!AB25="","",Projets!AB25)</f>
        <v/>
      </c>
      <c r="AG17" s="481" t="str">
        <f>IF(Projets!AC25="","",Projets!AC25)</f>
        <v/>
      </c>
      <c r="AH17" s="481" t="str">
        <f>IF(Projets!AD25="","",Projets!AD25)</f>
        <v/>
      </c>
      <c r="AI17" s="1" t="str">
        <f>IF(Projets!AE25="","",Projets!AE25)</f>
        <v/>
      </c>
      <c r="AJ17" s="1" t="str">
        <f>IF(Projets!AF25="","",Projets!AF25)</f>
        <v/>
      </c>
      <c r="AK17" s="1" t="str">
        <f>IF(Projets!AG25="","",Projets!AG25)</f>
        <v/>
      </c>
    </row>
    <row r="18" spans="1:37" s="1" customFormat="1" ht="13.5" customHeight="1" x14ac:dyDescent="0.25">
      <c r="A18" s="93"/>
      <c r="B18" s="1295"/>
      <c r="C18" s="1295"/>
      <c r="D18" s="1295"/>
      <c r="E18" s="1295"/>
      <c r="F18" s="1295"/>
      <c r="G18" s="341" t="s">
        <v>1978</v>
      </c>
      <c r="H18" s="341" t="s">
        <v>1957</v>
      </c>
      <c r="I18" s="742" t="str">
        <f>IF(Projets!D61=1,"Décidé",IF(Projets!C61=1,"Sélectionné",""))</f>
        <v/>
      </c>
      <c r="J18" s="425"/>
      <c r="K18" s="481" t="str">
        <f>IF(Projets!G61="","",Projets!G61)</f>
        <v>5E01</v>
      </c>
      <c r="L18" s="481">
        <f>ES5E01</f>
        <v>1</v>
      </c>
      <c r="M18" s="481">
        <f>IF(Projets!I61="","",Projets!I61)</f>
        <v>4</v>
      </c>
      <c r="N18" s="481" t="str">
        <f>IF(Projets!J61="","",Projets!J61)</f>
        <v>5E02</v>
      </c>
      <c r="O18" s="481">
        <f>ES5E02</f>
        <v>1</v>
      </c>
      <c r="P18" s="481">
        <f>IF(Projets!L61="","",Projets!L61)</f>
        <v>4</v>
      </c>
      <c r="Q18" s="481" t="str">
        <f>IF(Projets!M61="","",Projets!M61)</f>
        <v>5E03</v>
      </c>
      <c r="R18" s="481">
        <f>ES5E03</f>
        <v>1</v>
      </c>
      <c r="S18" s="481">
        <f>IF(Projets!O61="","",Projets!O61)</f>
        <v>4</v>
      </c>
      <c r="T18" s="481" t="str">
        <f>IF(Projets!P61="","",Projets!P61)</f>
        <v>5E04</v>
      </c>
      <c r="U18" s="481">
        <f>ES5E04</f>
        <v>1</v>
      </c>
      <c r="V18" s="481">
        <f>IF(Projets!R61="","",Projets!R61)</f>
        <v>4</v>
      </c>
      <c r="W18" s="481" t="str">
        <f>IF(Projets!S61="","",Projets!S61)</f>
        <v/>
      </c>
      <c r="X18" s="481" t="str">
        <f>IF(Projets!T61="","",Projets!T61)</f>
        <v/>
      </c>
      <c r="Y18" s="481" t="str">
        <f>IF(Projets!U61="","",Projets!U61)</f>
        <v/>
      </c>
      <c r="Z18" s="481" t="str">
        <f>IF(Projets!V61="","",Projets!V61)</f>
        <v/>
      </c>
      <c r="AA18" s="481" t="str">
        <f>IF(Projets!W61="","",Projets!W61)</f>
        <v/>
      </c>
      <c r="AB18" s="481" t="str">
        <f>IF(Projets!X61="","",Projets!X61)</f>
        <v/>
      </c>
      <c r="AC18" s="481" t="str">
        <f>IF(Projets!Y61="","",Projets!Y61)</f>
        <v/>
      </c>
      <c r="AD18" s="481" t="str">
        <f>IF(Projets!Z61="","",Projets!Z61)</f>
        <v/>
      </c>
      <c r="AE18" s="481" t="str">
        <f>IF(Projets!AA61="","",Projets!AA61)</f>
        <v/>
      </c>
      <c r="AF18" s="481" t="str">
        <f>IF(Projets!AB61="","",Projets!AB61)</f>
        <v/>
      </c>
      <c r="AG18" s="481" t="str">
        <f>IF(Projets!AC61="","",Projets!AC61)</f>
        <v/>
      </c>
      <c r="AH18" s="481" t="str">
        <f>IF(Projets!AD61="","",Projets!AD61)</f>
        <v/>
      </c>
      <c r="AI18" s="1" t="str">
        <f>IF(Projets!AE61="","",Projets!AE61)</f>
        <v/>
      </c>
      <c r="AJ18" s="1" t="str">
        <f>IF(Projets!AF61="","",Projets!AF61)</f>
        <v/>
      </c>
      <c r="AK18" s="1" t="str">
        <f>IF(Projets!AG61="","",Projets!AG61)</f>
        <v/>
      </c>
    </row>
    <row r="19" spans="1:37" x14ac:dyDescent="0.25">
      <c r="A19" s="91"/>
      <c r="B19" s="114"/>
      <c r="C19" s="114"/>
      <c r="D19" s="114"/>
      <c r="E19" s="114"/>
      <c r="F19" s="114"/>
      <c r="G19" s="341" t="s">
        <v>1973</v>
      </c>
      <c r="H19" s="341" t="s">
        <v>1618</v>
      </c>
      <c r="I19" s="313" t="str">
        <f>IF(Projets!D42=1,"Décidé",IF(Projets!C42=1,"Sélectionné",""))</f>
        <v/>
      </c>
      <c r="J19" s="425"/>
      <c r="K19" s="481" t="str">
        <f>IF(Projets!G42="","",Projets!G42)</f>
        <v>5B02</v>
      </c>
      <c r="L19" s="481">
        <f>ES5B02</f>
        <v>1</v>
      </c>
      <c r="M19" s="481">
        <f>IF(Projets!I42="","",Projets!I42)</f>
        <v>4</v>
      </c>
      <c r="N19" s="481" t="str">
        <f>IF(Projets!J42="","",Projets!J42)</f>
        <v/>
      </c>
      <c r="O19" s="481" t="str">
        <f>IF(Projets!K42="","",Projets!K42)</f>
        <v/>
      </c>
      <c r="P19" s="481" t="str">
        <f>IF(Projets!L42="","",Projets!L42)</f>
        <v/>
      </c>
      <c r="Q19" s="481" t="str">
        <f>IF(Projets!M42="","",Projets!M42)</f>
        <v/>
      </c>
      <c r="R19" s="481" t="str">
        <f>IF(Projets!N42="","",Projets!N42)</f>
        <v/>
      </c>
      <c r="S19" s="481" t="str">
        <f>IF(Projets!O42="","",Projets!O42)</f>
        <v/>
      </c>
      <c r="T19" s="481" t="str">
        <f>IF(Projets!P42="","",Projets!P42)</f>
        <v/>
      </c>
      <c r="U19" s="481" t="str">
        <f>IF(Projets!Q42="","",Projets!Q42)</f>
        <v/>
      </c>
      <c r="V19" s="481" t="str">
        <f>IF(Projets!R42="","",Projets!R42)</f>
        <v/>
      </c>
      <c r="W19" s="481" t="str">
        <f>IF(Projets!S42="","",Projets!S42)</f>
        <v/>
      </c>
      <c r="X19" s="481" t="str">
        <f>IF(Projets!T42="","",Projets!T42)</f>
        <v/>
      </c>
      <c r="Y19" s="481" t="str">
        <f>IF(Projets!U42="","",Projets!U42)</f>
        <v/>
      </c>
      <c r="Z19" s="481" t="str">
        <f>IF(Projets!V42="","",Projets!V42)</f>
        <v/>
      </c>
      <c r="AA19" s="481" t="str">
        <f>IF(Projets!W42="","",Projets!W42)</f>
        <v/>
      </c>
      <c r="AB19" s="481" t="str">
        <f>IF(Projets!X42="","",Projets!X42)</f>
        <v/>
      </c>
      <c r="AC19" s="481" t="str">
        <f>IF(Projets!Y42="","",Projets!Y42)</f>
        <v/>
      </c>
      <c r="AD19" s="481" t="str">
        <f>IF(Projets!Z42="","",Projets!Z42)</f>
        <v/>
      </c>
      <c r="AE19" s="481" t="str">
        <f>IF(Projets!AA42="","",Projets!AA42)</f>
        <v/>
      </c>
      <c r="AF19" s="481" t="str">
        <f>IF(Projets!AB42="","",Projets!AB42)</f>
        <v/>
      </c>
      <c r="AG19" s="481" t="str">
        <f>IF(Projets!AC42="","",Projets!AC42)</f>
        <v/>
      </c>
      <c r="AH19" s="481" t="str">
        <f>IF(Projets!AD42="","",Projets!AD42)</f>
        <v/>
      </c>
      <c r="AI19" t="str">
        <f>IF(Projets!AE42="","",Projets!AE42)</f>
        <v/>
      </c>
      <c r="AJ19" t="str">
        <f>IF(Projets!AF42="","",Projets!AF42)</f>
        <v/>
      </c>
      <c r="AK19" t="str">
        <f>IF(Projets!AG42="","",Projets!AG42)</f>
        <v/>
      </c>
    </row>
    <row r="20" spans="1:37" x14ac:dyDescent="0.25">
      <c r="A20" s="91"/>
      <c r="B20" s="98"/>
      <c r="C20" s="98"/>
      <c r="D20" s="98"/>
      <c r="E20" s="98"/>
      <c r="F20" s="98"/>
      <c r="G20" s="341" t="s">
        <v>1975</v>
      </c>
      <c r="H20" s="341" t="s">
        <v>1956</v>
      </c>
      <c r="I20" s="313" t="str">
        <f>IF(Projets!D44=1,"Décidé",IF(Projets!C44=1,"Sélectionné",""))</f>
        <v/>
      </c>
      <c r="J20" s="425"/>
      <c r="K20" s="481" t="str">
        <f>IF(Projets!G44="","",Projets!G44)</f>
        <v>5B01</v>
      </c>
      <c r="L20" s="481">
        <f>ES5B01</f>
        <v>1</v>
      </c>
      <c r="M20" s="481">
        <f>IF(Projets!I44="","",Projets!I44)</f>
        <v>4</v>
      </c>
      <c r="N20" s="481" t="str">
        <f>IF(Projets!J44="","",Projets!J44)</f>
        <v/>
      </c>
      <c r="O20" s="481" t="str">
        <f>IF(Projets!K44="","",Projets!K44)</f>
        <v/>
      </c>
      <c r="P20" s="481" t="str">
        <f>IF(Projets!L44="","",Projets!L44)</f>
        <v/>
      </c>
      <c r="Q20" s="481" t="str">
        <f>IF(Projets!M44="","",Projets!M44)</f>
        <v/>
      </c>
      <c r="R20" s="481" t="str">
        <f>IF(Projets!N44="","",Projets!N44)</f>
        <v/>
      </c>
      <c r="S20" s="481" t="str">
        <f>IF(Projets!O44="","",Projets!O44)</f>
        <v/>
      </c>
      <c r="T20" s="481" t="str">
        <f>IF(Projets!P44="","",Projets!P44)</f>
        <v/>
      </c>
      <c r="U20" s="481" t="str">
        <f>IF(Projets!Q44="","",Projets!Q44)</f>
        <v/>
      </c>
      <c r="V20" s="481" t="str">
        <f>IF(Projets!R44="","",Projets!R44)</f>
        <v/>
      </c>
      <c r="W20" s="481" t="str">
        <f>IF(Projets!S44="","",Projets!S44)</f>
        <v/>
      </c>
      <c r="X20" s="481" t="str">
        <f>IF(Projets!T44="","",Projets!T44)</f>
        <v/>
      </c>
      <c r="Y20" s="481" t="str">
        <f>IF(Projets!U44="","",Projets!U44)</f>
        <v/>
      </c>
      <c r="Z20" s="481" t="str">
        <f>IF(Projets!V44="","",Projets!V44)</f>
        <v/>
      </c>
      <c r="AA20" s="481" t="str">
        <f>IF(Projets!W44="","",Projets!W44)</f>
        <v/>
      </c>
      <c r="AB20" s="481" t="str">
        <f>IF(Projets!X44="","",Projets!X44)</f>
        <v/>
      </c>
      <c r="AC20" s="481" t="str">
        <f>IF(Projets!Y44="","",Projets!Y44)</f>
        <v/>
      </c>
      <c r="AD20" s="481" t="str">
        <f>IF(Projets!Z44="","",Projets!Z44)</f>
        <v/>
      </c>
      <c r="AE20" s="481" t="str">
        <f>IF(Projets!AA44="","",Projets!AA44)</f>
        <v/>
      </c>
      <c r="AF20" s="481" t="str">
        <f>IF(Projets!AB44="","",Projets!AB44)</f>
        <v/>
      </c>
      <c r="AG20" s="481" t="str">
        <f>IF(Projets!AC44="","",Projets!AC44)</f>
        <v/>
      </c>
      <c r="AH20" s="481" t="str">
        <f>IF(Projets!AD44="","",Projets!AD44)</f>
        <v/>
      </c>
      <c r="AI20" t="str">
        <f>IF(Projets!AE44="","",Projets!AE44)</f>
        <v/>
      </c>
      <c r="AJ20" t="str">
        <f>IF(Projets!AF44="","",Projets!AF44)</f>
        <v/>
      </c>
      <c r="AK20" t="str">
        <f>IF(Projets!AG44="","",Projets!AG44)</f>
        <v/>
      </c>
    </row>
    <row r="21" spans="1:37" x14ac:dyDescent="0.25">
      <c r="A21" s="741"/>
      <c r="B21" s="98"/>
      <c r="C21" s="98"/>
      <c r="D21" s="98"/>
      <c r="E21" s="98"/>
      <c r="F21" s="98"/>
      <c r="G21" s="314" t="s">
        <v>1980</v>
      </c>
      <c r="H21" s="341" t="s">
        <v>1958</v>
      </c>
      <c r="I21" s="915" t="str">
        <f>IF(Projets!D59=1,"Décidé",IF(Projets!C59=1,"Sélectionné",""))</f>
        <v/>
      </c>
      <c r="J21" s="917"/>
      <c r="K21" s="916" t="str">
        <f>IF(Projets!G59="","",Projets!G59)</f>
        <v>5A03</v>
      </c>
      <c r="L21" s="916">
        <f>ES5A03</f>
        <v>1</v>
      </c>
      <c r="M21" s="916">
        <f>IF(Projets!I59="","",Projets!I59)</f>
        <v>4</v>
      </c>
      <c r="N21" s="916" t="str">
        <f>IF(Projets!J59="","",Projets!J59)</f>
        <v/>
      </c>
      <c r="O21" s="916" t="str">
        <f>IF(Projets!K59="","",Projets!K59)</f>
        <v/>
      </c>
      <c r="P21" s="916" t="str">
        <f>IF(Projets!L59="","",Projets!L59)</f>
        <v/>
      </c>
      <c r="Q21" s="916" t="str">
        <f>IF(Projets!M59="","",Projets!M59)</f>
        <v/>
      </c>
      <c r="R21" s="916" t="str">
        <f>IF(Projets!N59="","",Projets!N59)</f>
        <v/>
      </c>
      <c r="S21" s="916" t="str">
        <f>IF(Projets!O59="","",Projets!O59)</f>
        <v/>
      </c>
      <c r="T21" s="916" t="str">
        <f>IF(Projets!P59="","",Projets!P59)</f>
        <v/>
      </c>
      <c r="U21" s="916" t="str">
        <f>IF(Projets!Q59="","",Projets!Q59)</f>
        <v/>
      </c>
      <c r="V21" s="916" t="str">
        <f>IF(Projets!R59="","",Projets!R59)</f>
        <v/>
      </c>
      <c r="W21" s="916" t="str">
        <f>IF(Projets!S59="","",Projets!S59)</f>
        <v/>
      </c>
      <c r="X21" s="916" t="str">
        <f>IF(Projets!T59="","",Projets!T59)</f>
        <v/>
      </c>
      <c r="Y21" s="916" t="str">
        <f>IF(Projets!U59="","",Projets!U59)</f>
        <v/>
      </c>
      <c r="Z21" s="916" t="str">
        <f>IF(Projets!V59="","",Projets!V59)</f>
        <v/>
      </c>
      <c r="AA21" s="916" t="str">
        <f>IF(Projets!W59="","",Projets!W59)</f>
        <v/>
      </c>
      <c r="AB21" s="916" t="str">
        <f>IF(Projets!X59="","",Projets!X59)</f>
        <v/>
      </c>
      <c r="AC21" s="916" t="str">
        <f>IF(Projets!Y59="","",Projets!Y59)</f>
        <v/>
      </c>
      <c r="AD21" s="916" t="str">
        <f>IF(Projets!Z59="","",Projets!Z59)</f>
        <v/>
      </c>
      <c r="AE21" s="916" t="str">
        <f>IF(Projets!AA59="","",Projets!AA59)</f>
        <v/>
      </c>
      <c r="AF21" s="916" t="str">
        <f>IF(Projets!AB59="","",Projets!AB59)</f>
        <v/>
      </c>
      <c r="AG21" s="916" t="str">
        <f>IF(Projets!AC59="","",Projets!AC59)</f>
        <v/>
      </c>
      <c r="AH21" s="916" t="str">
        <f>IF(Projets!AD59="","",Projets!AD59)</f>
        <v/>
      </c>
      <c r="AI21" t="str">
        <f>IF(Projets!AE59="","",Projets!AE59)</f>
        <v/>
      </c>
      <c r="AJ21" t="str">
        <f>IF(Projets!AF59="","",Projets!AF59)</f>
        <v/>
      </c>
      <c r="AK21" t="str">
        <f>IF(Projets!AG59="","",Projets!AG59)</f>
        <v/>
      </c>
    </row>
    <row r="22" spans="1:37" x14ac:dyDescent="0.25">
      <c r="A22" s="741"/>
      <c r="B22" s="98"/>
      <c r="C22" s="98"/>
      <c r="D22" s="98"/>
      <c r="E22" s="98"/>
      <c r="F22" s="98"/>
      <c r="G22" s="759" t="s">
        <v>1977</v>
      </c>
      <c r="H22" s="341" t="s">
        <v>398</v>
      </c>
      <c r="I22" s="915" t="str">
        <f>IF(Projets!D60=1,"Décidé",IF(Projets!C60=1,"Sélectionné",""))</f>
        <v/>
      </c>
      <c r="J22" s="917"/>
      <c r="K22" s="916" t="str">
        <f>IF(Projets!G60="","",Projets!G60)</f>
        <v>5A04</v>
      </c>
      <c r="L22" s="916">
        <f>ES5A04</f>
        <v>1</v>
      </c>
      <c r="M22" s="916">
        <f>IF(Projets!I60="","",Projets!I60)</f>
        <v>4</v>
      </c>
      <c r="N22" s="916" t="str">
        <f>IF(Projets!J60="","",Projets!J60)</f>
        <v/>
      </c>
      <c r="O22" s="916" t="str">
        <f>IF(Projets!K60="","",Projets!K60)</f>
        <v/>
      </c>
      <c r="P22" s="916" t="str">
        <f>IF(Projets!L60="","",Projets!L60)</f>
        <v/>
      </c>
      <c r="Q22" s="916" t="str">
        <f>IF(Projets!M60="","",Projets!M60)</f>
        <v/>
      </c>
      <c r="R22" s="916" t="str">
        <f>IF(Projets!N60="","",Projets!N60)</f>
        <v/>
      </c>
      <c r="S22" s="916" t="str">
        <f>IF(Projets!O60="","",Projets!O60)</f>
        <v/>
      </c>
      <c r="T22" s="916" t="str">
        <f>IF(Projets!P60="","",Projets!P60)</f>
        <v/>
      </c>
      <c r="U22" s="916" t="str">
        <f>IF(Projets!Q60="","",Projets!Q60)</f>
        <v/>
      </c>
      <c r="V22" s="916" t="str">
        <f>IF(Projets!R60="","",Projets!R60)</f>
        <v/>
      </c>
      <c r="W22" s="916" t="str">
        <f>IF(Projets!S60="","",Projets!S60)</f>
        <v/>
      </c>
      <c r="X22" s="916" t="str">
        <f>IF(Projets!T60="","",Projets!T60)</f>
        <v/>
      </c>
      <c r="Y22" s="916" t="str">
        <f>IF(Projets!U60="","",Projets!U60)</f>
        <v/>
      </c>
      <c r="Z22" s="916" t="str">
        <f>IF(Projets!V60="","",Projets!V60)</f>
        <v/>
      </c>
      <c r="AA22" s="916" t="str">
        <f>IF(Projets!W60="","",Projets!W60)</f>
        <v/>
      </c>
      <c r="AB22" s="916" t="str">
        <f>IF(Projets!X60="","",Projets!X60)</f>
        <v/>
      </c>
      <c r="AC22" s="916" t="str">
        <f>IF(Projets!Y60="","",Projets!Y60)</f>
        <v/>
      </c>
      <c r="AD22" s="916" t="str">
        <f>IF(Projets!Z60="","",Projets!Z60)</f>
        <v/>
      </c>
      <c r="AE22" s="916" t="str">
        <f>IF(Projets!AA60="","",Projets!AA60)</f>
        <v/>
      </c>
      <c r="AF22" s="916" t="str">
        <f>IF(Projets!AB60="","",Projets!AB60)</f>
        <v/>
      </c>
      <c r="AG22" s="916" t="str">
        <f>IF(Projets!AC60="","",Projets!AC60)</f>
        <v/>
      </c>
      <c r="AH22" s="916" t="str">
        <f>IF(Projets!AD60="","",Projets!AD60)</f>
        <v/>
      </c>
      <c r="AI22" t="str">
        <f>IF(Projets!AE60="","",Projets!AE60)</f>
        <v/>
      </c>
      <c r="AJ22" t="str">
        <f>IF(Projets!AF60="","",Projets!AF60)</f>
        <v/>
      </c>
      <c r="AK22" t="str">
        <f>IF(Projets!AG60="","",Projets!AG60)</f>
        <v/>
      </c>
    </row>
    <row r="23" spans="1:37" x14ac:dyDescent="0.25">
      <c r="A23" s="741"/>
      <c r="B23" s="98"/>
      <c r="C23" s="98"/>
      <c r="D23" s="98"/>
      <c r="E23" s="98"/>
      <c r="F23" s="98"/>
      <c r="G23" s="314" t="s">
        <v>1999</v>
      </c>
      <c r="H23" s="341" t="s">
        <v>1998</v>
      </c>
      <c r="I23" s="915" t="str">
        <f>IF(Projets!D51=1,"Décidé",IF(Projets!C51=1,"Sélectionné",""))</f>
        <v/>
      </c>
      <c r="J23" s="917"/>
      <c r="K23" s="916" t="str">
        <f>IF(Projets!G51="","",Projets!G51)</f>
        <v>5A02</v>
      </c>
      <c r="L23" s="916">
        <f>ES5A02</f>
        <v>1</v>
      </c>
      <c r="M23" s="916">
        <f>IF(Projets!I51="","",Projets!I51)</f>
        <v>4</v>
      </c>
      <c r="N23" s="916" t="str">
        <f>IF(Projets!J51="","",Projets!J51)</f>
        <v/>
      </c>
      <c r="O23" s="916" t="str">
        <f>IF(Projets!K51="","",Projets!K51)</f>
        <v/>
      </c>
      <c r="P23" s="916" t="str">
        <f>IF(Projets!L51="","",Projets!L51)</f>
        <v/>
      </c>
      <c r="Q23" s="916" t="str">
        <f>IF(Projets!M51="","",Projets!M51)</f>
        <v/>
      </c>
      <c r="R23" s="916" t="str">
        <f>IF(Projets!N51="","",Projets!N51)</f>
        <v/>
      </c>
      <c r="S23" s="916" t="str">
        <f>IF(Projets!O51="","",Projets!O51)</f>
        <v/>
      </c>
      <c r="T23" s="916" t="str">
        <f>IF(Projets!P51="","",Projets!P51)</f>
        <v/>
      </c>
      <c r="U23" s="916" t="str">
        <f>IF(Projets!Q51="","",Projets!Q51)</f>
        <v/>
      </c>
      <c r="V23" s="916" t="str">
        <f>IF(Projets!R51="","",Projets!R51)</f>
        <v/>
      </c>
      <c r="W23" s="916" t="str">
        <f>IF(Projets!S51="","",Projets!S51)</f>
        <v/>
      </c>
      <c r="X23" s="916" t="str">
        <f>IF(Projets!T51="","",Projets!T51)</f>
        <v/>
      </c>
      <c r="Y23" s="916" t="str">
        <f>IF(Projets!U51="","",Projets!U51)</f>
        <v/>
      </c>
      <c r="Z23" s="916" t="str">
        <f>IF(Projets!V51="","",Projets!V51)</f>
        <v/>
      </c>
      <c r="AA23" s="916" t="str">
        <f>IF(Projets!W51="","",Projets!W51)</f>
        <v/>
      </c>
      <c r="AB23" s="916" t="str">
        <f>IF(Projets!X51="","",Projets!X51)</f>
        <v/>
      </c>
      <c r="AC23" s="916" t="str">
        <f>IF(Projets!Y51="","",Projets!Y51)</f>
        <v/>
      </c>
      <c r="AD23" s="916" t="str">
        <f>IF(Projets!Z51="","",Projets!Z51)</f>
        <v/>
      </c>
      <c r="AE23" s="916" t="str">
        <f>IF(Projets!AA51="","",Projets!AA51)</f>
        <v/>
      </c>
      <c r="AF23" s="916" t="str">
        <f>IF(Projets!AB51="","",Projets!AB51)</f>
        <v/>
      </c>
      <c r="AG23" s="916" t="str">
        <f>IF(Projets!AC51="","",Projets!AC51)</f>
        <v/>
      </c>
      <c r="AH23" s="916" t="str">
        <f>IF(Projets!AD51="","",Projets!AD51)</f>
        <v/>
      </c>
      <c r="AI23" t="str">
        <f>IF(Projets!AE51="","",Projets!AE51)</f>
        <v/>
      </c>
      <c r="AJ23" t="str">
        <f>IF(Projets!AF51="","",Projets!AF51)</f>
        <v/>
      </c>
      <c r="AK23" t="str">
        <f>IF(Projets!AG51="","",Projets!AG51)</f>
        <v/>
      </c>
    </row>
    <row r="24" spans="1:37" x14ac:dyDescent="0.25">
      <c r="A24" s="91"/>
      <c r="B24" s="98"/>
      <c r="C24" s="98"/>
      <c r="D24" s="98"/>
      <c r="E24" s="98"/>
      <c r="F24" s="98"/>
      <c r="G24" s="914" t="s">
        <v>1992</v>
      </c>
      <c r="H24" s="341" t="s">
        <v>1991</v>
      </c>
      <c r="I24" s="313" t="str">
        <f>IF(Projets!D54=1,"Décidé",IF(Projets!C54=1,"Sélectionné",""))</f>
        <v/>
      </c>
      <c r="J24" s="425"/>
      <c r="K24" s="481" t="str">
        <f>IF(Projets!G54="","",Projets!G54)</f>
        <v>5A01</v>
      </c>
      <c r="L24" s="481">
        <f>ES5A01</f>
        <v>1</v>
      </c>
      <c r="M24" s="481">
        <f>IF(Projets!I54="","",Projets!I54)</f>
        <v>4</v>
      </c>
      <c r="N24" s="481" t="str">
        <f>IF(Projets!J54="","",Projets!J54)</f>
        <v/>
      </c>
      <c r="O24" s="481" t="str">
        <f>IF(Projets!K54="","",Projets!K54)</f>
        <v/>
      </c>
      <c r="P24" s="481" t="str">
        <f>IF(Projets!L54="","",Projets!L54)</f>
        <v/>
      </c>
      <c r="Q24" s="481" t="str">
        <f>IF(Projets!M54="","",Projets!M54)</f>
        <v/>
      </c>
      <c r="R24" s="481" t="str">
        <f>IF(Projets!N54="","",Projets!N54)</f>
        <v/>
      </c>
      <c r="S24" s="481" t="str">
        <f>IF(Projets!O54="","",Projets!O54)</f>
        <v/>
      </c>
      <c r="T24" s="481" t="str">
        <f>IF(Projets!P54="","",Projets!P54)</f>
        <v/>
      </c>
      <c r="U24" s="481" t="str">
        <f>IF(Projets!Q54="","",Projets!Q54)</f>
        <v/>
      </c>
      <c r="V24" s="481" t="str">
        <f>IF(Projets!R54="","",Projets!R54)</f>
        <v/>
      </c>
      <c r="W24" s="481" t="str">
        <f>IF(Projets!S54="","",Projets!S54)</f>
        <v/>
      </c>
      <c r="X24" s="481" t="str">
        <f>IF(Projets!T54="","",Projets!T54)</f>
        <v/>
      </c>
      <c r="Y24" s="481" t="str">
        <f>IF(Projets!U54="","",Projets!U54)</f>
        <v/>
      </c>
      <c r="Z24" s="481" t="str">
        <f>IF(Projets!V54="","",Projets!V54)</f>
        <v/>
      </c>
      <c r="AA24" s="481" t="str">
        <f>IF(Projets!W54="","",Projets!W54)</f>
        <v/>
      </c>
      <c r="AB24" s="481" t="str">
        <f>IF(Projets!X54="","",Projets!X54)</f>
        <v/>
      </c>
      <c r="AC24" s="481" t="str">
        <f>IF(Projets!Y54="","",Projets!Y54)</f>
        <v/>
      </c>
      <c r="AD24" s="481" t="str">
        <f>IF(Projets!Z54="","",Projets!Z54)</f>
        <v/>
      </c>
      <c r="AE24" s="481" t="str">
        <f>IF(Projets!AA54="","",Projets!AA54)</f>
        <v/>
      </c>
      <c r="AF24" s="481" t="str">
        <f>IF(Projets!AB54="","",Projets!AB54)</f>
        <v/>
      </c>
      <c r="AG24" s="481" t="str">
        <f>IF(Projets!AC54="","",Projets!AC54)</f>
        <v/>
      </c>
      <c r="AH24" s="481" t="str">
        <f>IF(Projets!AD54="","",Projets!AD54)</f>
        <v/>
      </c>
      <c r="AI24" t="str">
        <f>IF(Projets!AE54="","",Projets!AE54)</f>
        <v/>
      </c>
      <c r="AJ24" t="str">
        <f>IF(Projets!AF54="","",Projets!AF54)</f>
        <v/>
      </c>
      <c r="AK24" t="str">
        <f>IF(Projets!AG54="","",Projets!AG54)</f>
        <v/>
      </c>
    </row>
    <row r="25" spans="1:37" x14ac:dyDescent="0.25">
      <c r="A25" s="91"/>
      <c r="B25" s="98"/>
      <c r="C25" s="98"/>
      <c r="D25" s="98"/>
      <c r="E25" s="98"/>
      <c r="F25" s="98"/>
      <c r="G25" s="312" t="s">
        <v>6558</v>
      </c>
      <c r="H25" s="341" t="s">
        <v>6560</v>
      </c>
      <c r="I25" s="313" t="str">
        <f>IF(Projets!D36=1,"Décidé",IF(Projets!C36=1,"Sélectionné",""))</f>
        <v/>
      </c>
      <c r="J25" s="425"/>
      <c r="K25" s="481" t="str">
        <f>IF(Projets!G36="","",Projets!G36)</f>
        <v>3A08</v>
      </c>
      <c r="L25" s="481">
        <f>ES3A08</f>
        <v>0</v>
      </c>
      <c r="M25" s="481">
        <f>IF(Projets!I36="","",Projets!I36)</f>
        <v>4</v>
      </c>
      <c r="N25" s="481" t="str">
        <f>IF(Projets!J36="","",Projets!J36)</f>
        <v>4A11</v>
      </c>
      <c r="O25" s="481">
        <f>ES4A11</f>
        <v>1</v>
      </c>
      <c r="P25" s="481">
        <f>IF(Projets!L36="","",Projets!L36)</f>
        <v>4</v>
      </c>
      <c r="Q25" s="481" t="str">
        <f>IF(Projets!M36="","",Projets!M36)</f>
        <v/>
      </c>
      <c r="R25" s="481" t="str">
        <f>IF(Projets!N36="","",Projets!N36)</f>
        <v/>
      </c>
      <c r="S25" s="481" t="str">
        <f>IF(Projets!O36="","",Projets!O36)</f>
        <v/>
      </c>
      <c r="T25" s="481" t="str">
        <f>IF(Projets!P36="","",Projets!P36)</f>
        <v/>
      </c>
      <c r="U25" s="481" t="str">
        <f>IF(Projets!Q36="","",Projets!Q36)</f>
        <v/>
      </c>
      <c r="V25" s="481" t="str">
        <f>IF(Projets!R36="","",Projets!R36)</f>
        <v/>
      </c>
      <c r="W25" s="481" t="str">
        <f>IF(Projets!S36="","",Projets!S36)</f>
        <v/>
      </c>
      <c r="X25" s="481" t="str">
        <f>IF(Projets!T36="","",Projets!T36)</f>
        <v/>
      </c>
      <c r="Y25" s="481" t="str">
        <f>IF(Projets!U36="","",Projets!U36)</f>
        <v/>
      </c>
      <c r="Z25" s="481" t="str">
        <f>IF(Projets!V36="","",Projets!V36)</f>
        <v/>
      </c>
      <c r="AA25" s="481" t="str">
        <f>IF(Projets!W36="","",Projets!W36)</f>
        <v/>
      </c>
      <c r="AB25" s="481" t="str">
        <f>IF(Projets!X36="","",Projets!X36)</f>
        <v/>
      </c>
      <c r="AC25" s="481" t="str">
        <f>IF(Projets!Y36="","",Projets!Y36)</f>
        <v/>
      </c>
      <c r="AD25" s="481" t="str">
        <f>IF(Projets!Z36="","",Projets!Z36)</f>
        <v/>
      </c>
      <c r="AE25" s="481" t="str">
        <f>IF(Projets!AA36="","",Projets!AA36)</f>
        <v/>
      </c>
      <c r="AF25" s="481" t="str">
        <f>IF(Projets!AB36="","",Projets!AB36)</f>
        <v/>
      </c>
      <c r="AG25" s="481" t="str">
        <f>IF(Projets!AC36="","",Projets!AC36)</f>
        <v/>
      </c>
      <c r="AH25" s="481" t="str">
        <f>IF(Projets!AD36="","",Projets!AD36)</f>
        <v/>
      </c>
      <c r="AI25" t="str">
        <f>IF(Projets!AE36="","",Projets!AE36)</f>
        <v/>
      </c>
      <c r="AJ25" t="str">
        <f>IF(Projets!AF36="","",Projets!AF36)</f>
        <v/>
      </c>
      <c r="AK25" t="str">
        <f>IF(Projets!AG36="","",Projets!AG36)</f>
        <v/>
      </c>
    </row>
    <row r="26" spans="1:37" x14ac:dyDescent="0.25">
      <c r="A26" s="91"/>
      <c r="B26" s="98"/>
      <c r="C26" s="98"/>
      <c r="D26" s="98"/>
      <c r="E26" s="98"/>
      <c r="F26" s="98"/>
      <c r="G26" s="782" t="s">
        <v>6555</v>
      </c>
      <c r="H26" s="782" t="s">
        <v>547</v>
      </c>
      <c r="I26" s="313" t="str">
        <f>IF(Projets!D23=1,"Décidé",IF(Projets!C23=1,"Sélectionné",""))</f>
        <v/>
      </c>
      <c r="J26" s="425"/>
      <c r="K26" s="481" t="str">
        <f>IF(Projets!G23="","",Projets!G23)</f>
        <v>2B03</v>
      </c>
      <c r="L26" s="481">
        <f>ES2B03</f>
        <v>1</v>
      </c>
      <c r="M26" s="481">
        <f>IF(Projets!I23="","",Projets!I23)</f>
        <v>4</v>
      </c>
      <c r="N26" s="481" t="str">
        <f>IF(Projets!J23="","",Projets!J23)</f>
        <v/>
      </c>
      <c r="O26" s="481" t="str">
        <f>IF(Projets!K23="","",Projets!K23)</f>
        <v/>
      </c>
      <c r="P26" s="481" t="str">
        <f>IF(Projets!L23="","",Projets!L23)</f>
        <v/>
      </c>
      <c r="Q26" s="481" t="str">
        <f>IF(Projets!M23="","",Projets!M23)</f>
        <v/>
      </c>
      <c r="R26" s="481" t="str">
        <f>IF(Projets!N23="","",Projets!N23)</f>
        <v/>
      </c>
      <c r="S26" s="481" t="str">
        <f>IF(Projets!O23="","",Projets!O23)</f>
        <v/>
      </c>
      <c r="T26" s="481" t="str">
        <f>IF(Projets!P23="","",Projets!P23)</f>
        <v/>
      </c>
      <c r="U26" s="481" t="str">
        <f>IF(Projets!Q23="","",Projets!Q23)</f>
        <v/>
      </c>
      <c r="V26" s="481" t="str">
        <f>IF(Projets!R23="","",Projets!R23)</f>
        <v/>
      </c>
      <c r="W26" s="481" t="str">
        <f>IF(Projets!S23="","",Projets!S23)</f>
        <v/>
      </c>
      <c r="X26" s="481" t="str">
        <f>IF(Projets!T23="","",Projets!T23)</f>
        <v/>
      </c>
      <c r="Y26" s="481" t="str">
        <f>IF(Projets!U23="","",Projets!U23)</f>
        <v/>
      </c>
      <c r="Z26" s="481" t="str">
        <f>IF(Projets!V23="","",Projets!V23)</f>
        <v/>
      </c>
      <c r="AA26" s="481" t="str">
        <f>IF(Projets!W23="","",Projets!W23)</f>
        <v/>
      </c>
      <c r="AB26" s="481" t="str">
        <f>IF(Projets!X23="","",Projets!X23)</f>
        <v/>
      </c>
      <c r="AC26" s="481" t="str">
        <f>IF(Projets!Y23="","",Projets!Y23)</f>
        <v/>
      </c>
      <c r="AD26" s="481" t="str">
        <f>IF(Projets!Z23="","",Projets!Z23)</f>
        <v/>
      </c>
      <c r="AE26" s="481" t="str">
        <f>IF(Projets!AA23="","",Projets!AA23)</f>
        <v/>
      </c>
      <c r="AF26" s="481" t="str">
        <f>IF(Projets!AB23="","",Projets!AB23)</f>
        <v/>
      </c>
      <c r="AG26" s="481" t="str">
        <f>IF(Projets!AC23="","",Projets!AC23)</f>
        <v/>
      </c>
      <c r="AH26" s="481" t="str">
        <f>IF(Projets!AD23="","",Projets!AD23)</f>
        <v/>
      </c>
      <c r="AI26" t="str">
        <f>IF(Projets!AE23="","",Projets!AE23)</f>
        <v/>
      </c>
      <c r="AJ26" t="str">
        <f>IF(Projets!AF23="","",Projets!AF23)</f>
        <v/>
      </c>
      <c r="AK26" t="str">
        <f>IF(Projets!AG23="","",Projets!AG23)</f>
        <v/>
      </c>
    </row>
    <row r="27" spans="1:37" s="1" customFormat="1" ht="21" customHeight="1" x14ac:dyDescent="0.25">
      <c r="A27" s="180" t="s">
        <v>6336</v>
      </c>
      <c r="B27" s="775" t="s">
        <v>4585</v>
      </c>
      <c r="C27" s="783"/>
      <c r="D27" s="783"/>
      <c r="E27" s="783"/>
      <c r="F27" s="783"/>
      <c r="G27" s="784"/>
      <c r="H27" s="821"/>
      <c r="I27" s="665"/>
      <c r="J27" s="426"/>
      <c r="K27" s="479"/>
      <c r="L27" s="479"/>
      <c r="M27" s="479"/>
      <c r="N27" s="479"/>
      <c r="O27" s="479"/>
      <c r="P27" s="479"/>
      <c r="Q27" s="479"/>
      <c r="R27" s="479"/>
      <c r="S27" s="479"/>
      <c r="T27" s="479"/>
      <c r="U27" s="479"/>
      <c r="V27" s="479"/>
      <c r="W27" s="479"/>
      <c r="X27" s="479"/>
      <c r="Y27" s="479"/>
      <c r="Z27" s="479"/>
      <c r="AA27" s="479"/>
      <c r="AB27" s="479"/>
      <c r="AC27" s="479"/>
      <c r="AD27" s="479"/>
      <c r="AE27" s="479"/>
      <c r="AF27" s="479"/>
      <c r="AG27" s="479"/>
      <c r="AH27" s="479"/>
    </row>
    <row r="28" spans="1:37" s="1" customFormat="1" ht="12.75" customHeight="1" x14ac:dyDescent="0.25">
      <c r="A28" s="95"/>
      <c r="B28" s="1398">
        <f>COUNTIF(Scénarios!AB37:AB44,1)</f>
        <v>0</v>
      </c>
      <c r="C28" s="1408">
        <f>COUNTIF(Scénarios!AB37:AB44,2)</f>
        <v>0</v>
      </c>
      <c r="D28" s="1409">
        <f>COUNTIF(Scénarios!AB37:AB44,3)</f>
        <v>7</v>
      </c>
      <c r="E28" s="1407">
        <f>COUNTIF(Scénarios!AB37:AB44,4)</f>
        <v>0</v>
      </c>
      <c r="F28" s="1398">
        <f>SUM(B28:E28)</f>
        <v>7</v>
      </c>
      <c r="G28" s="747" t="s">
        <v>2100</v>
      </c>
      <c r="H28" s="312" t="s">
        <v>360</v>
      </c>
      <c r="I28" s="925" t="str">
        <f>IF(Projets!D22=1,"Décidé",IF(Projets!C22=1,"Sélectionné",""))</f>
        <v/>
      </c>
      <c r="J28" s="423"/>
      <c r="K28" s="481" t="str">
        <f>IF(Projets!G22="","",Projets!G22)</f>
        <v>2B01</v>
      </c>
      <c r="L28" s="481">
        <f>ES2B01</f>
        <v>1</v>
      </c>
      <c r="M28" s="481">
        <f>IF(Projets!I22="","",Projets!I22)</f>
        <v>4</v>
      </c>
      <c r="N28" s="481" t="str">
        <f>IF(Projets!J22="","",Projets!J22)</f>
        <v>2B02</v>
      </c>
      <c r="O28" s="481">
        <f>ES2B02</f>
        <v>1</v>
      </c>
      <c r="P28" s="481">
        <f>IF(Projets!L22="","",Projets!L22)</f>
        <v>4</v>
      </c>
      <c r="Q28" s="481" t="str">
        <f>IF(Projets!M22="","",Projets!M22)</f>
        <v/>
      </c>
      <c r="R28" s="481" t="str">
        <f>IF(Projets!N22="","",Projets!N22)</f>
        <v/>
      </c>
      <c r="S28" s="481" t="str">
        <f>IF(Projets!O22="","",Projets!O22)</f>
        <v/>
      </c>
      <c r="T28" s="481" t="str">
        <f>IF(Projets!P22="","",Projets!P22)</f>
        <v/>
      </c>
      <c r="U28" s="481" t="str">
        <f>IF(Projets!Q22="","",Projets!Q22)</f>
        <v/>
      </c>
      <c r="V28" s="481" t="str">
        <f>IF(Projets!R22="","",Projets!R22)</f>
        <v/>
      </c>
      <c r="W28" s="481" t="str">
        <f>IF(Projets!S22="","",Projets!S22)</f>
        <v/>
      </c>
      <c r="X28" s="481" t="str">
        <f>IF(Projets!T22="","",Projets!T22)</f>
        <v/>
      </c>
      <c r="Y28" s="481" t="str">
        <f>IF(Projets!U22="","",Projets!U22)</f>
        <v/>
      </c>
      <c r="Z28" s="481" t="str">
        <f>IF(Projets!V22="","",Projets!V22)</f>
        <v/>
      </c>
      <c r="AA28" s="481" t="str">
        <f>IF(Projets!W22="","",Projets!W22)</f>
        <v/>
      </c>
      <c r="AB28" s="481" t="str">
        <f>IF(Projets!X22="","",Projets!X22)</f>
        <v/>
      </c>
      <c r="AC28" s="481" t="str">
        <f>IF(Projets!Y22="","",Projets!Y22)</f>
        <v/>
      </c>
      <c r="AD28" s="481" t="str">
        <f>IF(Projets!Z22="","",Projets!Z22)</f>
        <v/>
      </c>
      <c r="AE28" s="481" t="str">
        <f>IF(Projets!AA22="","",Projets!AA22)</f>
        <v/>
      </c>
      <c r="AF28" s="481" t="str">
        <f>IF(Projets!AB22="","",Projets!AB22)</f>
        <v/>
      </c>
      <c r="AG28" s="481" t="str">
        <f>IF(Projets!AC22="","",Projets!AC22)</f>
        <v/>
      </c>
      <c r="AH28" s="481" t="str">
        <f>IF(Projets!AD22="","",Projets!AD22)</f>
        <v/>
      </c>
      <c r="AI28" s="1" t="str">
        <f>IF(Projets!AE22="","",Projets!AE22)</f>
        <v/>
      </c>
      <c r="AJ28" s="1" t="str">
        <f>IF(Projets!AF22="","",Projets!AF22)</f>
        <v/>
      </c>
      <c r="AK28" s="1" t="str">
        <f>IF(Projets!AG22="","",Projets!AG22)</f>
        <v/>
      </c>
    </row>
    <row r="29" spans="1:37" s="1" customFormat="1" ht="12" customHeight="1" x14ac:dyDescent="0.25">
      <c r="A29" s="91"/>
      <c r="B29" s="1294"/>
      <c r="C29" s="1294"/>
      <c r="D29" s="1294"/>
      <c r="E29" s="1294"/>
      <c r="F29" s="1294"/>
      <c r="G29" s="918" t="s">
        <v>1976</v>
      </c>
      <c r="H29" s="919" t="s">
        <v>731</v>
      </c>
      <c r="I29" s="925" t="str">
        <f>IF(Projets!D25=1,"Décidé",IF(Projets!C25=1,"Sélectionné",""))</f>
        <v/>
      </c>
      <c r="J29" s="423"/>
      <c r="K29" s="758" t="str">
        <f>IF(Projets!G25="","",Projets!G25)</f>
        <v>3A02</v>
      </c>
      <c r="L29" s="758">
        <f>ES3A02</f>
        <v>0</v>
      </c>
      <c r="M29" s="743">
        <f>IF(Projets!I25="","",Projets!I25)</f>
        <v>4</v>
      </c>
      <c r="N29" s="758" t="str">
        <f>IF(Projets!J25="","",Projets!J25)</f>
        <v>3A04</v>
      </c>
      <c r="O29" s="758">
        <f>ES3A04</f>
        <v>1</v>
      </c>
      <c r="P29" s="743">
        <f>IF(Projets!L25="","",Projets!L25)</f>
        <v>4</v>
      </c>
      <c r="Q29" s="758" t="str">
        <f>IF(Projets!M25="","",Projets!M25)</f>
        <v>3A06</v>
      </c>
      <c r="R29" s="758">
        <f>ES3A06</f>
        <v>0</v>
      </c>
      <c r="S29" s="743">
        <f>IF(Projets!O25="","",Projets!O25)</f>
        <v>4</v>
      </c>
      <c r="T29" s="758" t="str">
        <f>IF(Projets!P25="","",Projets!P25)</f>
        <v>3A07</v>
      </c>
      <c r="U29" s="758">
        <f>ES3A07</f>
        <v>0</v>
      </c>
      <c r="V29" s="743">
        <f>IF(Projets!R25="","",Projets!R25)</f>
        <v>4</v>
      </c>
      <c r="W29" s="481" t="str">
        <f>IF(Projets!S25="","",Projets!S25)</f>
        <v/>
      </c>
      <c r="X29" s="481" t="str">
        <f>IF(Projets!T25="","",Projets!T25)</f>
        <v/>
      </c>
      <c r="Y29" s="481" t="str">
        <f>IF(Projets!U25="","",Projets!U25)</f>
        <v/>
      </c>
      <c r="Z29" s="481" t="str">
        <f>IF(Projets!V25="","",Projets!V25)</f>
        <v/>
      </c>
      <c r="AA29" s="481" t="str">
        <f>IF(Projets!W25="","",Projets!W25)</f>
        <v/>
      </c>
      <c r="AB29" s="481" t="str">
        <f>IF(Projets!X25="","",Projets!X25)</f>
        <v/>
      </c>
      <c r="AC29" s="481" t="str">
        <f>IF(Projets!Y25="","",Projets!Y25)</f>
        <v/>
      </c>
      <c r="AD29" s="481" t="str">
        <f>IF(Projets!Z25="","",Projets!Z25)</f>
        <v/>
      </c>
      <c r="AE29" s="481" t="str">
        <f>IF(Projets!AA25="","",Projets!AA25)</f>
        <v/>
      </c>
      <c r="AF29" s="481" t="str">
        <f>IF(Projets!AB25="","",Projets!AB25)</f>
        <v/>
      </c>
      <c r="AG29" s="481" t="str">
        <f>IF(Projets!AC25="","",Projets!AC25)</f>
        <v/>
      </c>
      <c r="AH29" s="481" t="str">
        <f>IF(Projets!AD25="","",Projets!AD25)</f>
        <v/>
      </c>
      <c r="AI29" s="1" t="str">
        <f>IF(Projets!AE25="","",Projets!AE25)</f>
        <v/>
      </c>
      <c r="AJ29" s="1" t="str">
        <f>IF(Projets!AF25="","",Projets!AF25)</f>
        <v/>
      </c>
      <c r="AK29" s="1" t="str">
        <f>IF(Projets!AG25="","",Projets!AG25)</f>
        <v/>
      </c>
    </row>
    <row r="30" spans="1:37" s="1" customFormat="1" ht="12" customHeight="1" x14ac:dyDescent="0.25">
      <c r="A30" s="91"/>
      <c r="B30" s="1295"/>
      <c r="C30" s="1295"/>
      <c r="D30" s="1295"/>
      <c r="E30" s="1295"/>
      <c r="F30" s="1295"/>
      <c r="G30" s="314" t="s">
        <v>1973</v>
      </c>
      <c r="H30" s="919" t="s">
        <v>1618</v>
      </c>
      <c r="I30" s="925" t="str">
        <f>IF(Projets!D42=1,"Décidé",IF(Projets!C42=1,"Sélectionné",""))</f>
        <v/>
      </c>
      <c r="J30" s="423"/>
      <c r="K30" s="481" t="str">
        <f>IF(Projets!G42="","",Projets!G42)</f>
        <v>5B02</v>
      </c>
      <c r="L30" s="481">
        <f>ES5B02</f>
        <v>1</v>
      </c>
      <c r="M30" s="481">
        <f>IF(Projets!I42="","",Projets!I42)</f>
        <v>4</v>
      </c>
      <c r="N30" s="481" t="str">
        <f>IF(Projets!J42="","",Projets!J42)</f>
        <v/>
      </c>
      <c r="O30" s="481" t="str">
        <f>IF(Projets!K42="","",Projets!K42)</f>
        <v/>
      </c>
      <c r="P30" s="481" t="str">
        <f>IF(Projets!L42="","",Projets!L42)</f>
        <v/>
      </c>
      <c r="Q30" s="481" t="str">
        <f>IF(Projets!M42="","",Projets!M42)</f>
        <v/>
      </c>
      <c r="R30" s="481" t="str">
        <f>IF(Projets!N42="","",Projets!N42)</f>
        <v/>
      </c>
      <c r="S30" s="481" t="str">
        <f>IF(Projets!O42="","",Projets!O42)</f>
        <v/>
      </c>
      <c r="T30" s="481" t="str">
        <f>IF(Projets!P42="","",Projets!P42)</f>
        <v/>
      </c>
      <c r="U30" s="481" t="str">
        <f>IF(Projets!Q42="","",Projets!Q42)</f>
        <v/>
      </c>
      <c r="V30" s="481" t="str">
        <f>IF(Projets!R42="","",Projets!R42)</f>
        <v/>
      </c>
      <c r="W30" s="481" t="str">
        <f>IF(Projets!S42="","",Projets!S42)</f>
        <v/>
      </c>
      <c r="X30" s="481" t="str">
        <f>IF(Projets!T42="","",Projets!T42)</f>
        <v/>
      </c>
      <c r="Y30" s="481" t="str">
        <f>IF(Projets!U42="","",Projets!U42)</f>
        <v/>
      </c>
      <c r="Z30" s="481" t="str">
        <f>IF(Projets!V42="","",Projets!V42)</f>
        <v/>
      </c>
      <c r="AA30" s="481" t="str">
        <f>IF(Projets!W42="","",Projets!W42)</f>
        <v/>
      </c>
      <c r="AB30" s="481" t="str">
        <f>IF(Projets!X42="","",Projets!X42)</f>
        <v/>
      </c>
      <c r="AC30" s="481" t="str">
        <f>IF(Projets!Y42="","",Projets!Y42)</f>
        <v/>
      </c>
      <c r="AD30" s="481" t="str">
        <f>IF(Projets!Z42="","",Projets!Z42)</f>
        <v/>
      </c>
      <c r="AE30" s="481" t="str">
        <f>IF(Projets!AA42="","",Projets!AA42)</f>
        <v/>
      </c>
      <c r="AF30" s="481" t="str">
        <f>IF(Projets!AB42="","",Projets!AB42)</f>
        <v/>
      </c>
      <c r="AG30" s="481" t="str">
        <f>IF(Projets!AC42="","",Projets!AC42)</f>
        <v/>
      </c>
      <c r="AH30" s="481" t="str">
        <f>IF(Projets!AD42="","",Projets!AD42)</f>
        <v/>
      </c>
      <c r="AI30" s="1" t="str">
        <f>IF(Projets!AE42="","",Projets!AE42)</f>
        <v/>
      </c>
      <c r="AJ30" s="1" t="str">
        <f>IF(Projets!AF42="","",Projets!AF42)</f>
        <v/>
      </c>
      <c r="AK30" s="1" t="str">
        <f>IF(Projets!AG42="","",Projets!AG42)</f>
        <v/>
      </c>
    </row>
    <row r="31" spans="1:37" s="1" customFormat="1" ht="12" customHeight="1" x14ac:dyDescent="0.25">
      <c r="A31" s="741"/>
      <c r="B31" s="922"/>
      <c r="C31" s="922"/>
      <c r="D31" s="922"/>
      <c r="E31" s="922"/>
      <c r="F31" s="922"/>
      <c r="G31" s="748" t="s">
        <v>1975</v>
      </c>
      <c r="H31" s="919" t="s">
        <v>1956</v>
      </c>
      <c r="I31" s="925" t="str">
        <f>IF(Projets!D44=1,"Décidé",IF(Projets!C44=1,"Sélectionné",""))</f>
        <v/>
      </c>
      <c r="J31" s="920"/>
      <c r="K31" s="921" t="str">
        <f>IF(Projets!G44="","",Projets!G44)</f>
        <v>5B01</v>
      </c>
      <c r="L31" s="921">
        <f>ES5B01</f>
        <v>1</v>
      </c>
      <c r="M31" s="921">
        <f>IF(Projets!I44="","",Projets!I44)</f>
        <v>4</v>
      </c>
      <c r="N31" s="921" t="str">
        <f>IF(Projets!J44="","",Projets!J44)</f>
        <v/>
      </c>
      <c r="O31" s="921" t="str">
        <f>IF(Projets!K44="","",Projets!K44)</f>
        <v/>
      </c>
      <c r="P31" s="921" t="str">
        <f>IF(Projets!L44="","",Projets!L44)</f>
        <v/>
      </c>
      <c r="Q31" s="921" t="str">
        <f>IF(Projets!M44="","",Projets!M44)</f>
        <v/>
      </c>
      <c r="R31" s="921" t="str">
        <f>IF(Projets!N44="","",Projets!N44)</f>
        <v/>
      </c>
      <c r="S31" s="921" t="str">
        <f>IF(Projets!O44="","",Projets!O44)</f>
        <v/>
      </c>
      <c r="T31" s="921" t="str">
        <f>IF(Projets!P44="","",Projets!P44)</f>
        <v/>
      </c>
      <c r="U31" s="921" t="str">
        <f>IF(Projets!Q44="","",Projets!Q44)</f>
        <v/>
      </c>
      <c r="V31" s="921" t="str">
        <f>IF(Projets!R44="","",Projets!R44)</f>
        <v/>
      </c>
      <c r="W31" s="921" t="str">
        <f>IF(Projets!S44="","",Projets!S44)</f>
        <v/>
      </c>
      <c r="X31" s="921" t="str">
        <f>IF(Projets!T44="","",Projets!T44)</f>
        <v/>
      </c>
      <c r="Y31" s="921" t="str">
        <f>IF(Projets!U44="","",Projets!U44)</f>
        <v/>
      </c>
      <c r="Z31" s="921" t="str">
        <f>IF(Projets!V44="","",Projets!V44)</f>
        <v/>
      </c>
      <c r="AA31" s="921" t="str">
        <f>IF(Projets!W44="","",Projets!W44)</f>
        <v/>
      </c>
      <c r="AB31" s="921" t="str">
        <f>IF(Projets!X44="","",Projets!X44)</f>
        <v/>
      </c>
      <c r="AC31" s="921" t="str">
        <f>IF(Projets!Y44="","",Projets!Y44)</f>
        <v/>
      </c>
      <c r="AD31" s="921" t="str">
        <f>IF(Projets!Z44="","",Projets!Z44)</f>
        <v/>
      </c>
      <c r="AE31" s="921" t="str">
        <f>IF(Projets!AA44="","",Projets!AA44)</f>
        <v/>
      </c>
      <c r="AF31" s="921" t="str">
        <f>IF(Projets!AB44="","",Projets!AB44)</f>
        <v/>
      </c>
      <c r="AG31" s="921" t="str">
        <f>IF(Projets!AC44="","",Projets!AC44)</f>
        <v/>
      </c>
      <c r="AH31" s="921" t="str">
        <f>IF(Projets!AD44="","",Projets!AD44)</f>
        <v/>
      </c>
      <c r="AI31" s="1" t="str">
        <f>IF(Projets!AE44="","",Projets!AE44)</f>
        <v/>
      </c>
      <c r="AJ31" s="1" t="str">
        <f>IF(Projets!AF44="","",Projets!AF44)</f>
        <v/>
      </c>
      <c r="AK31" s="1" t="str">
        <f>IF(Projets!AG44="","",Projets!AG44)</f>
        <v/>
      </c>
    </row>
    <row r="32" spans="1:37" s="1" customFormat="1" ht="12" customHeight="1" x14ac:dyDescent="0.25">
      <c r="A32" s="741"/>
      <c r="B32" s="922"/>
      <c r="C32" s="922"/>
      <c r="D32" s="922"/>
      <c r="E32" s="922"/>
      <c r="F32" s="922"/>
      <c r="G32" s="341" t="s">
        <v>6290</v>
      </c>
      <c r="H32" s="919" t="s">
        <v>6291</v>
      </c>
      <c r="I32" s="925" t="str">
        <f>IF(Projets!D39=1,"Décidé",IF(Projets!C39=1,"Sélectionné",""))</f>
        <v/>
      </c>
      <c r="J32" s="920"/>
      <c r="K32" s="921" t="str">
        <f>IF(Projets!G39="","",Projets!G39)</f>
        <v>4A09</v>
      </c>
      <c r="L32" s="921">
        <f>ES4A09</f>
        <v>1</v>
      </c>
      <c r="M32" s="921">
        <f>IF(Projets!I39="","",Projets!I39)</f>
        <v>4</v>
      </c>
      <c r="N32" s="921" t="str">
        <f>IF(Projets!J39="","",Projets!J39)</f>
        <v>7B09</v>
      </c>
      <c r="O32" s="921">
        <f>ES7B09</f>
        <v>1</v>
      </c>
      <c r="P32" s="921">
        <f>IF(Projets!L39="","",Projets!L39)</f>
        <v>4</v>
      </c>
      <c r="Q32" s="921" t="str">
        <f>IF(Projets!M39="","",Projets!M39)</f>
        <v/>
      </c>
      <c r="R32" s="921" t="str">
        <f>IF(Projets!N39="","",Projets!N39)</f>
        <v/>
      </c>
      <c r="S32" s="921" t="str">
        <f>IF(Projets!O39="","",Projets!O39)</f>
        <v/>
      </c>
      <c r="T32" s="921" t="str">
        <f>IF(Projets!P39="","",Projets!P39)</f>
        <v/>
      </c>
      <c r="U32" s="921" t="str">
        <f>IF(Projets!Q39="","",Projets!Q39)</f>
        <v/>
      </c>
      <c r="V32" s="921" t="str">
        <f>IF(Projets!R39="","",Projets!R39)</f>
        <v/>
      </c>
      <c r="W32" s="921" t="str">
        <f>IF(Projets!S39="","",Projets!S39)</f>
        <v/>
      </c>
      <c r="X32" s="921" t="str">
        <f>IF(Projets!T39="","",Projets!T39)</f>
        <v/>
      </c>
      <c r="Y32" s="921" t="str">
        <f>IF(Projets!U39="","",Projets!U39)</f>
        <v/>
      </c>
      <c r="Z32" s="921" t="str">
        <f>IF(Projets!V39="","",Projets!V39)</f>
        <v/>
      </c>
      <c r="AA32" s="921" t="str">
        <f>IF(Projets!W39="","",Projets!W39)</f>
        <v/>
      </c>
      <c r="AB32" s="921" t="str">
        <f>IF(Projets!X39="","",Projets!X39)</f>
        <v/>
      </c>
      <c r="AC32" s="921" t="str">
        <f>IF(Projets!Y39="","",Projets!Y39)</f>
        <v/>
      </c>
      <c r="AD32" s="921" t="str">
        <f>IF(Projets!Z39="","",Projets!Z39)</f>
        <v/>
      </c>
      <c r="AE32" s="921" t="str">
        <f>IF(Projets!AA39="","",Projets!AA39)</f>
        <v/>
      </c>
      <c r="AF32" s="921" t="str">
        <f>IF(Projets!AB39="","",Projets!AB39)</f>
        <v/>
      </c>
      <c r="AG32" s="921" t="str">
        <f>IF(Projets!AC39="","",Projets!AC39)</f>
        <v/>
      </c>
      <c r="AH32" s="921" t="str">
        <f>IF(Projets!AD39="","",Projets!AD39)</f>
        <v/>
      </c>
      <c r="AI32" s="1" t="str">
        <f>IF(Projets!AE39="","",Projets!AE39)</f>
        <v/>
      </c>
      <c r="AJ32" s="1" t="str">
        <f>IF(Projets!AF39="","",Projets!AF39)</f>
        <v/>
      </c>
      <c r="AK32" s="1" t="str">
        <f>IF(Projets!AG39="","",Projets!AG39)</f>
        <v/>
      </c>
    </row>
    <row r="33" spans="1:37" s="1" customFormat="1" ht="12" customHeight="1" x14ac:dyDescent="0.25">
      <c r="A33" s="741"/>
      <c r="B33" s="922"/>
      <c r="C33" s="922"/>
      <c r="D33" s="922"/>
      <c r="E33" s="922"/>
      <c r="F33" s="922"/>
      <c r="G33" s="344" t="s">
        <v>4657</v>
      </c>
      <c r="H33" s="919" t="s">
        <v>4658</v>
      </c>
      <c r="I33" s="925" t="str">
        <f>IF(Projets!D49=1,"Décidé",IF(Projets!C49=1,"Sélectionné",""))</f>
        <v/>
      </c>
      <c r="J33" s="920"/>
      <c r="K33" s="921" t="str">
        <f>IF(Projets!G49="","",Projets!G49)</f>
        <v>2D05</v>
      </c>
      <c r="L33" s="921">
        <f>ES2D05</f>
        <v>1</v>
      </c>
      <c r="M33" s="921">
        <f>IF(Projets!I49="","",Projets!I49)</f>
        <v>4</v>
      </c>
      <c r="N33" s="921" t="str">
        <f>IF(Projets!J49="","",Projets!J49)</f>
        <v/>
      </c>
      <c r="O33" s="921" t="str">
        <f>IF(Projets!K49="","",Projets!K49)</f>
        <v/>
      </c>
      <c r="P33" s="921" t="str">
        <f>IF(Projets!L49="","",Projets!L49)</f>
        <v/>
      </c>
      <c r="Q33" s="921" t="str">
        <f>IF(Projets!M49="","",Projets!M49)</f>
        <v/>
      </c>
      <c r="R33" s="921" t="str">
        <f>IF(Projets!N49="","",Projets!N49)</f>
        <v/>
      </c>
      <c r="S33" s="921" t="str">
        <f>IF(Projets!O49="","",Projets!O49)</f>
        <v/>
      </c>
      <c r="T33" s="921" t="str">
        <f>IF(Projets!P49="","",Projets!P49)</f>
        <v/>
      </c>
      <c r="U33" s="921" t="str">
        <f>IF(Projets!Q49="","",Projets!Q49)</f>
        <v/>
      </c>
      <c r="V33" s="921" t="str">
        <f>IF(Projets!R49="","",Projets!R49)</f>
        <v/>
      </c>
      <c r="W33" s="921" t="str">
        <f>IF(Projets!S49="","",Projets!S49)</f>
        <v/>
      </c>
      <c r="X33" s="921" t="str">
        <f>IF(Projets!T49="","",Projets!T49)</f>
        <v/>
      </c>
      <c r="Y33" s="921" t="str">
        <f>IF(Projets!U49="","",Projets!U49)</f>
        <v/>
      </c>
      <c r="Z33" s="921" t="str">
        <f>IF(Projets!V49="","",Projets!V49)</f>
        <v/>
      </c>
      <c r="AA33" s="921" t="str">
        <f>IF(Projets!W49="","",Projets!W49)</f>
        <v/>
      </c>
      <c r="AB33" s="921" t="str">
        <f>IF(Projets!X49="","",Projets!X49)</f>
        <v/>
      </c>
      <c r="AC33" s="921" t="str">
        <f>IF(Projets!Y49="","",Projets!Y49)</f>
        <v/>
      </c>
      <c r="AD33" s="921" t="str">
        <f>IF(Projets!Z49="","",Projets!Z49)</f>
        <v/>
      </c>
      <c r="AE33" s="921" t="str">
        <f>IF(Projets!AA49="","",Projets!AA49)</f>
        <v/>
      </c>
      <c r="AF33" s="921" t="str">
        <f>IF(Projets!AB49="","",Projets!AB49)</f>
        <v/>
      </c>
      <c r="AG33" s="921" t="str">
        <f>IF(Projets!AC49="","",Projets!AC49)</f>
        <v/>
      </c>
      <c r="AH33" s="921" t="str">
        <f>IF(Projets!AD49="","",Projets!AD49)</f>
        <v/>
      </c>
      <c r="AI33" s="1" t="str">
        <f>IF(Projets!AE49="","",Projets!AE49)</f>
        <v/>
      </c>
      <c r="AJ33" s="1" t="str">
        <f>IF(Projets!AF49="","",Projets!AF49)</f>
        <v/>
      </c>
      <c r="AK33" s="1" t="str">
        <f>IF(Projets!AG49="","",Projets!AG49)</f>
        <v/>
      </c>
    </row>
    <row r="34" spans="1:37" s="1" customFormat="1" ht="12" customHeight="1" x14ac:dyDescent="0.25">
      <c r="A34" s="741"/>
      <c r="B34" s="922"/>
      <c r="C34" s="922"/>
      <c r="D34" s="922"/>
      <c r="E34" s="922"/>
      <c r="F34" s="922"/>
      <c r="G34" s="349" t="s">
        <v>6288</v>
      </c>
      <c r="H34" s="919" t="s">
        <v>6289</v>
      </c>
      <c r="I34" s="925" t="str">
        <f>IF(Projets!D47=1,"Décidé",IF(Projets!C47=1,"Sélectionné",""))</f>
        <v/>
      </c>
      <c r="J34" s="920"/>
      <c r="K34" s="921" t="str">
        <f>IF(Projets!G47="","",Projets!G47)</f>
        <v>4E03</v>
      </c>
      <c r="L34" s="921">
        <f>ES4E03</f>
        <v>1</v>
      </c>
      <c r="M34" s="921">
        <f>IF(Projets!I47="","",Projets!I47)</f>
        <v>4</v>
      </c>
      <c r="N34" s="921" t="str">
        <f>IF(Projets!J47="","",Projets!J47)</f>
        <v/>
      </c>
      <c r="O34" s="921" t="str">
        <f>IF(Projets!K47="","",Projets!K47)</f>
        <v/>
      </c>
      <c r="P34" s="921" t="str">
        <f>IF(Projets!L47="","",Projets!L47)</f>
        <v/>
      </c>
      <c r="Q34" s="921" t="str">
        <f>IF(Projets!M47="","",Projets!M47)</f>
        <v/>
      </c>
      <c r="R34" s="921" t="str">
        <f>IF(Projets!N47="","",Projets!N47)</f>
        <v/>
      </c>
      <c r="S34" s="921" t="str">
        <f>IF(Projets!O47="","",Projets!O47)</f>
        <v/>
      </c>
      <c r="T34" s="921" t="str">
        <f>IF(Projets!P47="","",Projets!P47)</f>
        <v/>
      </c>
      <c r="U34" s="921" t="str">
        <f>IF(Projets!Q47="","",Projets!Q47)</f>
        <v/>
      </c>
      <c r="V34" s="921" t="str">
        <f>IF(Projets!R47="","",Projets!R47)</f>
        <v/>
      </c>
      <c r="W34" s="921" t="str">
        <f>IF(Projets!S47="","",Projets!S47)</f>
        <v/>
      </c>
      <c r="X34" s="921" t="str">
        <f>IF(Projets!T47="","",Projets!T47)</f>
        <v/>
      </c>
      <c r="Y34" s="921" t="str">
        <f>IF(Projets!U47="","",Projets!U47)</f>
        <v/>
      </c>
      <c r="Z34" s="921" t="str">
        <f>IF(Projets!V47="","",Projets!V47)</f>
        <v/>
      </c>
      <c r="AA34" s="921" t="str">
        <f>IF(Projets!W47="","",Projets!W47)</f>
        <v/>
      </c>
      <c r="AB34" s="921" t="str">
        <f>IF(Projets!X47="","",Projets!X47)</f>
        <v/>
      </c>
      <c r="AC34" s="921" t="str">
        <f>IF(Projets!Y47="","",Projets!Y47)</f>
        <v/>
      </c>
      <c r="AD34" s="921" t="str">
        <f>IF(Projets!Z47="","",Projets!Z47)</f>
        <v/>
      </c>
      <c r="AE34" s="921" t="str">
        <f>IF(Projets!AA47="","",Projets!AA47)</f>
        <v/>
      </c>
      <c r="AF34" s="921" t="str">
        <f>IF(Projets!AB47="","",Projets!AB47)</f>
        <v/>
      </c>
      <c r="AG34" s="921" t="str">
        <f>IF(Projets!AC47="","",Projets!AC47)</f>
        <v/>
      </c>
      <c r="AH34" s="921" t="str">
        <f>IF(Projets!AD47="","",Projets!AD47)</f>
        <v/>
      </c>
      <c r="AI34" s="1" t="str">
        <f>IF(Projets!AE47="","",Projets!AE47)</f>
        <v/>
      </c>
      <c r="AJ34" s="1" t="str">
        <f>IF(Projets!AF47="","",Projets!AF47)</f>
        <v/>
      </c>
      <c r="AK34" s="1" t="str">
        <f>IF(Projets!AG47="","",Projets!AG47)</f>
        <v/>
      </c>
    </row>
    <row r="35" spans="1:37" s="1" customFormat="1" ht="12" customHeight="1" x14ac:dyDescent="0.25">
      <c r="A35" s="923"/>
      <c r="B35" s="924"/>
      <c r="C35" s="924"/>
      <c r="D35" s="924"/>
      <c r="E35" s="924"/>
      <c r="F35" s="924"/>
      <c r="G35" s="341" t="s">
        <v>6558</v>
      </c>
      <c r="H35" s="919" t="s">
        <v>6560</v>
      </c>
      <c r="I35" s="925" t="str">
        <f>IF(Projets!D36=1,"Décidé",IF(Projets!C36=1,"Sélectionné",""))</f>
        <v/>
      </c>
      <c r="J35" s="423"/>
      <c r="K35" s="481" t="str">
        <f>IF(Projets!G36="","",Projets!G36)</f>
        <v>3A08</v>
      </c>
      <c r="L35" s="481">
        <f>ES3A08</f>
        <v>0</v>
      </c>
      <c r="M35" s="481">
        <f>IF(Projets!I36="","",Projets!I36)</f>
        <v>4</v>
      </c>
      <c r="N35" s="481" t="str">
        <f>IF(Projets!J36="","",Projets!J36)</f>
        <v>4A11</v>
      </c>
      <c r="O35" s="481">
        <f>ES4A11</f>
        <v>1</v>
      </c>
      <c r="P35" s="481">
        <f>IF(Projets!L36="","",Projets!L36)</f>
        <v>4</v>
      </c>
      <c r="Q35" s="481" t="str">
        <f>IF(Projets!M36="","",Projets!M36)</f>
        <v/>
      </c>
      <c r="R35" s="481" t="str">
        <f>IF(Projets!N36="","",Projets!N36)</f>
        <v/>
      </c>
      <c r="S35" s="481" t="str">
        <f>IF(Projets!O36="","",Projets!O36)</f>
        <v/>
      </c>
      <c r="T35" s="481" t="str">
        <f>IF(Projets!P36="","",Projets!P36)</f>
        <v/>
      </c>
      <c r="U35" s="481" t="str">
        <f>IF(Projets!Q36="","",Projets!Q36)</f>
        <v/>
      </c>
      <c r="V35" s="481" t="str">
        <f>IF(Projets!R36="","",Projets!R36)</f>
        <v/>
      </c>
      <c r="W35" s="481" t="str">
        <f>IF(Projets!S36="","",Projets!S36)</f>
        <v/>
      </c>
      <c r="X35" s="481" t="str">
        <f>IF(Projets!T36="","",Projets!T36)</f>
        <v/>
      </c>
      <c r="Y35" s="481" t="str">
        <f>IF(Projets!U36="","",Projets!U36)</f>
        <v/>
      </c>
      <c r="Z35" s="481" t="str">
        <f>IF(Projets!V36="","",Projets!V36)</f>
        <v/>
      </c>
      <c r="AA35" s="481" t="str">
        <f>IF(Projets!W36="","",Projets!W36)</f>
        <v/>
      </c>
      <c r="AB35" s="481" t="str">
        <f>IF(Projets!X36="","",Projets!X36)</f>
        <v/>
      </c>
      <c r="AC35" s="481" t="str">
        <f>IF(Projets!Y36="","",Projets!Y36)</f>
        <v/>
      </c>
      <c r="AD35" s="481" t="str">
        <f>IF(Projets!Z36="","",Projets!Z36)</f>
        <v/>
      </c>
      <c r="AE35" s="481" t="str">
        <f>IF(Projets!AA36="","",Projets!AA36)</f>
        <v/>
      </c>
      <c r="AF35" s="481" t="str">
        <f>IF(Projets!AB36="","",Projets!AB36)</f>
        <v/>
      </c>
      <c r="AG35" s="481" t="str">
        <f>IF(Projets!AC36="","",Projets!AC36)</f>
        <v/>
      </c>
      <c r="AH35" s="481" t="str">
        <f>IF(Projets!AD36="","",Projets!AD36)</f>
        <v/>
      </c>
      <c r="AI35" s="1" t="str">
        <f>IF(Projets!AE36="","",Projets!AE36)</f>
        <v/>
      </c>
      <c r="AJ35" s="1" t="str">
        <f>IF(Projets!AF36="","",Projets!AF36)</f>
        <v/>
      </c>
      <c r="AK35" s="1" t="str">
        <f>IF(Projets!AG36="","",Projets!AG36)</f>
        <v/>
      </c>
    </row>
    <row r="36" spans="1:37" s="1" customFormat="1" ht="12" customHeight="1" x14ac:dyDescent="0.25">
      <c r="A36" s="91"/>
      <c r="B36" s="98"/>
      <c r="C36" s="98"/>
      <c r="D36" s="98"/>
      <c r="E36" s="98"/>
      <c r="F36" s="185"/>
      <c r="G36" s="341" t="s">
        <v>6555</v>
      </c>
      <c r="H36" s="919" t="s">
        <v>547</v>
      </c>
      <c r="I36" s="925" t="str">
        <f>IF(Projets!D23=1,"Décidé",IF(Projets!C23=1,"Sélectionné",""))</f>
        <v/>
      </c>
      <c r="J36" s="423"/>
      <c r="K36" s="481" t="str">
        <f>IF(Projets!G23="","",Projets!G23)</f>
        <v>2B03</v>
      </c>
      <c r="L36" s="481">
        <f>ES2B03</f>
        <v>1</v>
      </c>
      <c r="M36" s="481">
        <f>IF(Projets!I23="","",Projets!I23)</f>
        <v>4</v>
      </c>
      <c r="N36" s="481" t="str">
        <f>IF(Projets!J23="","",Projets!J23)</f>
        <v/>
      </c>
      <c r="O36" s="481" t="str">
        <f>IF(Projets!K23="","",Projets!K23)</f>
        <v/>
      </c>
      <c r="P36" s="481" t="str">
        <f>IF(Projets!L23="","",Projets!L23)</f>
        <v/>
      </c>
      <c r="Q36" s="481" t="str">
        <f>IF(Projets!M23="","",Projets!M23)</f>
        <v/>
      </c>
      <c r="R36" s="481" t="str">
        <f>IF(Projets!N23="","",Projets!N23)</f>
        <v/>
      </c>
      <c r="S36" s="481" t="str">
        <f>IF(Projets!O23="","",Projets!O23)</f>
        <v/>
      </c>
      <c r="T36" s="481" t="str">
        <f>IF(Projets!P23="","",Projets!P23)</f>
        <v/>
      </c>
      <c r="U36" s="481" t="str">
        <f>IF(Projets!Q23="","",Projets!Q23)</f>
        <v/>
      </c>
      <c r="V36" s="481" t="str">
        <f>IF(Projets!R23="","",Projets!R23)</f>
        <v/>
      </c>
      <c r="W36" s="481" t="str">
        <f>IF(Projets!S23="","",Projets!S23)</f>
        <v/>
      </c>
      <c r="X36" s="481" t="str">
        <f>IF(Projets!T23="","",Projets!T23)</f>
        <v/>
      </c>
      <c r="Y36" s="481" t="str">
        <f>IF(Projets!U23="","",Projets!U23)</f>
        <v/>
      </c>
      <c r="Z36" s="481" t="str">
        <f>IF(Projets!V23="","",Projets!V23)</f>
        <v/>
      </c>
      <c r="AA36" s="481" t="str">
        <f>IF(Projets!W23="","",Projets!W23)</f>
        <v/>
      </c>
      <c r="AB36" s="481" t="str">
        <f>IF(Projets!X23="","",Projets!X23)</f>
        <v/>
      </c>
      <c r="AC36" s="481" t="str">
        <f>IF(Projets!Y23="","",Projets!Y23)</f>
        <v/>
      </c>
      <c r="AD36" s="481" t="str">
        <f>IF(Projets!Z23="","",Projets!Z23)</f>
        <v/>
      </c>
      <c r="AE36" s="481" t="str">
        <f>IF(Projets!AA23="","",Projets!AA23)</f>
        <v/>
      </c>
      <c r="AF36" s="481" t="str">
        <f>IF(Projets!AB23="","",Projets!AB23)</f>
        <v/>
      </c>
      <c r="AG36" s="481" t="str">
        <f>IF(Projets!AC23="","",Projets!AC23)</f>
        <v/>
      </c>
      <c r="AH36" s="481" t="str">
        <f>IF(Projets!AD23="","",Projets!AD23)</f>
        <v/>
      </c>
      <c r="AI36" s="1" t="str">
        <f>IF(Projets!AE23="","",Projets!AE23)</f>
        <v/>
      </c>
      <c r="AJ36" s="1" t="str">
        <f>IF(Projets!AF23="","",Projets!AF23)</f>
        <v/>
      </c>
      <c r="AK36" s="1" t="str">
        <f>IF(Projets!AG23="","",Projets!AG23)</f>
        <v/>
      </c>
    </row>
    <row r="37" spans="1:37" ht="15" customHeight="1" x14ac:dyDescent="0.25">
      <c r="A37" s="776" t="s">
        <v>6337</v>
      </c>
      <c r="B37" s="777" t="s">
        <v>4586</v>
      </c>
      <c r="C37" s="778"/>
      <c r="D37" s="778"/>
      <c r="E37" s="778"/>
      <c r="F37" s="778"/>
      <c r="G37" s="779"/>
      <c r="H37" s="822"/>
      <c r="I37" s="780"/>
      <c r="J37" s="781"/>
      <c r="K37" s="484"/>
      <c r="L37" s="478"/>
      <c r="M37" s="479"/>
      <c r="N37" s="485"/>
      <c r="O37" s="478"/>
      <c r="P37" s="480"/>
      <c r="Q37" s="485"/>
      <c r="R37" s="478"/>
      <c r="S37" s="480"/>
      <c r="T37" s="485"/>
      <c r="U37" s="478"/>
      <c r="V37" s="480"/>
      <c r="W37" s="485"/>
      <c r="X37" s="478"/>
      <c r="Y37" s="480"/>
      <c r="Z37" s="485"/>
      <c r="AA37" s="478"/>
      <c r="AB37" s="480"/>
      <c r="AC37" s="485"/>
      <c r="AD37" s="478"/>
      <c r="AE37" s="480"/>
      <c r="AF37" s="485"/>
      <c r="AG37" s="478"/>
      <c r="AH37" s="480"/>
    </row>
    <row r="38" spans="1:37" s="1" customFormat="1" ht="11.25" customHeight="1" x14ac:dyDescent="0.25">
      <c r="A38" s="91"/>
      <c r="B38" s="1398">
        <f>COUNTIF(Scénarios!AB46:AB62,1)</f>
        <v>0</v>
      </c>
      <c r="C38" s="1408">
        <f>COUNTIF(Scénarios!AB46:AB62,2)</f>
        <v>15</v>
      </c>
      <c r="D38" s="1409">
        <f>COUNTIF(Scénarios!AB46:AB62,3)</f>
        <v>1</v>
      </c>
      <c r="E38" s="1407">
        <f>COUNTIF(Scénarios!AB46:AB62,4)</f>
        <v>0</v>
      </c>
      <c r="F38" s="1398">
        <f>SUM(B38:E40)</f>
        <v>16</v>
      </c>
      <c r="G38" s="341" t="s">
        <v>1976</v>
      </c>
      <c r="H38" s="344" t="s">
        <v>731</v>
      </c>
      <c r="I38" s="925" t="str">
        <f>IF(Projets!D25=1,"Décidé",IF(Projets!C25=1,"Sélectionné",""))</f>
        <v/>
      </c>
      <c r="J38" s="423"/>
      <c r="K38" s="481" t="str">
        <f>IF(Projets!G25="","",Projets!G25)</f>
        <v>3A02</v>
      </c>
      <c r="L38" s="481">
        <f>ES3A02</f>
        <v>0</v>
      </c>
      <c r="M38" s="481">
        <f>IF(Projets!I25="","",Projets!I25)</f>
        <v>4</v>
      </c>
      <c r="N38" s="481" t="str">
        <f>IF(Projets!J25="","",Projets!J25)</f>
        <v>3A04</v>
      </c>
      <c r="O38" s="481">
        <f>ES3A04</f>
        <v>1</v>
      </c>
      <c r="P38" s="481">
        <f>IF(Projets!L25="","",Projets!L25)</f>
        <v>4</v>
      </c>
      <c r="Q38" s="481" t="str">
        <f>IF(Projets!M25="","",Projets!M25)</f>
        <v>3A06</v>
      </c>
      <c r="R38" s="481">
        <f>ES3A06</f>
        <v>0</v>
      </c>
      <c r="S38" s="481">
        <f>IF(Projets!O25="","",Projets!O25)</f>
        <v>4</v>
      </c>
      <c r="T38" s="481" t="str">
        <f>IF(Projets!P25="","",Projets!P25)</f>
        <v>3A07</v>
      </c>
      <c r="U38" s="481">
        <f>ES3A07</f>
        <v>0</v>
      </c>
      <c r="V38" s="481">
        <f>IF(Projets!R25="","",Projets!R25)</f>
        <v>4</v>
      </c>
      <c r="W38" s="481" t="str">
        <f>IF(Projets!S25="","",Projets!S25)</f>
        <v/>
      </c>
      <c r="X38" s="481" t="str">
        <f>IF(Projets!T25="","",Projets!T25)</f>
        <v/>
      </c>
      <c r="Y38" s="481" t="str">
        <f>IF(Projets!U25="","",Projets!U25)</f>
        <v/>
      </c>
      <c r="Z38" s="481" t="str">
        <f>IF(Projets!V25="","",Projets!V25)</f>
        <v/>
      </c>
      <c r="AA38" s="481" t="str">
        <f>IF(Projets!W25="","",Projets!W25)</f>
        <v/>
      </c>
      <c r="AB38" s="481" t="str">
        <f>IF(Projets!X25="","",Projets!X25)</f>
        <v/>
      </c>
      <c r="AC38" s="481" t="str">
        <f>IF(Projets!Y25="","",Projets!Y25)</f>
        <v/>
      </c>
      <c r="AD38" s="481" t="str">
        <f>IF(Projets!Z25="","",Projets!Z25)</f>
        <v/>
      </c>
      <c r="AE38" s="481" t="str">
        <f>IF(Projets!AA25="","",Projets!AA25)</f>
        <v/>
      </c>
      <c r="AF38" s="481" t="str">
        <f>IF(Projets!AB25="","",Projets!AB25)</f>
        <v/>
      </c>
      <c r="AG38" s="481" t="str">
        <f>IF(Projets!AC25="","",Projets!AC25)</f>
        <v/>
      </c>
      <c r="AH38" s="481" t="str">
        <f>IF(Projets!AD25="","",Projets!AD25)</f>
        <v/>
      </c>
      <c r="AI38" s="1" t="str">
        <f>IF(Projets!AE25="","",Projets!AE25)</f>
        <v/>
      </c>
      <c r="AJ38" s="1" t="str">
        <f>IF(Projets!AF25="","",Projets!AF25)</f>
        <v/>
      </c>
      <c r="AK38" s="1" t="str">
        <f>IF(Projets!AG25="","",Projets!AG25)</f>
        <v/>
      </c>
    </row>
    <row r="39" spans="1:37" s="1" customFormat="1" ht="11.25" customHeight="1" x14ac:dyDescent="0.25">
      <c r="A39" s="91"/>
      <c r="B39" s="1294"/>
      <c r="C39" s="1294"/>
      <c r="D39" s="1294"/>
      <c r="E39" s="1294"/>
      <c r="F39" s="1294"/>
      <c r="G39" s="341" t="s">
        <v>1978</v>
      </c>
      <c r="H39" s="344" t="s">
        <v>1957</v>
      </c>
      <c r="I39" s="925" t="str">
        <f>IF(Projets!D61=1,"Décidé",IF(Projets!C61=1,"Sélectionné",""))</f>
        <v/>
      </c>
      <c r="J39" s="423"/>
      <c r="K39" s="758" t="str">
        <f>IF(Projets!G61="","",Projets!G61)</f>
        <v>5E01</v>
      </c>
      <c r="L39" s="758">
        <f>ES5E01</f>
        <v>1</v>
      </c>
      <c r="M39" s="743">
        <f>IF(Projets!I61="","",Projets!I61)</f>
        <v>4</v>
      </c>
      <c r="N39" s="758" t="str">
        <f>IF(Projets!J61="","",Projets!J61)</f>
        <v>5E02</v>
      </c>
      <c r="O39" s="758">
        <f>ES5E02</f>
        <v>1</v>
      </c>
      <c r="P39" s="743">
        <f>IF(Projets!L61="","",Projets!L61)</f>
        <v>4</v>
      </c>
      <c r="Q39" s="758" t="str">
        <f>IF(Projets!M61="","",Projets!M61)</f>
        <v>5E03</v>
      </c>
      <c r="R39" s="758">
        <f>ES5E03</f>
        <v>1</v>
      </c>
      <c r="S39" s="743">
        <f>IF(Projets!O61="","",Projets!O61)</f>
        <v>4</v>
      </c>
      <c r="T39" s="758" t="str">
        <f>IF(Projets!P61="","",Projets!P61)</f>
        <v>5E04</v>
      </c>
      <c r="U39" s="758">
        <f>ES5E04</f>
        <v>1</v>
      </c>
      <c r="V39" s="743">
        <f>IF(Projets!R61="","",Projets!R61)</f>
        <v>4</v>
      </c>
      <c r="W39" s="481" t="str">
        <f>IF(Projets!S61="","",Projets!S61)</f>
        <v/>
      </c>
      <c r="X39" s="481" t="str">
        <f>IF(Projets!T61="","",Projets!T61)</f>
        <v/>
      </c>
      <c r="Y39" s="481" t="str">
        <f>IF(Projets!U61="","",Projets!U61)</f>
        <v/>
      </c>
      <c r="Z39" s="481" t="str">
        <f>IF(Projets!V61="","",Projets!V61)</f>
        <v/>
      </c>
      <c r="AA39" s="481" t="str">
        <f>IF(Projets!W61="","",Projets!W61)</f>
        <v/>
      </c>
      <c r="AB39" s="481" t="str">
        <f>IF(Projets!X61="","",Projets!X61)</f>
        <v/>
      </c>
      <c r="AC39" s="481" t="str">
        <f>IF(Projets!Y61="","",Projets!Y61)</f>
        <v/>
      </c>
      <c r="AD39" s="481" t="str">
        <f>IF(Projets!Z61="","",Projets!Z61)</f>
        <v/>
      </c>
      <c r="AE39" s="481" t="str">
        <f>IF(Projets!AA61="","",Projets!AA61)</f>
        <v/>
      </c>
      <c r="AF39" s="481" t="str">
        <f>IF(Projets!AB61="","",Projets!AB61)</f>
        <v/>
      </c>
      <c r="AG39" s="481" t="str">
        <f>IF(Projets!AC61="","",Projets!AC61)</f>
        <v/>
      </c>
      <c r="AH39" s="481" t="str">
        <f>IF(Projets!AD61="","",Projets!AD61)</f>
        <v/>
      </c>
      <c r="AI39" s="1" t="str">
        <f>IF(Projets!AE61="","",Projets!AE61)</f>
        <v/>
      </c>
      <c r="AJ39" s="1" t="str">
        <f>IF(Projets!AF61="","",Projets!AF61)</f>
        <v/>
      </c>
      <c r="AK39" s="1" t="str">
        <f>IF(Projets!AG61="","",Projets!AG61)</f>
        <v/>
      </c>
    </row>
    <row r="40" spans="1:37" s="1" customFormat="1" ht="11.25" customHeight="1" x14ac:dyDescent="0.25">
      <c r="A40" s="91"/>
      <c r="B40" s="1295"/>
      <c r="C40" s="1295"/>
      <c r="D40" s="1295"/>
      <c r="E40" s="1295"/>
      <c r="F40" s="1295"/>
      <c r="G40" s="312" t="s">
        <v>4621</v>
      </c>
      <c r="H40" s="344" t="s">
        <v>4620</v>
      </c>
      <c r="I40" s="925" t="str">
        <f>IF(Projets!D10=1,"Décidé",IF(Projets!C10=1,"Sélectionné",""))</f>
        <v/>
      </c>
      <c r="J40" s="423"/>
      <c r="K40" s="481" t="str">
        <f>IF(Projets!G10="","",Projets!G10)</f>
        <v>4E01</v>
      </c>
      <c r="L40" s="481">
        <f>ES4E01</f>
        <v>1</v>
      </c>
      <c r="M40" s="481">
        <f>IF(Projets!I10="","",Projets!I10)</f>
        <v>4</v>
      </c>
      <c r="N40" s="481" t="str">
        <f>IF(Projets!J10="","",Projets!J10)</f>
        <v>5C01</v>
      </c>
      <c r="O40" s="481">
        <f>ES5C01</f>
        <v>1</v>
      </c>
      <c r="P40" s="481">
        <f>IF(Projets!L10="","",Projets!L10)</f>
        <v>4</v>
      </c>
      <c r="Q40" s="481" t="str">
        <f>IF(Projets!M10="","",Projets!M10)</f>
        <v>5D04</v>
      </c>
      <c r="R40" s="481">
        <f>ES5D04</f>
        <v>1</v>
      </c>
      <c r="S40" s="481">
        <f>IF(Projets!O10="","",Projets!O10)</f>
        <v>4</v>
      </c>
      <c r="T40" s="481" t="str">
        <f>IF(Projets!P10="","",Projets!P10)</f>
        <v/>
      </c>
      <c r="U40" s="481" t="str">
        <f>IF(Projets!Q10="","",Projets!Q10)</f>
        <v/>
      </c>
      <c r="V40" s="481" t="str">
        <f>IF(Projets!R10="","",Projets!R10)</f>
        <v/>
      </c>
      <c r="W40" s="481" t="str">
        <f>IF(Projets!S10="","",Projets!S10)</f>
        <v/>
      </c>
      <c r="X40" s="481" t="str">
        <f>IF(Projets!T10="","",Projets!T10)</f>
        <v/>
      </c>
      <c r="Y40" s="481" t="str">
        <f>IF(Projets!U10="","",Projets!U10)</f>
        <v/>
      </c>
      <c r="Z40" s="481" t="str">
        <f>IF(Projets!V10="","",Projets!V10)</f>
        <v/>
      </c>
      <c r="AA40" s="481" t="str">
        <f>IF(Projets!W10="","",Projets!W10)</f>
        <v/>
      </c>
      <c r="AB40" s="481" t="str">
        <f>IF(Projets!X10="","",Projets!X10)</f>
        <v/>
      </c>
      <c r="AC40" s="481" t="str">
        <f>IF(Projets!Y10="","",Projets!Y10)</f>
        <v/>
      </c>
      <c r="AD40" s="481" t="str">
        <f>IF(Projets!Z10="","",Projets!Z10)</f>
        <v/>
      </c>
      <c r="AE40" s="481" t="str">
        <f>IF(Projets!AA10="","",Projets!AA10)</f>
        <v/>
      </c>
      <c r="AF40" s="481" t="str">
        <f>IF(Projets!AB10="","",Projets!AB10)</f>
        <v/>
      </c>
      <c r="AG40" s="481" t="str">
        <f>IF(Projets!AC10="","",Projets!AC10)</f>
        <v/>
      </c>
      <c r="AH40" s="481" t="str">
        <f>IF(Projets!AD10="","",Projets!AD10)</f>
        <v/>
      </c>
      <c r="AI40" s="1" t="str">
        <f>IF(Projets!AE10="","",Projets!AE10)</f>
        <v/>
      </c>
      <c r="AJ40" s="1" t="str">
        <f>IF(Projets!AF10="","",Projets!AF10)</f>
        <v/>
      </c>
      <c r="AK40" s="1" t="str">
        <f>IF(Projets!AG10="","",Projets!AG10)</f>
        <v/>
      </c>
    </row>
    <row r="41" spans="1:37" ht="13.5" customHeight="1" x14ac:dyDescent="0.25">
      <c r="A41" s="741"/>
      <c r="B41" s="98"/>
      <c r="C41" s="98"/>
      <c r="D41" s="98"/>
      <c r="E41" s="98"/>
      <c r="F41" s="744"/>
      <c r="G41" s="745" t="s">
        <v>1989</v>
      </c>
      <c r="H41" s="344" t="s">
        <v>1971</v>
      </c>
      <c r="I41" s="925" t="str">
        <f>IF(Projets!D63=1,"Décidé",IF(Projets!C63=1,"Sélectionné",""))</f>
        <v/>
      </c>
      <c r="J41" s="423"/>
      <c r="K41" s="481" t="str">
        <f>IF(Projets!G63="","",Projets!G63)</f>
        <v>2E01</v>
      </c>
      <c r="L41" s="481">
        <f>ES2E01</f>
        <v>1</v>
      </c>
      <c r="M41" s="481">
        <f>IF(Projets!I63="","",Projets!I63)</f>
        <v>4</v>
      </c>
      <c r="N41" s="481" t="str">
        <f>IF(Projets!J63="","",Projets!J63)</f>
        <v>2E02</v>
      </c>
      <c r="O41" s="481">
        <f>ES2E02</f>
        <v>1</v>
      </c>
      <c r="P41" s="481">
        <f>IF(Projets!L63="","",Projets!L63)</f>
        <v>4</v>
      </c>
      <c r="Q41" s="481" t="str">
        <f>IF(Projets!M63="","",Projets!M63)</f>
        <v>6A02</v>
      </c>
      <c r="R41" s="481">
        <f>ES6A02</f>
        <v>0</v>
      </c>
      <c r="S41" s="481">
        <f>IF(Projets!O63="","",Projets!O63)</f>
        <v>4</v>
      </c>
      <c r="T41" s="481" t="str">
        <f>IF(Projets!P63="","",Projets!P63)</f>
        <v/>
      </c>
      <c r="U41" s="481" t="str">
        <f>IF(Projets!Q63="","",Projets!Q63)</f>
        <v/>
      </c>
      <c r="V41" s="481" t="str">
        <f>IF(Projets!R63="","",Projets!R63)</f>
        <v/>
      </c>
      <c r="W41" s="481" t="str">
        <f>IF(Projets!S63="","",Projets!S63)</f>
        <v/>
      </c>
      <c r="X41" s="481" t="str">
        <f>IF(Projets!T63="","",Projets!T63)</f>
        <v/>
      </c>
      <c r="Y41" s="481" t="str">
        <f>IF(Projets!U63="","",Projets!U63)</f>
        <v/>
      </c>
      <c r="Z41" s="481" t="str">
        <f>IF(Projets!V63="","",Projets!V63)</f>
        <v/>
      </c>
      <c r="AA41" s="481" t="str">
        <f>IF(Projets!W63="","",Projets!W63)</f>
        <v/>
      </c>
      <c r="AB41" s="481" t="str">
        <f>IF(Projets!X63="","",Projets!X63)</f>
        <v/>
      </c>
      <c r="AC41" s="481" t="str">
        <f>IF(Projets!Y63="","",Projets!Y63)</f>
        <v/>
      </c>
      <c r="AD41" s="481" t="str">
        <f>IF(Projets!Z63="","",Projets!Z63)</f>
        <v/>
      </c>
      <c r="AE41" s="481" t="str">
        <f>IF(Projets!AA63="","",Projets!AA63)</f>
        <v/>
      </c>
      <c r="AF41" s="481" t="str">
        <f>IF(Projets!AB63="","",Projets!AB63)</f>
        <v/>
      </c>
      <c r="AG41" s="481" t="str">
        <f>IF(Projets!AC63="","",Projets!AC63)</f>
        <v/>
      </c>
      <c r="AH41" s="481" t="str">
        <f>IF(Projets!AD63="","",Projets!AD63)</f>
        <v/>
      </c>
      <c r="AI41" t="str">
        <f>IF(Projets!AE63="","",Projets!AE63)</f>
        <v/>
      </c>
      <c r="AJ41" t="str">
        <f>IF(Projets!AF63="","",Projets!AF63)</f>
        <v/>
      </c>
      <c r="AK41" t="str">
        <f>IF(Projets!AG63="","",Projets!AG63)</f>
        <v/>
      </c>
    </row>
    <row r="42" spans="1:37" s="1" customFormat="1" ht="11.25" customHeight="1" x14ac:dyDescent="0.25">
      <c r="A42" s="91"/>
      <c r="B42" s="98"/>
      <c r="C42" s="98"/>
      <c r="D42" s="98"/>
      <c r="E42" s="98"/>
      <c r="F42" s="98"/>
      <c r="G42" s="745" t="s">
        <v>2014</v>
      </c>
      <c r="H42" s="344" t="s">
        <v>4587</v>
      </c>
      <c r="I42" s="925" t="str">
        <f>IF(Projets!D11=1,"Décidé",IF(Projets!C11=1,"Sélectionné",""))</f>
        <v/>
      </c>
      <c r="J42" s="423"/>
      <c r="K42" s="481" t="str">
        <f>IF(Projets!G11="","",Projets!G11)</f>
        <v>1C06</v>
      </c>
      <c r="L42" s="481">
        <f>ES1C06</f>
        <v>0</v>
      </c>
      <c r="M42" s="481">
        <f>IF(Projets!I11="","",Projets!I11)</f>
        <v>4</v>
      </c>
      <c r="N42" s="481" t="str">
        <f>IF(Projets!J11="","",Projets!J11)</f>
        <v>4A02</v>
      </c>
      <c r="O42" s="481">
        <f>ES4A02</f>
        <v>0</v>
      </c>
      <c r="P42" s="481">
        <f>IF(Projets!L11="","",Projets!L11)</f>
        <v>4</v>
      </c>
      <c r="Q42" s="481" t="str">
        <f>IF(Projets!M11="","",Projets!M11)</f>
        <v/>
      </c>
      <c r="R42" s="481" t="str">
        <f>IF(Projets!N11="","",Projets!N11)</f>
        <v/>
      </c>
      <c r="S42" s="481" t="str">
        <f>IF(Projets!O11="","",Projets!O11)</f>
        <v/>
      </c>
      <c r="T42" s="481" t="str">
        <f>IF(Projets!P11="","",Projets!P11)</f>
        <v/>
      </c>
      <c r="U42" s="481" t="str">
        <f>IF(Projets!Q11="","",Projets!Q11)</f>
        <v/>
      </c>
      <c r="V42" s="481" t="str">
        <f>IF(Projets!R11="","",Projets!R11)</f>
        <v/>
      </c>
      <c r="W42" s="481" t="str">
        <f>IF(Projets!S11="","",Projets!S11)</f>
        <v/>
      </c>
      <c r="X42" s="481" t="str">
        <f>IF(Projets!T11="","",Projets!T11)</f>
        <v/>
      </c>
      <c r="Y42" s="481" t="str">
        <f>IF(Projets!U11="","",Projets!U11)</f>
        <v/>
      </c>
      <c r="Z42" s="481" t="str">
        <f>IF(Projets!V11="","",Projets!V11)</f>
        <v/>
      </c>
      <c r="AA42" s="481" t="str">
        <f>IF(Projets!W11="","",Projets!W11)</f>
        <v/>
      </c>
      <c r="AB42" s="481" t="str">
        <f>IF(Projets!X11="","",Projets!X11)</f>
        <v/>
      </c>
      <c r="AC42" s="481" t="str">
        <f>IF(Projets!Y11="","",Projets!Y11)</f>
        <v/>
      </c>
      <c r="AD42" s="481" t="str">
        <f>IF(Projets!Z11="","",Projets!Z11)</f>
        <v/>
      </c>
      <c r="AE42" s="481" t="str">
        <f>IF(Projets!AA11="","",Projets!AA11)</f>
        <v/>
      </c>
      <c r="AF42" s="481" t="str">
        <f>IF(Projets!AB11="","",Projets!AB11)</f>
        <v/>
      </c>
      <c r="AG42" s="481" t="str">
        <f>IF(Projets!AC11="","",Projets!AC11)</f>
        <v/>
      </c>
      <c r="AH42" s="481" t="str">
        <f>IF(Projets!AD11="","",Projets!AD11)</f>
        <v/>
      </c>
      <c r="AI42" s="1" t="str">
        <f>IF(Projets!AE11="","",Projets!AE11)</f>
        <v/>
      </c>
      <c r="AJ42" s="1" t="str">
        <f>IF(Projets!AF11="","",Projets!AF11)</f>
        <v/>
      </c>
      <c r="AK42" s="1" t="str">
        <f>IF(Projets!AG11="","",Projets!AG11)</f>
        <v/>
      </c>
    </row>
    <row r="43" spans="1:37" s="1" customFormat="1" ht="11.25" customHeight="1" x14ac:dyDescent="0.25">
      <c r="A43" s="91"/>
      <c r="B43" s="98"/>
      <c r="C43" s="98"/>
      <c r="D43" s="98"/>
      <c r="E43" s="98"/>
      <c r="F43" s="98"/>
      <c r="G43" s="745" t="s">
        <v>2109</v>
      </c>
      <c r="H43" s="344" t="s">
        <v>1404</v>
      </c>
      <c r="I43" s="925" t="str">
        <f>IF(Projets!D28=1,"Décidé",IF(Projets!C28=1,"Sélectionné",""))</f>
        <v/>
      </c>
      <c r="J43" s="423"/>
      <c r="K43" s="481" t="str">
        <f>IF(Projets!G28="","",Projets!G28)</f>
        <v>6A01</v>
      </c>
      <c r="L43" s="481">
        <f>ES6A01</f>
        <v>1</v>
      </c>
      <c r="M43" s="481">
        <f>IF(Projets!I28="","",Projets!I28)</f>
        <v>4</v>
      </c>
      <c r="N43" s="481" t="str">
        <f>IF(Projets!J28="","",Projets!J28)</f>
        <v/>
      </c>
      <c r="O43" s="481" t="str">
        <f>IF(Projets!K28="","",Projets!K28)</f>
        <v/>
      </c>
      <c r="P43" s="481" t="str">
        <f>IF(Projets!L28="","",Projets!L28)</f>
        <v/>
      </c>
      <c r="Q43" s="481" t="str">
        <f>IF(Projets!M28="","",Projets!M28)</f>
        <v/>
      </c>
      <c r="R43" s="481" t="str">
        <f>IF(Projets!N28="","",Projets!N28)</f>
        <v/>
      </c>
      <c r="S43" s="481" t="str">
        <f>IF(Projets!O28="","",Projets!O28)</f>
        <v/>
      </c>
      <c r="T43" s="481" t="str">
        <f>IF(Projets!P28="","",Projets!P28)</f>
        <v/>
      </c>
      <c r="U43" s="481" t="str">
        <f>IF(Projets!Q28="","",Projets!Q28)</f>
        <v/>
      </c>
      <c r="V43" s="481" t="str">
        <f>IF(Projets!R28="","",Projets!R28)</f>
        <v/>
      </c>
      <c r="W43" s="481" t="str">
        <f>IF(Projets!S28="","",Projets!S28)</f>
        <v/>
      </c>
      <c r="X43" s="481" t="str">
        <f>IF(Projets!T28="","",Projets!T28)</f>
        <v/>
      </c>
      <c r="Y43" s="481" t="str">
        <f>IF(Projets!U28="","",Projets!U28)</f>
        <v/>
      </c>
      <c r="Z43" s="481" t="str">
        <f>IF(Projets!V28="","",Projets!V28)</f>
        <v/>
      </c>
      <c r="AA43" s="481" t="str">
        <f>IF(Projets!W28="","",Projets!W28)</f>
        <v/>
      </c>
      <c r="AB43" s="481" t="str">
        <f>IF(Projets!X28="","",Projets!X28)</f>
        <v/>
      </c>
      <c r="AC43" s="481" t="str">
        <f>IF(Projets!Y28="","",Projets!Y28)</f>
        <v/>
      </c>
      <c r="AD43" s="481" t="str">
        <f>IF(Projets!Z28="","",Projets!Z28)</f>
        <v/>
      </c>
      <c r="AE43" s="481" t="str">
        <f>IF(Projets!AA28="","",Projets!AA28)</f>
        <v/>
      </c>
      <c r="AF43" s="481" t="str">
        <f>IF(Projets!AB28="","",Projets!AB28)</f>
        <v/>
      </c>
      <c r="AG43" s="481" t="str">
        <f>IF(Projets!AC28="","",Projets!AC28)</f>
        <v/>
      </c>
      <c r="AH43" s="481" t="str">
        <f>IF(Projets!AD28="","",Projets!AD28)</f>
        <v/>
      </c>
      <c r="AI43" s="1" t="str">
        <f>IF(Projets!AE28="","",Projets!AE28)</f>
        <v/>
      </c>
      <c r="AJ43" s="1" t="str">
        <f>IF(Projets!AF28="","",Projets!AF28)</f>
        <v/>
      </c>
      <c r="AK43" s="1" t="str">
        <f>IF(Projets!AG28="","",Projets!AG28)</f>
        <v/>
      </c>
    </row>
    <row r="44" spans="1:37" s="1" customFormat="1" ht="11.25" customHeight="1" x14ac:dyDescent="0.25">
      <c r="A44" s="741"/>
      <c r="B44" s="98"/>
      <c r="C44" s="98"/>
      <c r="D44" s="98"/>
      <c r="E44" s="98"/>
      <c r="F44" s="98"/>
      <c r="G44" s="745" t="s">
        <v>2097</v>
      </c>
      <c r="H44" s="344" t="s">
        <v>2098</v>
      </c>
      <c r="I44" s="925" t="str">
        <f>IF(Projets!D20=1,"Décidé",IF(Projets!C20=1,"Sélectionné",""))</f>
        <v/>
      </c>
      <c r="J44" s="920"/>
      <c r="K44" s="921" t="str">
        <f>IF(Projets!G20="","",Projets!G20)</f>
        <v>2D01</v>
      </c>
      <c r="L44" s="921">
        <f>ES2D01</f>
        <v>1</v>
      </c>
      <c r="M44" s="921">
        <f>IF(Projets!I20="","",Projets!I20)</f>
        <v>3</v>
      </c>
      <c r="N44" s="921" t="str">
        <f>IF(Projets!J20="","",Projets!J20)</f>
        <v>2D02</v>
      </c>
      <c r="O44" s="921">
        <f>ES2D02</f>
        <v>1</v>
      </c>
      <c r="P44" s="921">
        <f>IF(Projets!L20="","",Projets!L20)</f>
        <v>3</v>
      </c>
      <c r="Q44" s="921" t="str">
        <f>IF(Projets!M20="","",Projets!M20)</f>
        <v>2D04</v>
      </c>
      <c r="R44" s="921">
        <f>ES2D04</f>
        <v>1</v>
      </c>
      <c r="S44" s="921">
        <f>IF(Projets!O20="","",Projets!O20)</f>
        <v>3</v>
      </c>
      <c r="T44" s="921" t="str">
        <f>IF(Projets!P20="","",Projets!P20)</f>
        <v/>
      </c>
      <c r="U44" s="921" t="str">
        <f>IF(Projets!Q20="","",Projets!Q20)</f>
        <v/>
      </c>
      <c r="V44" s="921" t="str">
        <f>IF(Projets!R20="","",Projets!R20)</f>
        <v/>
      </c>
      <c r="W44" s="921" t="str">
        <f>IF(Projets!S20="","",Projets!S20)</f>
        <v/>
      </c>
      <c r="X44" s="921" t="str">
        <f>IF(Projets!T20="","",Projets!T20)</f>
        <v/>
      </c>
      <c r="Y44" s="921" t="str">
        <f>IF(Projets!U20="","",Projets!U20)</f>
        <v/>
      </c>
      <c r="Z44" s="921" t="str">
        <f>IF(Projets!V20="","",Projets!V20)</f>
        <v/>
      </c>
      <c r="AA44" s="921" t="str">
        <f>IF(Projets!W20="","",Projets!W20)</f>
        <v/>
      </c>
      <c r="AB44" s="921" t="str">
        <f>IF(Projets!X20="","",Projets!X20)</f>
        <v/>
      </c>
      <c r="AC44" s="921" t="str">
        <f>IF(Projets!Y20="","",Projets!Y20)</f>
        <v/>
      </c>
      <c r="AD44" s="921" t="str">
        <f>IF(Projets!Z20="","",Projets!Z20)</f>
        <v/>
      </c>
      <c r="AE44" s="921" t="str">
        <f>IF(Projets!AA20="","",Projets!AA20)</f>
        <v/>
      </c>
      <c r="AF44" s="921" t="str">
        <f>IF(Projets!AB20="","",Projets!AB20)</f>
        <v/>
      </c>
      <c r="AG44" s="921" t="str">
        <f>IF(Projets!AC20="","",Projets!AC20)</f>
        <v/>
      </c>
      <c r="AH44" s="921" t="str">
        <f>IF(Projets!AD20="","",Projets!AD20)</f>
        <v/>
      </c>
      <c r="AI44" s="1" t="str">
        <f>IF(Projets!AE20="","",Projets!AE20)</f>
        <v/>
      </c>
      <c r="AJ44" s="1" t="str">
        <f>IF(Projets!AF20="","",Projets!AF20)</f>
        <v/>
      </c>
      <c r="AK44" s="1" t="str">
        <f>IF(Projets!AG20="","",Projets!AG20)</f>
        <v/>
      </c>
    </row>
    <row r="45" spans="1:37" s="1" customFormat="1" ht="11.25" customHeight="1" x14ac:dyDescent="0.25">
      <c r="A45" s="741"/>
      <c r="B45" s="98"/>
      <c r="C45" s="98"/>
      <c r="D45" s="98"/>
      <c r="E45" s="98"/>
      <c r="F45" s="98"/>
      <c r="G45" s="341" t="s">
        <v>2003</v>
      </c>
      <c r="H45" s="344" t="s">
        <v>1972</v>
      </c>
      <c r="I45" s="925" t="str">
        <f>IF(Projets!D8=1,"Décidé",IF(Projets!C8=1,"Sélectionné",""))</f>
        <v/>
      </c>
      <c r="J45" s="920"/>
      <c r="K45" s="921" t="str">
        <f>IF(Projets!G8="","",Projets!G8)</f>
        <v>4A03</v>
      </c>
      <c r="L45" s="921">
        <f>ES4A03</f>
        <v>0</v>
      </c>
      <c r="M45" s="921">
        <f>IF(Projets!I8="","",Projets!I8)</f>
        <v>3</v>
      </c>
      <c r="N45" s="921" t="str">
        <f>IF(Projets!J8="","",Projets!J8)</f>
        <v>6B04</v>
      </c>
      <c r="O45" s="921">
        <f>ES6B04</f>
        <v>1</v>
      </c>
      <c r="P45" s="921">
        <f>IF(Projets!L8="","",Projets!L8)</f>
        <v>3</v>
      </c>
      <c r="Q45" s="921" t="str">
        <f>IF(Projets!M8="","",Projets!M8)</f>
        <v>6B06</v>
      </c>
      <c r="R45" s="921">
        <f>ES6B06</f>
        <v>1</v>
      </c>
      <c r="S45" s="921">
        <f>IF(Projets!O8="","",Projets!O8)</f>
        <v>3</v>
      </c>
      <c r="T45" s="921" t="str">
        <f>IF(Projets!P8="","",Projets!P8)</f>
        <v>6B07</v>
      </c>
      <c r="U45" s="921">
        <f>ES6B07</f>
        <v>1</v>
      </c>
      <c r="V45" s="921">
        <f>IF(Projets!R8="","",Projets!R8)</f>
        <v>3</v>
      </c>
      <c r="W45" s="921" t="str">
        <f>IF(Projets!S8="","",Projets!S8)</f>
        <v/>
      </c>
      <c r="X45" s="921" t="str">
        <f>IF(Projets!T8="","",Projets!T8)</f>
        <v/>
      </c>
      <c r="Y45" s="921" t="str">
        <f>IF(Projets!U8="","",Projets!U8)</f>
        <v/>
      </c>
      <c r="Z45" s="921" t="str">
        <f>IF(Projets!V8="","",Projets!V8)</f>
        <v/>
      </c>
      <c r="AA45" s="921" t="str">
        <f>IF(Projets!W8="","",Projets!W8)</f>
        <v/>
      </c>
      <c r="AB45" s="921" t="str">
        <f>IF(Projets!X8="","",Projets!X8)</f>
        <v/>
      </c>
      <c r="AC45" s="921" t="str">
        <f>IF(Projets!Y8="","",Projets!Y8)</f>
        <v/>
      </c>
      <c r="AD45" s="921" t="str">
        <f>IF(Projets!Z8="","",Projets!Z8)</f>
        <v/>
      </c>
      <c r="AE45" s="921" t="str">
        <f>IF(Projets!AA8="","",Projets!AA8)</f>
        <v/>
      </c>
      <c r="AF45" s="921" t="str">
        <f>IF(Projets!AB8="","",Projets!AB8)</f>
        <v/>
      </c>
      <c r="AG45" s="921" t="str">
        <f>IF(Projets!AC8="","",Projets!AC8)</f>
        <v/>
      </c>
      <c r="AH45" s="921" t="str">
        <f>IF(Projets!AD8="","",Projets!AD8)</f>
        <v/>
      </c>
      <c r="AI45" s="1" t="str">
        <f>IF(Projets!AE8="","",Projets!AE8)</f>
        <v/>
      </c>
      <c r="AJ45" s="1" t="str">
        <f>IF(Projets!AF8="","",Projets!AF8)</f>
        <v/>
      </c>
      <c r="AK45" s="1" t="str">
        <f>IF(Projets!AG8="","",Projets!AG8)</f>
        <v/>
      </c>
    </row>
    <row r="46" spans="1:37" s="1" customFormat="1" ht="11.25" customHeight="1" x14ac:dyDescent="0.25">
      <c r="A46" s="91"/>
      <c r="B46" s="98"/>
      <c r="C46" s="98"/>
      <c r="D46" s="98"/>
      <c r="E46" s="98"/>
      <c r="F46" s="98"/>
      <c r="G46" s="312" t="s">
        <v>6558</v>
      </c>
      <c r="H46" s="344" t="s">
        <v>6560</v>
      </c>
      <c r="I46" s="925" t="str">
        <f>IF(Projets!D36=1,"Décidé",IF(Projets!C36=1,"Sélectionné",""))</f>
        <v/>
      </c>
      <c r="J46" s="423"/>
      <c r="K46" s="481" t="str">
        <f>IF(Projets!G36="","",Projets!G36)</f>
        <v>3A08</v>
      </c>
      <c r="L46" s="481">
        <f>ES3A08</f>
        <v>0</v>
      </c>
      <c r="M46" s="481">
        <f>IF(Projets!I36="","",Projets!I36)</f>
        <v>4</v>
      </c>
      <c r="N46" s="481" t="str">
        <f>IF(Projets!J36="","",Projets!J36)</f>
        <v>4A11</v>
      </c>
      <c r="O46" s="481">
        <f>ES4A11</f>
        <v>1</v>
      </c>
      <c r="P46" s="481">
        <f>IF(Projets!L36="","",Projets!L36)</f>
        <v>4</v>
      </c>
      <c r="Q46" s="481" t="str">
        <f>IF(Projets!M36="","",Projets!M36)</f>
        <v/>
      </c>
      <c r="R46" s="481" t="str">
        <f>IF(Projets!N36="","",Projets!N36)</f>
        <v/>
      </c>
      <c r="S46" s="481" t="str">
        <f>IF(Projets!O36="","",Projets!O36)</f>
        <v/>
      </c>
      <c r="T46" s="481" t="str">
        <f>IF(Projets!P36="","",Projets!P36)</f>
        <v/>
      </c>
      <c r="U46" s="481" t="str">
        <f>IF(Projets!Q36="","",Projets!Q36)</f>
        <v/>
      </c>
      <c r="V46" s="481" t="str">
        <f>IF(Projets!R36="","",Projets!R36)</f>
        <v/>
      </c>
      <c r="W46" s="481" t="str">
        <f>IF(Projets!S36="","",Projets!S36)</f>
        <v/>
      </c>
      <c r="X46" s="481" t="str">
        <f>IF(Projets!T36="","",Projets!T36)</f>
        <v/>
      </c>
      <c r="Y46" s="481" t="str">
        <f>IF(Projets!U36="","",Projets!U36)</f>
        <v/>
      </c>
      <c r="Z46" s="481" t="str">
        <f>IF(Projets!V36="","",Projets!V36)</f>
        <v/>
      </c>
      <c r="AA46" s="481" t="str">
        <f>IF(Projets!W36="","",Projets!W36)</f>
        <v/>
      </c>
      <c r="AB46" s="481" t="str">
        <f>IF(Projets!X36="","",Projets!X36)</f>
        <v/>
      </c>
      <c r="AC46" s="481" t="str">
        <f>IF(Projets!Y36="","",Projets!Y36)</f>
        <v/>
      </c>
      <c r="AD46" s="481" t="str">
        <f>IF(Projets!Z36="","",Projets!Z36)</f>
        <v/>
      </c>
      <c r="AE46" s="481" t="str">
        <f>IF(Projets!AA36="","",Projets!AA36)</f>
        <v/>
      </c>
      <c r="AF46" s="481" t="str">
        <f>IF(Projets!AB36="","",Projets!AB36)</f>
        <v/>
      </c>
      <c r="AG46" s="481" t="str">
        <f>IF(Projets!AC36="","",Projets!AC36)</f>
        <v/>
      </c>
      <c r="AH46" s="481" t="str">
        <f>IF(Projets!AD36="","",Projets!AD36)</f>
        <v/>
      </c>
      <c r="AI46" s="1" t="str">
        <f>IF(Projets!AE36="","",Projets!AE36)</f>
        <v/>
      </c>
      <c r="AJ46" s="1" t="str">
        <f>IF(Projets!AF36="","",Projets!AF36)</f>
        <v/>
      </c>
      <c r="AK46" s="1" t="str">
        <f>IF(Projets!AG36="","",Projets!AG36)</f>
        <v/>
      </c>
    </row>
    <row r="47" spans="1:37" ht="11.25" customHeight="1" x14ac:dyDescent="0.25">
      <c r="A47" s="91"/>
      <c r="B47" s="98"/>
      <c r="C47" s="98"/>
      <c r="D47" s="98"/>
      <c r="E47" s="98"/>
      <c r="F47" s="740"/>
      <c r="G47" s="759" t="s">
        <v>6553</v>
      </c>
      <c r="H47" s="344" t="s">
        <v>6554</v>
      </c>
      <c r="I47" s="925" t="str">
        <f>IF(Projets!D21=1,"Décidé",IF(Projets!C21=1,"Sélectionné",""))</f>
        <v/>
      </c>
      <c r="J47" s="423"/>
      <c r="K47" s="481" t="str">
        <f>IF(Projets!G21="","",Projets!G21)</f>
        <v>2D03</v>
      </c>
      <c r="L47" s="481">
        <f>ES2D03</f>
        <v>1</v>
      </c>
      <c r="M47" s="481">
        <f>IF(Projets!I21="","",Projets!I21)</f>
        <v>3</v>
      </c>
      <c r="N47" s="481" t="str">
        <f>IF(Projets!J21="","",Projets!J21)</f>
        <v/>
      </c>
      <c r="O47" s="481" t="str">
        <f>IF(Projets!K21="","",Projets!K21)</f>
        <v/>
      </c>
      <c r="P47" s="481" t="str">
        <f>IF(Projets!L21="","",Projets!L21)</f>
        <v/>
      </c>
      <c r="Q47" s="481" t="str">
        <f>IF(Projets!M21="","",Projets!M21)</f>
        <v/>
      </c>
      <c r="R47" s="481" t="str">
        <f>IF(Projets!N21="","",Projets!N21)</f>
        <v/>
      </c>
      <c r="S47" s="481" t="str">
        <f>IF(Projets!O21="","",Projets!O21)</f>
        <v/>
      </c>
      <c r="T47" s="481" t="str">
        <f>IF(Projets!P21="","",Projets!P21)</f>
        <v/>
      </c>
      <c r="U47" s="481" t="str">
        <f>IF(Projets!Q21="","",Projets!Q21)</f>
        <v/>
      </c>
      <c r="V47" s="481" t="str">
        <f>IF(Projets!R21="","",Projets!R21)</f>
        <v/>
      </c>
      <c r="W47" s="481" t="str">
        <f>IF(Projets!S21="","",Projets!S21)</f>
        <v/>
      </c>
      <c r="X47" s="481" t="str">
        <f>IF(Projets!T21="","",Projets!T21)</f>
        <v/>
      </c>
      <c r="Y47" s="481" t="str">
        <f>IF(Projets!U21="","",Projets!U21)</f>
        <v/>
      </c>
      <c r="Z47" s="481" t="str">
        <f>IF(Projets!V21="","",Projets!V21)</f>
        <v/>
      </c>
      <c r="AA47" s="481" t="str">
        <f>IF(Projets!W21="","",Projets!W21)</f>
        <v/>
      </c>
      <c r="AB47" s="481" t="str">
        <f>IF(Projets!X21="","",Projets!X21)</f>
        <v/>
      </c>
      <c r="AC47" s="481" t="str">
        <f>IF(Projets!Y21="","",Projets!Y21)</f>
        <v/>
      </c>
      <c r="AD47" s="481" t="str">
        <f>IF(Projets!Z21="","",Projets!Z21)</f>
        <v/>
      </c>
      <c r="AE47" s="481" t="str">
        <f>IF(Projets!AA21="","",Projets!AA21)</f>
        <v/>
      </c>
      <c r="AF47" s="481" t="str">
        <f>IF(Projets!AB21="","",Projets!AB21)</f>
        <v/>
      </c>
      <c r="AG47" s="481" t="str">
        <f>IF(Projets!AC21="","",Projets!AC21)</f>
        <v/>
      </c>
      <c r="AH47" s="481" t="str">
        <f>IF(Projets!AD21="","",Projets!AD21)</f>
        <v/>
      </c>
      <c r="AI47" t="str">
        <f>IF(Projets!AE21="","",Projets!AE21)</f>
        <v/>
      </c>
      <c r="AJ47" t="str">
        <f>IF(Projets!AF21="","",Projets!AF21)</f>
        <v/>
      </c>
      <c r="AK47" t="str">
        <f>IF(Projets!AG21="","",Projets!AG21)</f>
        <v/>
      </c>
    </row>
    <row r="48" spans="1:37" s="1" customFormat="1" ht="20.25" customHeight="1" x14ac:dyDescent="0.25">
      <c r="A48" s="180" t="s">
        <v>6369</v>
      </c>
      <c r="B48" s="775" t="s">
        <v>3238</v>
      </c>
      <c r="C48" s="884"/>
      <c r="D48" s="884"/>
      <c r="E48" s="884"/>
      <c r="F48" s="884"/>
      <c r="G48" s="884"/>
      <c r="H48" s="884"/>
      <c r="I48" s="885"/>
      <c r="J48" s="424"/>
      <c r="K48" s="478"/>
      <c r="L48" s="478"/>
      <c r="M48" s="478"/>
      <c r="N48" s="478"/>
      <c r="O48" s="478"/>
      <c r="P48" s="478"/>
      <c r="Q48" s="478"/>
      <c r="R48" s="478"/>
      <c r="S48" s="478"/>
      <c r="T48" s="478"/>
      <c r="U48" s="478"/>
      <c r="V48" s="478"/>
      <c r="W48" s="478"/>
      <c r="X48" s="478"/>
      <c r="Y48" s="478"/>
      <c r="Z48" s="478"/>
      <c r="AA48" s="478"/>
      <c r="AB48" s="478"/>
      <c r="AC48" s="478"/>
      <c r="AD48" s="478"/>
      <c r="AE48" s="478"/>
      <c r="AF48" s="478"/>
      <c r="AG48" s="478"/>
      <c r="AH48" s="478"/>
    </row>
    <row r="49" spans="1:37" s="1" customFormat="1" ht="12" customHeight="1" x14ac:dyDescent="0.25">
      <c r="A49" s="95"/>
      <c r="B49" s="1415">
        <f>COUNTIF(Scénarios!AB64:AB70,1)</f>
        <v>0</v>
      </c>
      <c r="C49" s="1416">
        <f>COUNTIF(Scénarios!AB64:AB70,2)</f>
        <v>7</v>
      </c>
      <c r="D49" s="1417">
        <f>COUNTIF(Scénarios!AB64:AB70,3)</f>
        <v>0</v>
      </c>
      <c r="E49" s="1418">
        <f>COUNTIF(Scénarios!AB64:AB70,4)</f>
        <v>0</v>
      </c>
      <c r="F49" s="1415">
        <f>SUM(B49:E49)</f>
        <v>7</v>
      </c>
      <c r="G49" s="314" t="s">
        <v>1976</v>
      </c>
      <c r="H49" s="759" t="s">
        <v>731</v>
      </c>
      <c r="I49" s="925" t="str">
        <f>IF(Projets!D25=1,"Décidé",IF(Projets!C25=1,"Sélectionné",""))</f>
        <v/>
      </c>
      <c r="J49" s="425"/>
      <c r="K49" s="481" t="str">
        <f>IF(Projets!G25="","",Projets!G25)</f>
        <v>3A02</v>
      </c>
      <c r="L49" s="481">
        <f>ES3A02</f>
        <v>0</v>
      </c>
      <c r="M49" s="481">
        <f>IF(Projets!I25="","",Projets!I25)</f>
        <v>4</v>
      </c>
      <c r="N49" s="481" t="str">
        <f>IF(Projets!J25="","",Projets!J25)</f>
        <v>3A04</v>
      </c>
      <c r="O49" s="481">
        <f>ES3A04</f>
        <v>1</v>
      </c>
      <c r="P49" s="481">
        <f>IF(Projets!L25="","",Projets!L25)</f>
        <v>4</v>
      </c>
      <c r="Q49" s="481" t="str">
        <f>IF(Projets!M25="","",Projets!M25)</f>
        <v>3A06</v>
      </c>
      <c r="R49" s="481">
        <f>ES3A06</f>
        <v>0</v>
      </c>
      <c r="S49" s="481">
        <f>IF(Projets!O25="","",Projets!O25)</f>
        <v>4</v>
      </c>
      <c r="T49" s="481" t="str">
        <f>IF(Projets!P25="","",Projets!P25)</f>
        <v>3A07</v>
      </c>
      <c r="U49" s="481">
        <f>ES3A07</f>
        <v>0</v>
      </c>
      <c r="V49" s="481">
        <f>IF(Projets!R25="","",Projets!R25)</f>
        <v>4</v>
      </c>
      <c r="W49" s="481" t="str">
        <f>IF(Projets!S25="","",Projets!S25)</f>
        <v/>
      </c>
      <c r="X49" s="481" t="str">
        <f>IF(Projets!T25="","",Projets!T25)</f>
        <v/>
      </c>
      <c r="Y49" s="481" t="str">
        <f>IF(Projets!U25="","",Projets!U25)</f>
        <v/>
      </c>
      <c r="Z49" s="481" t="str">
        <f>IF(Projets!V25="","",Projets!V25)</f>
        <v/>
      </c>
      <c r="AA49" s="481" t="str">
        <f>IF(Projets!W25="","",Projets!W25)</f>
        <v/>
      </c>
      <c r="AB49" s="481" t="str">
        <f>IF(Projets!X25="","",Projets!X25)</f>
        <v/>
      </c>
      <c r="AC49" s="481" t="str">
        <f>IF(Projets!Y25="","",Projets!Y25)</f>
        <v/>
      </c>
      <c r="AD49" s="481" t="str">
        <f>IF(Projets!Z25="","",Projets!Z25)</f>
        <v/>
      </c>
      <c r="AE49" s="481" t="str">
        <f>IF(Projets!AA25="","",Projets!AA25)</f>
        <v/>
      </c>
      <c r="AF49" s="481" t="str">
        <f>IF(Projets!AB25="","",Projets!AB25)</f>
        <v/>
      </c>
      <c r="AG49" s="481" t="str">
        <f>IF(Projets!AC25="","",Projets!AC25)</f>
        <v/>
      </c>
      <c r="AH49" s="481" t="str">
        <f>IF(Projets!AD25="","",Projets!AD25)</f>
        <v/>
      </c>
      <c r="AI49" s="1" t="str">
        <f>IF(Projets!AE25="","",Projets!AE25)</f>
        <v/>
      </c>
      <c r="AJ49" s="1" t="str">
        <f>IF(Projets!AF25="","",Projets!AF25)</f>
        <v/>
      </c>
      <c r="AK49" s="1" t="str">
        <f>IF(Projets!AG25="","",Projets!AG25)</f>
        <v/>
      </c>
    </row>
    <row r="50" spans="1:37" s="1" customFormat="1" ht="12" customHeight="1" x14ac:dyDescent="0.25">
      <c r="A50" s="91"/>
      <c r="B50" s="1294"/>
      <c r="C50" s="1294"/>
      <c r="D50" s="1294"/>
      <c r="E50" s="1294"/>
      <c r="F50" s="1294"/>
      <c r="G50" s="314" t="s">
        <v>1978</v>
      </c>
      <c r="H50" s="759" t="s">
        <v>1957</v>
      </c>
      <c r="I50" s="925" t="str">
        <f>IF(Projets!D61=1,"Décidé",IF(Projets!C61=1,"Sélectionné",""))</f>
        <v/>
      </c>
      <c r="J50" s="425"/>
      <c r="K50" s="481" t="str">
        <f>IF(Projets!G61="","",Projets!G61)</f>
        <v>5E01</v>
      </c>
      <c r="L50" s="481">
        <f>ES5E01</f>
        <v>1</v>
      </c>
      <c r="M50" s="481">
        <f>IF(Projets!I61="","",Projets!I61)</f>
        <v>4</v>
      </c>
      <c r="N50" s="481" t="str">
        <f>IF(Projets!J61="","",Projets!J61)</f>
        <v>5E02</v>
      </c>
      <c r="O50" s="481">
        <f>ES5E02</f>
        <v>1</v>
      </c>
      <c r="P50" s="481">
        <f>IF(Projets!L61="","",Projets!L61)</f>
        <v>4</v>
      </c>
      <c r="Q50" s="481" t="str">
        <f>IF(Projets!M61="","",Projets!M61)</f>
        <v>5E03</v>
      </c>
      <c r="R50" s="481">
        <f>ES5E03</f>
        <v>1</v>
      </c>
      <c r="S50" s="481">
        <f>IF(Projets!O61="","",Projets!O61)</f>
        <v>4</v>
      </c>
      <c r="T50" s="481" t="str">
        <f>IF(Projets!P61="","",Projets!P61)</f>
        <v>5E04</v>
      </c>
      <c r="U50" s="481">
        <f>ES5E04</f>
        <v>1</v>
      </c>
      <c r="V50" s="481">
        <f>IF(Projets!R61="","",Projets!R61)</f>
        <v>4</v>
      </c>
      <c r="W50" s="481" t="str">
        <f>IF(Projets!S61="","",Projets!S61)</f>
        <v/>
      </c>
      <c r="X50" s="481" t="str">
        <f>IF(Projets!T61="","",Projets!T61)</f>
        <v/>
      </c>
      <c r="Y50" s="481" t="str">
        <f>IF(Projets!U61="","",Projets!U61)</f>
        <v/>
      </c>
      <c r="Z50" s="481" t="str">
        <f>IF(Projets!V61="","",Projets!V61)</f>
        <v/>
      </c>
      <c r="AA50" s="481" t="str">
        <f>IF(Projets!W61="","",Projets!W61)</f>
        <v/>
      </c>
      <c r="AB50" s="481" t="str">
        <f>IF(Projets!X61="","",Projets!X61)</f>
        <v/>
      </c>
      <c r="AC50" s="481" t="str">
        <f>IF(Projets!Y61="","",Projets!Y61)</f>
        <v/>
      </c>
      <c r="AD50" s="481" t="str">
        <f>IF(Projets!Z61="","",Projets!Z61)</f>
        <v/>
      </c>
      <c r="AE50" s="481" t="str">
        <f>IF(Projets!AA61="","",Projets!AA61)</f>
        <v/>
      </c>
      <c r="AF50" s="481" t="str">
        <f>IF(Projets!AB61="","",Projets!AB61)</f>
        <v/>
      </c>
      <c r="AG50" s="481" t="str">
        <f>IF(Projets!AC61="","",Projets!AC61)</f>
        <v/>
      </c>
      <c r="AH50" s="481" t="str">
        <f>IF(Projets!AD61="","",Projets!AD61)</f>
        <v/>
      </c>
      <c r="AI50" s="1" t="str">
        <f>IF(Projets!AE61="","",Projets!AE61)</f>
        <v/>
      </c>
      <c r="AJ50" s="1" t="str">
        <f>IF(Projets!AF61="","",Projets!AF61)</f>
        <v/>
      </c>
      <c r="AK50" s="1" t="str">
        <f>IF(Projets!AG61="","",Projets!AG61)</f>
        <v/>
      </c>
    </row>
    <row r="51" spans="1:37" s="1" customFormat="1" ht="13.5" customHeight="1" x14ac:dyDescent="0.25">
      <c r="A51" s="93"/>
      <c r="B51" s="1295"/>
      <c r="C51" s="1295"/>
      <c r="D51" s="1295"/>
      <c r="E51" s="1295"/>
      <c r="F51" s="1295"/>
      <c r="G51" s="314" t="s">
        <v>1974</v>
      </c>
      <c r="H51" s="759" t="s">
        <v>1955</v>
      </c>
      <c r="I51" s="925" t="str">
        <f>IF(Projets!D43=1,"Décidé",IF(Projets!C43=1,"Sélectionné",""))</f>
        <v/>
      </c>
      <c r="J51" s="425"/>
      <c r="K51" s="758" t="str">
        <f>IF(Projets!G43="","",Projets!G43)</f>
        <v>6B01</v>
      </c>
      <c r="L51" s="758">
        <f>ES6B01</f>
        <v>0</v>
      </c>
      <c r="M51" s="743">
        <f>IF(Projets!I43="","",Projets!I43)</f>
        <v>4</v>
      </c>
      <c r="N51" s="758" t="str">
        <f>IF(Projets!J43="","",Projets!J43)</f>
        <v/>
      </c>
      <c r="O51" s="758" t="str">
        <f>IF(Projets!K43="","",Projets!K43)</f>
        <v/>
      </c>
      <c r="P51" s="743" t="str">
        <f>IF(Projets!L43="","",Projets!L43)</f>
        <v/>
      </c>
      <c r="Q51" s="758" t="str">
        <f>IF(Projets!M43="","",Projets!M43)</f>
        <v/>
      </c>
      <c r="R51" s="758" t="str">
        <f>IF(Projets!N43="","",Projets!N43)</f>
        <v/>
      </c>
      <c r="S51" s="743" t="str">
        <f>IF(Projets!O43="","",Projets!O43)</f>
        <v/>
      </c>
      <c r="T51" s="758" t="str">
        <f>IF(Projets!P43="","",Projets!P43)</f>
        <v/>
      </c>
      <c r="U51" s="758" t="str">
        <f>IF(Projets!Q43="","",Projets!Q43)</f>
        <v/>
      </c>
      <c r="V51" s="743" t="str">
        <f>IF(Projets!R43="","",Projets!R43)</f>
        <v/>
      </c>
      <c r="W51" s="481" t="str">
        <f>IF(Projets!S43="","",Projets!S43)</f>
        <v/>
      </c>
      <c r="X51" s="481" t="str">
        <f>IF(Projets!T43="","",Projets!T43)</f>
        <v/>
      </c>
      <c r="Y51" s="481" t="str">
        <f>IF(Projets!U43="","",Projets!U43)</f>
        <v/>
      </c>
      <c r="Z51" s="481" t="str">
        <f>IF(Projets!V43="","",Projets!V43)</f>
        <v/>
      </c>
      <c r="AA51" s="481" t="str">
        <f>IF(Projets!W43="","",Projets!W43)</f>
        <v/>
      </c>
      <c r="AB51" s="481" t="str">
        <f>IF(Projets!X43="","",Projets!X43)</f>
        <v/>
      </c>
      <c r="AC51" s="481" t="str">
        <f>IF(Projets!Y43="","",Projets!Y43)</f>
        <v/>
      </c>
      <c r="AD51" s="481" t="str">
        <f>IF(Projets!Z43="","",Projets!Z43)</f>
        <v/>
      </c>
      <c r="AE51" s="481" t="str">
        <f>IF(Projets!AA43="","",Projets!AA43)</f>
        <v/>
      </c>
      <c r="AF51" s="481" t="str">
        <f>IF(Projets!AB43="","",Projets!AB43)</f>
        <v/>
      </c>
      <c r="AG51" s="481" t="str">
        <f>IF(Projets!AC43="","",Projets!AC43)</f>
        <v/>
      </c>
      <c r="AH51" s="481" t="str">
        <f>IF(Projets!AD43="","",Projets!AD43)</f>
        <v/>
      </c>
      <c r="AI51" s="1" t="str">
        <f>IF(Projets!AE43="","",Projets!AE43)</f>
        <v/>
      </c>
      <c r="AJ51" s="1" t="str">
        <f>IF(Projets!AF43="","",Projets!AF43)</f>
        <v/>
      </c>
      <c r="AK51" s="1" t="str">
        <f>IF(Projets!AG43="","",Projets!AG43)</f>
        <v/>
      </c>
    </row>
    <row r="52" spans="1:37" s="1" customFormat="1" ht="13.5" customHeight="1" x14ac:dyDescent="0.25">
      <c r="A52" s="923"/>
      <c r="B52" s="926"/>
      <c r="C52" s="926"/>
      <c r="D52" s="926"/>
      <c r="E52" s="926"/>
      <c r="F52" s="927"/>
      <c r="G52" s="314" t="s">
        <v>1975</v>
      </c>
      <c r="H52" s="759" t="s">
        <v>1956</v>
      </c>
      <c r="I52" s="925" t="str">
        <f>IF(Projets!D44=1,"Décidé",IF(Projets!C44=1,"Sélectionné",""))</f>
        <v/>
      </c>
      <c r="J52" s="917"/>
      <c r="K52" s="921" t="str">
        <f>IF(Projets!G44="","",Projets!G44)</f>
        <v>5B01</v>
      </c>
      <c r="L52" s="921">
        <f>ES5B01</f>
        <v>1</v>
      </c>
      <c r="M52" s="920">
        <f>IF(Projets!I44="","",Projets!I44)</f>
        <v>4</v>
      </c>
      <c r="N52" s="921" t="str">
        <f>IF(Projets!J44="","",Projets!J44)</f>
        <v/>
      </c>
      <c r="O52" s="921" t="str">
        <f>IF(Projets!K44="","",Projets!K44)</f>
        <v/>
      </c>
      <c r="P52" s="920" t="str">
        <f>IF(Projets!L44="","",Projets!L44)</f>
        <v/>
      </c>
      <c r="Q52" s="921" t="str">
        <f>IF(Projets!M44="","",Projets!M44)</f>
        <v/>
      </c>
      <c r="R52" s="921" t="str">
        <f>IF(Projets!N44="","",Projets!N44)</f>
        <v/>
      </c>
      <c r="S52" s="920" t="str">
        <f>IF(Projets!O44="","",Projets!O44)</f>
        <v/>
      </c>
      <c r="T52" s="921" t="str">
        <f>IF(Projets!P44="","",Projets!P44)</f>
        <v/>
      </c>
      <c r="U52" s="921" t="str">
        <f>IF(Projets!Q44="","",Projets!Q44)</f>
        <v/>
      </c>
      <c r="V52" s="920" t="str">
        <f>IF(Projets!R44="","",Projets!R44)</f>
        <v/>
      </c>
      <c r="W52" s="921" t="str">
        <f>IF(Projets!S44="","",Projets!S44)</f>
        <v/>
      </c>
      <c r="X52" s="921" t="str">
        <f>IF(Projets!T44="","",Projets!T44)</f>
        <v/>
      </c>
      <c r="Y52" s="921" t="str">
        <f>IF(Projets!U44="","",Projets!U44)</f>
        <v/>
      </c>
      <c r="Z52" s="921" t="str">
        <f>IF(Projets!V44="","",Projets!V44)</f>
        <v/>
      </c>
      <c r="AA52" s="921" t="str">
        <f>IF(Projets!W44="","",Projets!W44)</f>
        <v/>
      </c>
      <c r="AB52" s="921" t="str">
        <f>IF(Projets!X44="","",Projets!X44)</f>
        <v/>
      </c>
      <c r="AC52" s="921" t="str">
        <f>IF(Projets!Y44="","",Projets!Y44)</f>
        <v/>
      </c>
      <c r="AD52" s="921" t="str">
        <f>IF(Projets!Z44="","",Projets!Z44)</f>
        <v/>
      </c>
      <c r="AE52" s="921" t="str">
        <f>IF(Projets!AA44="","",Projets!AA44)</f>
        <v/>
      </c>
      <c r="AF52" s="921" t="str">
        <f>IF(Projets!AB44="","",Projets!AB44)</f>
        <v/>
      </c>
      <c r="AG52" s="921" t="str">
        <f>IF(Projets!AC44="","",Projets!AC44)</f>
        <v/>
      </c>
      <c r="AH52" s="921" t="str">
        <f>IF(Projets!AD44="","",Projets!AD44)</f>
        <v/>
      </c>
      <c r="AI52" s="1" t="str">
        <f>IF(Projets!AE44="","",Projets!AE44)</f>
        <v/>
      </c>
      <c r="AJ52" s="1" t="str">
        <f>IF(Projets!AF44="","",Projets!AF44)</f>
        <v/>
      </c>
      <c r="AK52" s="1" t="str">
        <f>IF(Projets!AG44="","",Projets!AG44)</f>
        <v/>
      </c>
    </row>
    <row r="53" spans="1:37" s="1" customFormat="1" ht="13.5" customHeight="1" x14ac:dyDescent="0.25">
      <c r="A53" s="923"/>
      <c r="B53" s="924"/>
      <c r="C53" s="924"/>
      <c r="D53" s="924"/>
      <c r="E53" s="924"/>
      <c r="F53" s="928"/>
      <c r="G53" s="314" t="s">
        <v>2000</v>
      </c>
      <c r="H53" s="759" t="s">
        <v>2001</v>
      </c>
      <c r="I53" s="925" t="str">
        <f>IF(Projets!D52=1,"Décidé",IF(Projets!C52=1,"Sélectionné",""))</f>
        <v/>
      </c>
      <c r="J53" s="917"/>
      <c r="K53" s="921" t="str">
        <f>IF(Projets!G52="","",Projets!G52)</f>
        <v>6B02</v>
      </c>
      <c r="L53" s="921">
        <f>ES6B02</f>
        <v>1</v>
      </c>
      <c r="M53" s="920">
        <f>IF(Projets!I52="","",Projets!I52)</f>
        <v>4</v>
      </c>
      <c r="N53" s="921" t="str">
        <f>IF(Projets!J52="","",Projets!J52)</f>
        <v/>
      </c>
      <c r="O53" s="921" t="str">
        <f>IF(Projets!K52="","",Projets!K52)</f>
        <v/>
      </c>
      <c r="P53" s="920" t="str">
        <f>IF(Projets!L52="","",Projets!L52)</f>
        <v/>
      </c>
      <c r="Q53" s="921" t="str">
        <f>IF(Projets!M52="","",Projets!M52)</f>
        <v/>
      </c>
      <c r="R53" s="921" t="str">
        <f>IF(Projets!N52="","",Projets!N52)</f>
        <v/>
      </c>
      <c r="S53" s="920" t="str">
        <f>IF(Projets!O52="","",Projets!O52)</f>
        <v/>
      </c>
      <c r="T53" s="921" t="str">
        <f>IF(Projets!P52="","",Projets!P52)</f>
        <v/>
      </c>
      <c r="U53" s="921" t="str">
        <f>IF(Projets!Q52="","",Projets!Q52)</f>
        <v/>
      </c>
      <c r="V53" s="920" t="str">
        <f>IF(Projets!R52="","",Projets!R52)</f>
        <v/>
      </c>
      <c r="W53" s="921" t="str">
        <f>IF(Projets!S52="","",Projets!S52)</f>
        <v/>
      </c>
      <c r="X53" s="921" t="str">
        <f>IF(Projets!T52="","",Projets!T52)</f>
        <v/>
      </c>
      <c r="Y53" s="921" t="str">
        <f>IF(Projets!U52="","",Projets!U52)</f>
        <v/>
      </c>
      <c r="Z53" s="921" t="str">
        <f>IF(Projets!V52="","",Projets!V52)</f>
        <v/>
      </c>
      <c r="AA53" s="921" t="str">
        <f>IF(Projets!W52="","",Projets!W52)</f>
        <v/>
      </c>
      <c r="AB53" s="921" t="str">
        <f>IF(Projets!X52="","",Projets!X52)</f>
        <v/>
      </c>
      <c r="AC53" s="921" t="str">
        <f>IF(Projets!Y52="","",Projets!Y52)</f>
        <v/>
      </c>
      <c r="AD53" s="921" t="str">
        <f>IF(Projets!Z52="","",Projets!Z52)</f>
        <v/>
      </c>
      <c r="AE53" s="921" t="str">
        <f>IF(Projets!AA52="","",Projets!AA52)</f>
        <v/>
      </c>
      <c r="AF53" s="921" t="str">
        <f>IF(Projets!AB52="","",Projets!AB52)</f>
        <v/>
      </c>
      <c r="AG53" s="921" t="str">
        <f>IF(Projets!AC52="","",Projets!AC52)</f>
        <v/>
      </c>
      <c r="AH53" s="921" t="str">
        <f>IF(Projets!AD52="","",Projets!AD52)</f>
        <v/>
      </c>
      <c r="AI53" s="1" t="str">
        <f>IF(Projets!AE52="","",Projets!AE52)</f>
        <v/>
      </c>
      <c r="AJ53" s="1" t="str">
        <f>IF(Projets!AF52="","",Projets!AF52)</f>
        <v/>
      </c>
      <c r="AK53" s="1" t="str">
        <f>IF(Projets!AG52="","",Projets!AG52)</f>
        <v/>
      </c>
    </row>
    <row r="54" spans="1:37" s="1" customFormat="1" ht="13.5" customHeight="1" x14ac:dyDescent="0.25">
      <c r="A54" s="923"/>
      <c r="B54" s="924"/>
      <c r="C54" s="924"/>
      <c r="D54" s="924"/>
      <c r="E54" s="924"/>
      <c r="F54" s="928"/>
      <c r="G54" s="314" t="s">
        <v>1992</v>
      </c>
      <c r="H54" s="759" t="s">
        <v>1991</v>
      </c>
      <c r="I54" s="925" t="str">
        <f>IF(Projets!D54=1,"Décidé",IF(Projets!C54=1,"Sélectionné",""))</f>
        <v/>
      </c>
      <c r="J54" s="917"/>
      <c r="K54" s="921" t="str">
        <f>IF(Projets!G54="","",Projets!G54)</f>
        <v>5A01</v>
      </c>
      <c r="L54" s="921">
        <f>ES5A01</f>
        <v>1</v>
      </c>
      <c r="M54" s="920">
        <f>IF(Projets!I54="","",Projets!I54)</f>
        <v>4</v>
      </c>
      <c r="N54" s="921" t="str">
        <f>IF(Projets!J54="","",Projets!J54)</f>
        <v/>
      </c>
      <c r="O54" s="921" t="str">
        <f>IF(Projets!K54="","",Projets!K54)</f>
        <v/>
      </c>
      <c r="P54" s="920" t="str">
        <f>IF(Projets!L54="","",Projets!L54)</f>
        <v/>
      </c>
      <c r="Q54" s="921" t="str">
        <f>IF(Projets!M54="","",Projets!M54)</f>
        <v/>
      </c>
      <c r="R54" s="921" t="str">
        <f>IF(Projets!N54="","",Projets!N54)</f>
        <v/>
      </c>
      <c r="S54" s="920" t="str">
        <f>IF(Projets!O54="","",Projets!O54)</f>
        <v/>
      </c>
      <c r="T54" s="921" t="str">
        <f>IF(Projets!P54="","",Projets!P54)</f>
        <v/>
      </c>
      <c r="U54" s="921" t="str">
        <f>IF(Projets!Q54="","",Projets!Q54)</f>
        <v/>
      </c>
      <c r="V54" s="920" t="str">
        <f>IF(Projets!R54="","",Projets!R54)</f>
        <v/>
      </c>
      <c r="W54" s="921" t="str">
        <f>IF(Projets!S54="","",Projets!S54)</f>
        <v/>
      </c>
      <c r="X54" s="921" t="str">
        <f>IF(Projets!T54="","",Projets!T54)</f>
        <v/>
      </c>
      <c r="Y54" s="921" t="str">
        <f>IF(Projets!U54="","",Projets!U54)</f>
        <v/>
      </c>
      <c r="Z54" s="921" t="str">
        <f>IF(Projets!V54="","",Projets!V54)</f>
        <v/>
      </c>
      <c r="AA54" s="921" t="str">
        <f>IF(Projets!W54="","",Projets!W54)</f>
        <v/>
      </c>
      <c r="AB54" s="921" t="str">
        <f>IF(Projets!X54="","",Projets!X54)</f>
        <v/>
      </c>
      <c r="AC54" s="921" t="str">
        <f>IF(Projets!Y54="","",Projets!Y54)</f>
        <v/>
      </c>
      <c r="AD54" s="921" t="str">
        <f>IF(Projets!Z54="","",Projets!Z54)</f>
        <v/>
      </c>
      <c r="AE54" s="921" t="str">
        <f>IF(Projets!AA54="","",Projets!AA54)</f>
        <v/>
      </c>
      <c r="AF54" s="921" t="str">
        <f>IF(Projets!AB54="","",Projets!AB54)</f>
        <v/>
      </c>
      <c r="AG54" s="921" t="str">
        <f>IF(Projets!AC54="","",Projets!AC54)</f>
        <v/>
      </c>
      <c r="AH54" s="921" t="str">
        <f>IF(Projets!AD54="","",Projets!AD54)</f>
        <v/>
      </c>
      <c r="AI54" s="1" t="str">
        <f>IF(Projets!AE54="","",Projets!AE54)</f>
        <v/>
      </c>
      <c r="AJ54" s="1" t="str">
        <f>IF(Projets!AF54="","",Projets!AF54)</f>
        <v/>
      </c>
      <c r="AK54" s="1" t="str">
        <f>IF(Projets!AG54="","",Projets!AG54)</f>
        <v/>
      </c>
    </row>
    <row r="55" spans="1:37" x14ac:dyDescent="0.25">
      <c r="A55" s="91"/>
      <c r="B55" s="98"/>
      <c r="C55" s="98"/>
      <c r="D55" s="98"/>
      <c r="E55" s="98"/>
      <c r="F55" s="98"/>
      <c r="G55" s="314" t="s">
        <v>2109</v>
      </c>
      <c r="H55" s="759" t="s">
        <v>1404</v>
      </c>
      <c r="I55" s="925" t="str">
        <f>IF(Projets!D28=1,"Décidé",IF(Projets!C28=1,"Sélectionné",""))</f>
        <v/>
      </c>
      <c r="J55" s="425"/>
      <c r="K55" s="481" t="str">
        <f>IF(Projets!G28="","",Projets!G28)</f>
        <v>6A01</v>
      </c>
      <c r="L55" s="481">
        <f>ES6A01</f>
        <v>1</v>
      </c>
      <c r="M55" s="481">
        <f>IF(Projets!I28="","",Projets!I28)</f>
        <v>4</v>
      </c>
      <c r="N55" s="481" t="str">
        <f>IF(Projets!J28="","",Projets!J28)</f>
        <v/>
      </c>
      <c r="O55" s="481" t="str">
        <f>IF(Projets!K28="","",Projets!K28)</f>
        <v/>
      </c>
      <c r="P55" s="481" t="str">
        <f>IF(Projets!L28="","",Projets!L28)</f>
        <v/>
      </c>
      <c r="Q55" s="481" t="str">
        <f>IF(Projets!M28="","",Projets!M28)</f>
        <v/>
      </c>
      <c r="R55" s="481" t="str">
        <f>IF(Projets!N28="","",Projets!N28)</f>
        <v/>
      </c>
      <c r="S55" s="481" t="str">
        <f>IF(Projets!O28="","",Projets!O28)</f>
        <v/>
      </c>
      <c r="T55" s="481" t="str">
        <f>IF(Projets!P28="","",Projets!P28)</f>
        <v/>
      </c>
      <c r="U55" s="481" t="str">
        <f>IF(Projets!Q28="","",Projets!Q28)</f>
        <v/>
      </c>
      <c r="V55" s="481" t="str">
        <f>IF(Projets!R28="","",Projets!R28)</f>
        <v/>
      </c>
      <c r="W55" s="481" t="str">
        <f>IF(Projets!S28="","",Projets!S28)</f>
        <v/>
      </c>
      <c r="X55" s="481" t="str">
        <f>IF(Projets!T28="","",Projets!T28)</f>
        <v/>
      </c>
      <c r="Y55" s="481" t="str">
        <f>IF(Projets!U28="","",Projets!U28)</f>
        <v/>
      </c>
      <c r="Z55" s="481" t="str">
        <f>IF(Projets!V28="","",Projets!V28)</f>
        <v/>
      </c>
      <c r="AA55" s="481" t="str">
        <f>IF(Projets!W28="","",Projets!W28)</f>
        <v/>
      </c>
      <c r="AB55" s="481" t="str">
        <f>IF(Projets!X28="","",Projets!X28)</f>
        <v/>
      </c>
      <c r="AC55" s="481" t="str">
        <f>IF(Projets!Y28="","",Projets!Y28)</f>
        <v/>
      </c>
      <c r="AD55" s="481" t="str">
        <f>IF(Projets!Z28="","",Projets!Z28)</f>
        <v/>
      </c>
      <c r="AE55" s="481" t="str">
        <f>IF(Projets!AA28="","",Projets!AA28)</f>
        <v/>
      </c>
      <c r="AF55" s="481" t="str">
        <f>IF(Projets!AB28="","",Projets!AB28)</f>
        <v/>
      </c>
      <c r="AG55" s="481" t="str">
        <f>IF(Projets!AC28="","",Projets!AC28)</f>
        <v/>
      </c>
      <c r="AH55" s="481" t="str">
        <f>IF(Projets!AD28="","",Projets!AD28)</f>
        <v/>
      </c>
      <c r="AI55" t="str">
        <f>IF(Projets!AE28="","",Projets!AE28)</f>
        <v/>
      </c>
      <c r="AJ55" t="str">
        <f>IF(Projets!AF28="","",Projets!AF28)</f>
        <v/>
      </c>
      <c r="AK55" t="str">
        <f>IF(Projets!AG28="","",Projets!AG28)</f>
        <v/>
      </c>
    </row>
    <row r="56" spans="1:37" x14ac:dyDescent="0.25">
      <c r="A56" s="91"/>
      <c r="B56" s="98"/>
      <c r="C56" s="98"/>
      <c r="D56" s="98"/>
      <c r="E56" s="98"/>
      <c r="F56" s="98"/>
      <c r="G56" s="314" t="s">
        <v>6558</v>
      </c>
      <c r="H56" s="759" t="s">
        <v>6560</v>
      </c>
      <c r="I56" s="925" t="str">
        <f>IF(Projets!D36=1,"Décidé",IF(Projets!C36=1,"Sélectionné",""))</f>
        <v/>
      </c>
      <c r="J56" s="425"/>
      <c r="K56" s="481" t="str">
        <f>IF(Projets!G36="","",Projets!G36)</f>
        <v>3A08</v>
      </c>
      <c r="L56" s="481">
        <f>ES3A08</f>
        <v>0</v>
      </c>
      <c r="M56" s="481">
        <f>IF(Projets!I36="","",Projets!I36)</f>
        <v>4</v>
      </c>
      <c r="N56" s="481" t="str">
        <f>IF(Projets!J36="","",Projets!J36)</f>
        <v>4A11</v>
      </c>
      <c r="O56" s="481">
        <f>ES4A11</f>
        <v>1</v>
      </c>
      <c r="P56" s="481">
        <f>IF(Projets!L36="","",Projets!L36)</f>
        <v>4</v>
      </c>
      <c r="Q56" s="481" t="str">
        <f>IF(Projets!M36="","",Projets!M36)</f>
        <v/>
      </c>
      <c r="R56" s="481" t="str">
        <f>IF(Projets!N36="","",Projets!N36)</f>
        <v/>
      </c>
      <c r="S56" s="481" t="str">
        <f>IF(Projets!O36="","",Projets!O36)</f>
        <v/>
      </c>
      <c r="T56" s="481" t="str">
        <f>IF(Projets!P36="","",Projets!P36)</f>
        <v/>
      </c>
      <c r="U56" s="481" t="str">
        <f>IF(Projets!Q36="","",Projets!Q36)</f>
        <v/>
      </c>
      <c r="V56" s="481" t="str">
        <f>IF(Projets!R36="","",Projets!R36)</f>
        <v/>
      </c>
      <c r="W56" s="481" t="str">
        <f>IF(Projets!S36="","",Projets!S36)</f>
        <v/>
      </c>
      <c r="X56" s="481" t="str">
        <f>IF(Projets!T36="","",Projets!T36)</f>
        <v/>
      </c>
      <c r="Y56" s="481" t="str">
        <f>IF(Projets!U36="","",Projets!U36)</f>
        <v/>
      </c>
      <c r="Z56" s="481" t="str">
        <f>IF(Projets!V36="","",Projets!V36)</f>
        <v/>
      </c>
      <c r="AA56" s="481" t="str">
        <f>IF(Projets!W36="","",Projets!W36)</f>
        <v/>
      </c>
      <c r="AB56" s="481" t="str">
        <f>IF(Projets!X36="","",Projets!X36)</f>
        <v/>
      </c>
      <c r="AC56" s="481" t="str">
        <f>IF(Projets!Y36="","",Projets!Y36)</f>
        <v/>
      </c>
      <c r="AD56" s="481" t="str">
        <f>IF(Projets!Z36="","",Projets!Z36)</f>
        <v/>
      </c>
      <c r="AE56" s="481" t="str">
        <f>IF(Projets!AA36="","",Projets!AA36)</f>
        <v/>
      </c>
      <c r="AF56" s="481" t="str">
        <f>IF(Projets!AB36="","",Projets!AB36)</f>
        <v/>
      </c>
      <c r="AG56" s="481" t="str">
        <f>IF(Projets!AC36="","",Projets!AC36)</f>
        <v/>
      </c>
      <c r="AH56" s="481" t="str">
        <f>IF(Projets!AD36="","",Projets!AD36)</f>
        <v/>
      </c>
      <c r="AI56" t="str">
        <f>IF(Projets!AE36="","",Projets!AE36)</f>
        <v/>
      </c>
      <c r="AJ56" t="str">
        <f>IF(Projets!AF36="","",Projets!AF36)</f>
        <v/>
      </c>
      <c r="AK56" t="str">
        <f>IF(Projets!AG36="","",Projets!AG36)</f>
        <v/>
      </c>
    </row>
    <row r="57" spans="1:37" x14ac:dyDescent="0.25">
      <c r="A57" s="91"/>
      <c r="B57" s="98"/>
      <c r="C57" s="98"/>
      <c r="D57" s="98"/>
      <c r="E57" s="98"/>
      <c r="F57" s="98"/>
      <c r="G57" s="314" t="s">
        <v>6553</v>
      </c>
      <c r="H57" s="759" t="s">
        <v>6554</v>
      </c>
      <c r="I57" s="925" t="str">
        <f>IF(Projets!D21=1,"Décidé",IF(Projets!C21=1,"Sélectionné",""))</f>
        <v/>
      </c>
      <c r="J57" s="425"/>
      <c r="K57" s="481" t="str">
        <f>IF(Projets!G21="","",Projets!G21)</f>
        <v>2D03</v>
      </c>
      <c r="L57" s="481">
        <f>ES2D03</f>
        <v>1</v>
      </c>
      <c r="M57" s="481">
        <f>IF(Projets!I21="","",Projets!I21)</f>
        <v>3</v>
      </c>
      <c r="N57" s="481" t="str">
        <f>IF(Projets!J21="","",Projets!J21)</f>
        <v/>
      </c>
      <c r="O57" s="481" t="str">
        <f>IF(Projets!K21="","",Projets!K21)</f>
        <v/>
      </c>
      <c r="P57" s="481" t="str">
        <f>IF(Projets!L21="","",Projets!L21)</f>
        <v/>
      </c>
      <c r="Q57" s="481" t="str">
        <f>IF(Projets!M21="","",Projets!M21)</f>
        <v/>
      </c>
      <c r="R57" s="481" t="str">
        <f>IF(Projets!N21="","",Projets!N21)</f>
        <v/>
      </c>
      <c r="S57" s="481" t="str">
        <f>IF(Projets!O21="","",Projets!O21)</f>
        <v/>
      </c>
      <c r="T57" s="481" t="str">
        <f>IF(Projets!P21="","",Projets!P21)</f>
        <v/>
      </c>
      <c r="U57" s="481" t="str">
        <f>IF(Projets!Q21="","",Projets!Q21)</f>
        <v/>
      </c>
      <c r="V57" s="481" t="str">
        <f>IF(Projets!R21="","",Projets!R21)</f>
        <v/>
      </c>
      <c r="W57" s="481" t="str">
        <f>IF(Projets!S21="","",Projets!S21)</f>
        <v/>
      </c>
      <c r="X57" s="481" t="str">
        <f>IF(Projets!T21="","",Projets!T21)</f>
        <v/>
      </c>
      <c r="Y57" s="481" t="str">
        <f>IF(Projets!U21="","",Projets!U21)</f>
        <v/>
      </c>
      <c r="Z57" s="481" t="str">
        <f>IF(Projets!V21="","",Projets!V21)</f>
        <v/>
      </c>
      <c r="AA57" s="481" t="str">
        <f>IF(Projets!W21="","",Projets!W21)</f>
        <v/>
      </c>
      <c r="AB57" s="481" t="str">
        <f>IF(Projets!X21="","",Projets!X21)</f>
        <v/>
      </c>
      <c r="AC57" s="481" t="str">
        <f>IF(Projets!Y21="","",Projets!Y21)</f>
        <v/>
      </c>
      <c r="AD57" s="481" t="str">
        <f>IF(Projets!Z21="","",Projets!Z21)</f>
        <v/>
      </c>
      <c r="AE57" s="481" t="str">
        <f>IF(Projets!AA21="","",Projets!AA21)</f>
        <v/>
      </c>
      <c r="AF57" s="481" t="str">
        <f>IF(Projets!AB21="","",Projets!AB21)</f>
        <v/>
      </c>
      <c r="AG57" s="481" t="str">
        <f>IF(Projets!AC21="","",Projets!AC21)</f>
        <v/>
      </c>
      <c r="AH57" s="481" t="str">
        <f>IF(Projets!AD21="","",Projets!AD21)</f>
        <v/>
      </c>
      <c r="AI57" t="str">
        <f>IF(Projets!AE21="","",Projets!AE21)</f>
        <v/>
      </c>
      <c r="AJ57" t="str">
        <f>IF(Projets!AF21="","",Projets!AF21)</f>
        <v/>
      </c>
      <c r="AK57" t="str">
        <f>IF(Projets!AG21="","",Projets!AG21)</f>
        <v/>
      </c>
    </row>
    <row r="58" spans="1:37" s="1" customFormat="1" ht="21" customHeight="1" x14ac:dyDescent="0.25">
      <c r="A58" s="180" t="s">
        <v>6376</v>
      </c>
      <c r="B58" s="777" t="s">
        <v>3239</v>
      </c>
      <c r="C58" s="778"/>
      <c r="D58" s="778"/>
      <c r="E58" s="778"/>
      <c r="F58" s="889"/>
      <c r="G58" s="314"/>
      <c r="H58" s="821"/>
      <c r="I58" s="665"/>
      <c r="J58" s="426"/>
      <c r="K58" s="479"/>
      <c r="L58" s="479"/>
      <c r="M58" s="479"/>
      <c r="N58" s="479"/>
      <c r="O58" s="479"/>
      <c r="P58" s="479"/>
      <c r="Q58" s="479"/>
      <c r="R58" s="479"/>
      <c r="S58" s="479"/>
      <c r="T58" s="479"/>
      <c r="U58" s="479"/>
      <c r="V58" s="479"/>
      <c r="W58" s="479"/>
      <c r="X58" s="479"/>
      <c r="Y58" s="479"/>
      <c r="Z58" s="479"/>
      <c r="AA58" s="479"/>
      <c r="AB58" s="479"/>
      <c r="AC58" s="479"/>
      <c r="AD58" s="479"/>
      <c r="AE58" s="479"/>
      <c r="AF58" s="479"/>
      <c r="AG58" s="479"/>
      <c r="AH58" s="479"/>
    </row>
    <row r="59" spans="1:37" s="1" customFormat="1" ht="12.75" customHeight="1" x14ac:dyDescent="0.25">
      <c r="A59" s="95"/>
      <c r="B59" s="1398">
        <f>COUNTIF(Scénarios!AB72:AB87,1)</f>
        <v>0</v>
      </c>
      <c r="C59" s="1408">
        <f>COUNTIF(Scénarios!AB72:AB87,2)</f>
        <v>0</v>
      </c>
      <c r="D59" s="1409">
        <f>COUNTIF(Scénarios!AB72:AB87,3)</f>
        <v>15</v>
      </c>
      <c r="E59" s="1407">
        <f>COUNTIF(Scénarios!AB72:AB87,4)</f>
        <v>1</v>
      </c>
      <c r="F59" s="1398">
        <f>SUM(B59:E59)</f>
        <v>16</v>
      </c>
      <c r="G59" s="782" t="s">
        <v>1976</v>
      </c>
      <c r="H59" s="759" t="s">
        <v>731</v>
      </c>
      <c r="I59" s="925" t="str">
        <f>IF(Projets!D25=1,"Décidé",IF(Projets!C25=1,"Sélectionné",""))</f>
        <v/>
      </c>
      <c r="J59" s="423"/>
      <c r="K59" s="481" t="str">
        <f>IF(Projets!G25="","",Projets!G25)</f>
        <v>3A02</v>
      </c>
      <c r="L59" s="481">
        <f>ES3A02</f>
        <v>0</v>
      </c>
      <c r="M59" s="481">
        <f>IF(Projets!I25="","",Projets!I25)</f>
        <v>4</v>
      </c>
      <c r="N59" s="481" t="str">
        <f>IF(Projets!J25="","",Projets!J25)</f>
        <v>3A04</v>
      </c>
      <c r="O59" s="481">
        <f>ES3A04</f>
        <v>1</v>
      </c>
      <c r="P59" s="481">
        <f>IF(Projets!L25="","",Projets!L25)</f>
        <v>4</v>
      </c>
      <c r="Q59" s="481" t="str">
        <f>IF(Projets!M25="","",Projets!M25)</f>
        <v>3A06</v>
      </c>
      <c r="R59" s="481">
        <f>ES3A06</f>
        <v>0</v>
      </c>
      <c r="S59" s="481">
        <f>IF(Projets!O25="","",Projets!O25)</f>
        <v>4</v>
      </c>
      <c r="T59" s="481" t="str">
        <f>IF(Projets!P25="","",Projets!P25)</f>
        <v>3A07</v>
      </c>
      <c r="U59" s="481">
        <f>ES3A07</f>
        <v>0</v>
      </c>
      <c r="V59" s="481">
        <f>IF(Projets!R25="","",Projets!R25)</f>
        <v>4</v>
      </c>
      <c r="W59" s="481" t="str">
        <f>IF(Projets!S25="","",Projets!S25)</f>
        <v/>
      </c>
      <c r="X59" s="481" t="str">
        <f>IF(Projets!T25="","",Projets!T25)</f>
        <v/>
      </c>
      <c r="Y59" s="481" t="str">
        <f>IF(Projets!U25="","",Projets!U25)</f>
        <v/>
      </c>
      <c r="Z59" s="481" t="str">
        <f>IF(Projets!V25="","",Projets!V25)</f>
        <v/>
      </c>
      <c r="AA59" s="481" t="str">
        <f>IF(Projets!W25="","",Projets!W25)</f>
        <v/>
      </c>
      <c r="AB59" s="481" t="str">
        <f>IF(Projets!X25="","",Projets!X25)</f>
        <v/>
      </c>
      <c r="AC59" s="481" t="str">
        <f>IF(Projets!Y25="","",Projets!Y25)</f>
        <v/>
      </c>
      <c r="AD59" s="481" t="str">
        <f>IF(Projets!Z25="","",Projets!Z25)</f>
        <v/>
      </c>
      <c r="AE59" s="481" t="str">
        <f>IF(Projets!AA25="","",Projets!AA25)</f>
        <v/>
      </c>
      <c r="AF59" s="481" t="str">
        <f>IF(Projets!AB25="","",Projets!AB25)</f>
        <v/>
      </c>
      <c r="AG59" s="481" t="str">
        <f>IF(Projets!AC25="","",Projets!AC25)</f>
        <v/>
      </c>
      <c r="AH59" s="481" t="str">
        <f>IF(Projets!AD25="","",Projets!AD25)</f>
        <v/>
      </c>
      <c r="AI59" s="1" t="str">
        <f>IF(Projets!AE25="","",Projets!AE25)</f>
        <v/>
      </c>
      <c r="AJ59" s="1" t="str">
        <f>IF(Projets!AF25="","",Projets!AF25)</f>
        <v/>
      </c>
      <c r="AK59" s="1" t="str">
        <f>IF(Projets!AG25="","",Projets!AG25)</f>
        <v/>
      </c>
    </row>
    <row r="60" spans="1:37" s="1" customFormat="1" ht="12" customHeight="1" x14ac:dyDescent="0.25">
      <c r="A60" s="91"/>
      <c r="B60" s="1294"/>
      <c r="C60" s="1294"/>
      <c r="D60" s="1294"/>
      <c r="E60" s="1294"/>
      <c r="F60" s="1294"/>
      <c r="G60" s="343" t="s">
        <v>1974</v>
      </c>
      <c r="H60" s="759" t="s">
        <v>1955</v>
      </c>
      <c r="I60" s="925" t="str">
        <f>IF(Projets!D43=1,"Décidé",IF(Projets!C43=1,"Sélectionné",""))</f>
        <v/>
      </c>
      <c r="J60" s="423"/>
      <c r="K60" s="758" t="str">
        <f>IF(Projets!G43="","",Projets!G43)</f>
        <v>6B01</v>
      </c>
      <c r="L60" s="758">
        <f>ES6B01</f>
        <v>0</v>
      </c>
      <c r="M60" s="743">
        <f>IF(Projets!I43="","",Projets!I43)</f>
        <v>4</v>
      </c>
      <c r="N60" s="758" t="str">
        <f>IF(Projets!J43="","",Projets!J43)</f>
        <v/>
      </c>
      <c r="O60" s="758" t="str">
        <f>IF(Projets!K43="","",Projets!K43)</f>
        <v/>
      </c>
      <c r="P60" s="743" t="str">
        <f>IF(Projets!L43="","",Projets!L43)</f>
        <v/>
      </c>
      <c r="Q60" s="758" t="str">
        <f>IF(Projets!M43="","",Projets!M43)</f>
        <v/>
      </c>
      <c r="R60" s="758" t="str">
        <f>IF(Projets!N43="","",Projets!N43)</f>
        <v/>
      </c>
      <c r="S60" s="743" t="str">
        <f>IF(Projets!O43="","",Projets!O43)</f>
        <v/>
      </c>
      <c r="T60" s="758" t="str">
        <f>IF(Projets!P43="","",Projets!P43)</f>
        <v/>
      </c>
      <c r="U60" s="758" t="str">
        <f>IF(Projets!Q43="","",Projets!Q43)</f>
        <v/>
      </c>
      <c r="V60" s="743" t="str">
        <f>IF(Projets!R43="","",Projets!R43)</f>
        <v/>
      </c>
      <c r="W60" s="481" t="str">
        <f>IF(Projets!S43="","",Projets!S43)</f>
        <v/>
      </c>
      <c r="X60" s="481" t="str">
        <f>IF(Projets!T43="","",Projets!T43)</f>
        <v/>
      </c>
      <c r="Y60" s="481" t="str">
        <f>IF(Projets!U43="","",Projets!U43)</f>
        <v/>
      </c>
      <c r="Z60" s="481" t="str">
        <f>IF(Projets!V43="","",Projets!V43)</f>
        <v/>
      </c>
      <c r="AA60" s="481" t="str">
        <f>IF(Projets!W43="","",Projets!W43)</f>
        <v/>
      </c>
      <c r="AB60" s="481" t="str">
        <f>IF(Projets!X43="","",Projets!X43)</f>
        <v/>
      </c>
      <c r="AC60" s="481" t="str">
        <f>IF(Projets!Y43="","",Projets!Y43)</f>
        <v/>
      </c>
      <c r="AD60" s="481" t="str">
        <f>IF(Projets!Z43="","",Projets!Z43)</f>
        <v/>
      </c>
      <c r="AE60" s="481" t="str">
        <f>IF(Projets!AA43="","",Projets!AA43)</f>
        <v/>
      </c>
      <c r="AF60" s="481" t="str">
        <f>IF(Projets!AB43="","",Projets!AB43)</f>
        <v/>
      </c>
      <c r="AG60" s="481" t="str">
        <f>IF(Projets!AC43="","",Projets!AC43)</f>
        <v/>
      </c>
      <c r="AH60" s="481" t="str">
        <f>IF(Projets!AD43="","",Projets!AD43)</f>
        <v/>
      </c>
      <c r="AI60" s="1" t="str">
        <f>IF(Projets!AE43="","",Projets!AE43)</f>
        <v/>
      </c>
      <c r="AJ60" s="1" t="str">
        <f>IF(Projets!AF43="","",Projets!AF43)</f>
        <v/>
      </c>
      <c r="AK60" s="1" t="str">
        <f>IF(Projets!AG43="","",Projets!AG43)</f>
        <v/>
      </c>
    </row>
    <row r="61" spans="1:37" s="1" customFormat="1" ht="12" customHeight="1" x14ac:dyDescent="0.25">
      <c r="A61" s="91"/>
      <c r="B61" s="1295"/>
      <c r="C61" s="1295"/>
      <c r="D61" s="1295"/>
      <c r="E61" s="1295"/>
      <c r="F61" s="1295"/>
      <c r="G61" s="312" t="s">
        <v>1975</v>
      </c>
      <c r="H61" s="759" t="s">
        <v>1956</v>
      </c>
      <c r="I61" s="925" t="str">
        <f>IF(Projets!D44=1,"Décidé",IF(Projets!C44=1,"Sélectionné",""))</f>
        <v/>
      </c>
      <c r="J61" s="423"/>
      <c r="K61" s="481" t="str">
        <f>IF(Projets!G44="","",Projets!G44)</f>
        <v>5B01</v>
      </c>
      <c r="L61" s="481">
        <f>ES5B01</f>
        <v>1</v>
      </c>
      <c r="M61" s="481">
        <f>IF(Projets!I44="","",Projets!I44)</f>
        <v>4</v>
      </c>
      <c r="N61" s="481" t="str">
        <f>IF(Projets!J44="","",Projets!J44)</f>
        <v/>
      </c>
      <c r="O61" s="481" t="str">
        <f>IF(Projets!K44="","",Projets!K44)</f>
        <v/>
      </c>
      <c r="P61" s="481" t="str">
        <f>IF(Projets!L44="","",Projets!L44)</f>
        <v/>
      </c>
      <c r="Q61" s="481" t="str">
        <f>IF(Projets!M44="","",Projets!M44)</f>
        <v/>
      </c>
      <c r="R61" s="481" t="str">
        <f>IF(Projets!N44="","",Projets!N44)</f>
        <v/>
      </c>
      <c r="S61" s="481" t="str">
        <f>IF(Projets!O44="","",Projets!O44)</f>
        <v/>
      </c>
      <c r="T61" s="481" t="str">
        <f>IF(Projets!P44="","",Projets!P44)</f>
        <v/>
      </c>
      <c r="U61" s="481" t="str">
        <f>IF(Projets!Q44="","",Projets!Q44)</f>
        <v/>
      </c>
      <c r="V61" s="481" t="str">
        <f>IF(Projets!R44="","",Projets!R44)</f>
        <v/>
      </c>
      <c r="W61" s="481" t="str">
        <f>IF(Projets!S44="","",Projets!S44)</f>
        <v/>
      </c>
      <c r="X61" s="481" t="str">
        <f>IF(Projets!T44="","",Projets!T44)</f>
        <v/>
      </c>
      <c r="Y61" s="481" t="str">
        <f>IF(Projets!U44="","",Projets!U44)</f>
        <v/>
      </c>
      <c r="Z61" s="481" t="str">
        <f>IF(Projets!V44="","",Projets!V44)</f>
        <v/>
      </c>
      <c r="AA61" s="481" t="str">
        <f>IF(Projets!W44="","",Projets!W44)</f>
        <v/>
      </c>
      <c r="AB61" s="481" t="str">
        <f>IF(Projets!X44="","",Projets!X44)</f>
        <v/>
      </c>
      <c r="AC61" s="481" t="str">
        <f>IF(Projets!Y44="","",Projets!Y44)</f>
        <v/>
      </c>
      <c r="AD61" s="481" t="str">
        <f>IF(Projets!Z44="","",Projets!Z44)</f>
        <v/>
      </c>
      <c r="AE61" s="481" t="str">
        <f>IF(Projets!AA44="","",Projets!AA44)</f>
        <v/>
      </c>
      <c r="AF61" s="481" t="str">
        <f>IF(Projets!AB44="","",Projets!AB44)</f>
        <v/>
      </c>
      <c r="AG61" s="481" t="str">
        <f>IF(Projets!AC44="","",Projets!AC44)</f>
        <v/>
      </c>
      <c r="AH61" s="481" t="str">
        <f>IF(Projets!AD44="","",Projets!AD44)</f>
        <v/>
      </c>
      <c r="AI61" s="1" t="str">
        <f>IF(Projets!AE44="","",Projets!AE44)</f>
        <v/>
      </c>
      <c r="AJ61" s="1" t="str">
        <f>IF(Projets!AF44="","",Projets!AF44)</f>
        <v/>
      </c>
      <c r="AK61" s="1" t="str">
        <f>IF(Projets!AG44="","",Projets!AG44)</f>
        <v/>
      </c>
    </row>
    <row r="62" spans="1:37" s="1" customFormat="1" ht="12" customHeight="1" x14ac:dyDescent="0.25">
      <c r="A62" s="93"/>
      <c r="B62" s="114"/>
      <c r="C62" s="114"/>
      <c r="D62" s="114"/>
      <c r="E62" s="114"/>
      <c r="F62" s="125"/>
      <c r="G62" s="759" t="s">
        <v>6290</v>
      </c>
      <c r="H62" s="759" t="s">
        <v>6291</v>
      </c>
      <c r="I62" s="925" t="str">
        <f>IF(Projets!D39=1,"Décidé",IF(Projets!C39=1,"Sélectionné",""))</f>
        <v/>
      </c>
      <c r="J62" s="423"/>
      <c r="K62" s="481" t="str">
        <f>IF(Projets!G39="","",Projets!G39)</f>
        <v>4A09</v>
      </c>
      <c r="L62" s="481">
        <f>ES4A09</f>
        <v>1</v>
      </c>
      <c r="M62" s="481">
        <f>IF(Projets!I39="","",Projets!I39)</f>
        <v>4</v>
      </c>
      <c r="N62" s="481" t="str">
        <f>IF(Projets!J39="","",Projets!J39)</f>
        <v>7B09</v>
      </c>
      <c r="O62" s="481">
        <f>ES7B09</f>
        <v>1</v>
      </c>
      <c r="P62" s="481">
        <f>IF(Projets!L39="","",Projets!L39)</f>
        <v>4</v>
      </c>
      <c r="Q62" s="481" t="str">
        <f>IF(Projets!M39="","",Projets!M39)</f>
        <v/>
      </c>
      <c r="R62" s="481" t="str">
        <f>IF(Projets!N39="","",Projets!N39)</f>
        <v/>
      </c>
      <c r="S62" s="481" t="str">
        <f>IF(Projets!O39="","",Projets!O39)</f>
        <v/>
      </c>
      <c r="T62" s="481" t="str">
        <f>IF(Projets!P39="","",Projets!P39)</f>
        <v/>
      </c>
      <c r="U62" s="481" t="str">
        <f>IF(Projets!Q39="","",Projets!Q39)</f>
        <v/>
      </c>
      <c r="V62" s="481" t="str">
        <f>IF(Projets!R39="","",Projets!R39)</f>
        <v/>
      </c>
      <c r="W62" s="481" t="str">
        <f>IF(Projets!S39="","",Projets!S39)</f>
        <v/>
      </c>
      <c r="X62" s="481" t="str">
        <f>IF(Projets!T39="","",Projets!T39)</f>
        <v/>
      </c>
      <c r="Y62" s="481" t="str">
        <f>IF(Projets!U39="","",Projets!U39)</f>
        <v/>
      </c>
      <c r="Z62" s="481" t="str">
        <f>IF(Projets!V39="","",Projets!V39)</f>
        <v/>
      </c>
      <c r="AA62" s="481" t="str">
        <f>IF(Projets!W39="","",Projets!W39)</f>
        <v/>
      </c>
      <c r="AB62" s="481" t="str">
        <f>IF(Projets!X39="","",Projets!X39)</f>
        <v/>
      </c>
      <c r="AC62" s="481" t="str">
        <f>IF(Projets!Y39="","",Projets!Y39)</f>
        <v/>
      </c>
      <c r="AD62" s="481" t="str">
        <f>IF(Projets!Z39="","",Projets!Z39)</f>
        <v/>
      </c>
      <c r="AE62" s="481" t="str">
        <f>IF(Projets!AA39="","",Projets!AA39)</f>
        <v/>
      </c>
      <c r="AF62" s="481" t="str">
        <f>IF(Projets!AB39="","",Projets!AB39)</f>
        <v/>
      </c>
      <c r="AG62" s="481" t="str">
        <f>IF(Projets!AC39="","",Projets!AC39)</f>
        <v/>
      </c>
      <c r="AH62" s="481" t="str">
        <f>IF(Projets!AD39="","",Projets!AD39)</f>
        <v/>
      </c>
      <c r="AI62" s="1" t="str">
        <f>IF(Projets!AE39="","",Projets!AE39)</f>
        <v/>
      </c>
      <c r="AJ62" s="1" t="str">
        <f>IF(Projets!AF39="","",Projets!AF39)</f>
        <v/>
      </c>
      <c r="AK62" s="1" t="str">
        <f>IF(Projets!AG39="","",Projets!AG39)</f>
        <v/>
      </c>
    </row>
    <row r="63" spans="1:37" s="1" customFormat="1" ht="12" customHeight="1" x14ac:dyDescent="0.25">
      <c r="A63" s="923"/>
      <c r="B63" s="98"/>
      <c r="C63" s="98"/>
      <c r="D63" s="98"/>
      <c r="E63" s="98"/>
      <c r="F63" s="185"/>
      <c r="G63" s="745" t="s">
        <v>2014</v>
      </c>
      <c r="H63" s="759" t="s">
        <v>4587</v>
      </c>
      <c r="I63" s="925" t="str">
        <f>IF(Projets!D11=1,"Décidé",IF(Projets!C11=1,"Sélectionné",""))</f>
        <v/>
      </c>
      <c r="J63" s="920"/>
      <c r="K63" s="921" t="str">
        <f>IF(Projets!G11="","",Projets!G11)</f>
        <v>1C06</v>
      </c>
      <c r="L63" s="921">
        <f>ES1C06</f>
        <v>0</v>
      </c>
      <c r="M63" s="921">
        <f>IF(Projets!I11="","",Projets!I11)</f>
        <v>4</v>
      </c>
      <c r="N63" s="921" t="str">
        <f>IF(Projets!J11="","",Projets!J11)</f>
        <v>4A02</v>
      </c>
      <c r="O63" s="921">
        <f>ES4A02</f>
        <v>0</v>
      </c>
      <c r="P63" s="921">
        <f>IF(Projets!L11="","",Projets!L11)</f>
        <v>4</v>
      </c>
      <c r="Q63" s="921" t="str">
        <f>IF(Projets!M11="","",Projets!M11)</f>
        <v/>
      </c>
      <c r="R63" s="921" t="str">
        <f>IF(Projets!N11="","",Projets!N11)</f>
        <v/>
      </c>
      <c r="S63" s="921" t="str">
        <f>IF(Projets!O11="","",Projets!O11)</f>
        <v/>
      </c>
      <c r="T63" s="921" t="str">
        <f>IF(Projets!P11="","",Projets!P11)</f>
        <v/>
      </c>
      <c r="U63" s="921" t="str">
        <f>IF(Projets!Q11="","",Projets!Q11)</f>
        <v/>
      </c>
      <c r="V63" s="921" t="str">
        <f>IF(Projets!R11="","",Projets!R11)</f>
        <v/>
      </c>
      <c r="W63" s="921" t="str">
        <f>IF(Projets!S11="","",Projets!S11)</f>
        <v/>
      </c>
      <c r="X63" s="921" t="str">
        <f>IF(Projets!T11="","",Projets!T11)</f>
        <v/>
      </c>
      <c r="Y63" s="921" t="str">
        <f>IF(Projets!U11="","",Projets!U11)</f>
        <v/>
      </c>
      <c r="Z63" s="921" t="str">
        <f>IF(Projets!V11="","",Projets!V11)</f>
        <v/>
      </c>
      <c r="AA63" s="921" t="str">
        <f>IF(Projets!W11="","",Projets!W11)</f>
        <v/>
      </c>
      <c r="AB63" s="921" t="str">
        <f>IF(Projets!X11="","",Projets!X11)</f>
        <v/>
      </c>
      <c r="AC63" s="921" t="str">
        <f>IF(Projets!Y11="","",Projets!Y11)</f>
        <v/>
      </c>
      <c r="AD63" s="921" t="str">
        <f>IF(Projets!Z11="","",Projets!Z11)</f>
        <v/>
      </c>
      <c r="AE63" s="921" t="str">
        <f>IF(Projets!AA11="","",Projets!AA11)</f>
        <v/>
      </c>
      <c r="AF63" s="921" t="str">
        <f>IF(Projets!AB11="","",Projets!AB11)</f>
        <v/>
      </c>
      <c r="AG63" s="921" t="str">
        <f>IF(Projets!AC11="","",Projets!AC11)</f>
        <v/>
      </c>
      <c r="AH63" s="921" t="str">
        <f>IF(Projets!AD11="","",Projets!AD11)</f>
        <v/>
      </c>
      <c r="AI63" s="1" t="str">
        <f>IF(Projets!AE11="","",Projets!AE11)</f>
        <v/>
      </c>
      <c r="AJ63" s="1" t="str">
        <f>IF(Projets!AF11="","",Projets!AF11)</f>
        <v/>
      </c>
      <c r="AK63" s="1" t="str">
        <f>IF(Projets!AG11="","",Projets!AG11)</f>
        <v/>
      </c>
    </row>
    <row r="64" spans="1:37" s="1" customFormat="1" ht="12" customHeight="1" x14ac:dyDescent="0.25">
      <c r="A64" s="923"/>
      <c r="B64" s="98"/>
      <c r="C64" s="98"/>
      <c r="D64" s="98"/>
      <c r="E64" s="98"/>
      <c r="F64" s="185"/>
      <c r="G64" s="745" t="s">
        <v>2109</v>
      </c>
      <c r="H64" s="759" t="s">
        <v>1404</v>
      </c>
      <c r="I64" s="925" t="str">
        <f>IF(Projets!D28=1,"Décidé",IF(Projets!C28=1,"Sélectionné",""))</f>
        <v/>
      </c>
      <c r="J64" s="920"/>
      <c r="K64" s="921" t="str">
        <f>IF(Projets!G28="","",Projets!G28)</f>
        <v>6A01</v>
      </c>
      <c r="L64" s="921">
        <f>ES6A01</f>
        <v>1</v>
      </c>
      <c r="M64" s="921">
        <f>IF(Projets!I28="","",Projets!I28)</f>
        <v>4</v>
      </c>
      <c r="N64" s="921" t="str">
        <f>IF(Projets!J28="","",Projets!J28)</f>
        <v/>
      </c>
      <c r="O64" s="921" t="str">
        <f>IF(Projets!K28="","",Projets!K28)</f>
        <v/>
      </c>
      <c r="P64" s="921" t="str">
        <f>IF(Projets!L28="","",Projets!L28)</f>
        <v/>
      </c>
      <c r="Q64" s="921" t="str">
        <f>IF(Projets!M28="","",Projets!M28)</f>
        <v/>
      </c>
      <c r="R64" s="921" t="str">
        <f>IF(Projets!N28="","",Projets!N28)</f>
        <v/>
      </c>
      <c r="S64" s="921" t="str">
        <f>IF(Projets!O28="","",Projets!O28)</f>
        <v/>
      </c>
      <c r="T64" s="921" t="str">
        <f>IF(Projets!P28="","",Projets!P28)</f>
        <v/>
      </c>
      <c r="U64" s="921" t="str">
        <f>IF(Projets!Q28="","",Projets!Q28)</f>
        <v/>
      </c>
      <c r="V64" s="921" t="str">
        <f>IF(Projets!R28="","",Projets!R28)</f>
        <v/>
      </c>
      <c r="W64" s="921" t="str">
        <f>IF(Projets!S28="","",Projets!S28)</f>
        <v/>
      </c>
      <c r="X64" s="921" t="str">
        <f>IF(Projets!T28="","",Projets!T28)</f>
        <v/>
      </c>
      <c r="Y64" s="921" t="str">
        <f>IF(Projets!U28="","",Projets!U28)</f>
        <v/>
      </c>
      <c r="Z64" s="921" t="str">
        <f>IF(Projets!V28="","",Projets!V28)</f>
        <v/>
      </c>
      <c r="AA64" s="921" t="str">
        <f>IF(Projets!W28="","",Projets!W28)</f>
        <v/>
      </c>
      <c r="AB64" s="921" t="str">
        <f>IF(Projets!X28="","",Projets!X28)</f>
        <v/>
      </c>
      <c r="AC64" s="921" t="str">
        <f>IF(Projets!Y28="","",Projets!Y28)</f>
        <v/>
      </c>
      <c r="AD64" s="921" t="str">
        <f>IF(Projets!Z28="","",Projets!Z28)</f>
        <v/>
      </c>
      <c r="AE64" s="921" t="str">
        <f>IF(Projets!AA28="","",Projets!AA28)</f>
        <v/>
      </c>
      <c r="AF64" s="921" t="str">
        <f>IF(Projets!AB28="","",Projets!AB28)</f>
        <v/>
      </c>
      <c r="AG64" s="921" t="str">
        <f>IF(Projets!AC28="","",Projets!AC28)</f>
        <v/>
      </c>
      <c r="AH64" s="921" t="str">
        <f>IF(Projets!AD28="","",Projets!AD28)</f>
        <v/>
      </c>
      <c r="AI64" s="1" t="str">
        <f>IF(Projets!AE28="","",Projets!AE28)</f>
        <v/>
      </c>
      <c r="AJ64" s="1" t="str">
        <f>IF(Projets!AF28="","",Projets!AF28)</f>
        <v/>
      </c>
      <c r="AK64" s="1" t="str">
        <f>IF(Projets!AG28="","",Projets!AG28)</f>
        <v/>
      </c>
    </row>
    <row r="65" spans="1:37" s="1" customFormat="1" ht="12" customHeight="1" x14ac:dyDescent="0.25">
      <c r="A65" s="923"/>
      <c r="B65" s="98"/>
      <c r="C65" s="98"/>
      <c r="D65" s="98"/>
      <c r="E65" s="98"/>
      <c r="F65" s="185"/>
      <c r="G65" s="344" t="s">
        <v>2181</v>
      </c>
      <c r="H65" s="759" t="s">
        <v>2182</v>
      </c>
      <c r="I65" s="925" t="str">
        <f>IF(Projets!D29=1,"Décidé",IF(Projets!C29=1,"Sélectionné",""))</f>
        <v/>
      </c>
      <c r="J65" s="920"/>
      <c r="K65" s="921" t="str">
        <f>IF(Projets!G29="","",Projets!G29)</f>
        <v>6C02</v>
      </c>
      <c r="L65" s="921">
        <f>ES6C02</f>
        <v>1</v>
      </c>
      <c r="M65" s="921">
        <f>IF(Projets!I29="","",Projets!I29)</f>
        <v>4</v>
      </c>
      <c r="N65" s="921" t="str">
        <f>IF(Projets!J29="","",Projets!J29)</f>
        <v/>
      </c>
      <c r="O65" s="921" t="str">
        <f>IF(Projets!K29="","",Projets!K29)</f>
        <v/>
      </c>
      <c r="P65" s="921" t="str">
        <f>IF(Projets!L29="","",Projets!L29)</f>
        <v/>
      </c>
      <c r="Q65" s="921" t="str">
        <f>IF(Projets!M29="","",Projets!M29)</f>
        <v/>
      </c>
      <c r="R65" s="921" t="str">
        <f>IF(Projets!N29="","",Projets!N29)</f>
        <v/>
      </c>
      <c r="S65" s="921" t="str">
        <f>IF(Projets!O29="","",Projets!O29)</f>
        <v/>
      </c>
      <c r="T65" s="921" t="str">
        <f>IF(Projets!P29="","",Projets!P29)</f>
        <v/>
      </c>
      <c r="U65" s="921" t="str">
        <f>IF(Projets!Q29="","",Projets!Q29)</f>
        <v/>
      </c>
      <c r="V65" s="921" t="str">
        <f>IF(Projets!R29="","",Projets!R29)</f>
        <v/>
      </c>
      <c r="W65" s="921" t="str">
        <f>IF(Projets!S29="","",Projets!S29)</f>
        <v/>
      </c>
      <c r="X65" s="921" t="str">
        <f>IF(Projets!T29="","",Projets!T29)</f>
        <v/>
      </c>
      <c r="Y65" s="921" t="str">
        <f>IF(Projets!U29="","",Projets!U29)</f>
        <v/>
      </c>
      <c r="Z65" s="921" t="str">
        <f>IF(Projets!V29="","",Projets!V29)</f>
        <v/>
      </c>
      <c r="AA65" s="921" t="str">
        <f>IF(Projets!W29="","",Projets!W29)</f>
        <v/>
      </c>
      <c r="AB65" s="921" t="str">
        <f>IF(Projets!X29="","",Projets!X29)</f>
        <v/>
      </c>
      <c r="AC65" s="921" t="str">
        <f>IF(Projets!Y29="","",Projets!Y29)</f>
        <v/>
      </c>
      <c r="AD65" s="921" t="str">
        <f>IF(Projets!Z29="","",Projets!Z29)</f>
        <v/>
      </c>
      <c r="AE65" s="921" t="str">
        <f>IF(Projets!AA29="","",Projets!AA29)</f>
        <v/>
      </c>
      <c r="AF65" s="921" t="str">
        <f>IF(Projets!AB29="","",Projets!AB29)</f>
        <v/>
      </c>
      <c r="AG65" s="921" t="str">
        <f>IF(Projets!AC29="","",Projets!AC29)</f>
        <v/>
      </c>
      <c r="AH65" s="921" t="str">
        <f>IF(Projets!AD29="","",Projets!AD29)</f>
        <v/>
      </c>
      <c r="AI65" s="1" t="str">
        <f>IF(Projets!AE29="","",Projets!AE29)</f>
        <v/>
      </c>
      <c r="AJ65" s="1" t="str">
        <f>IF(Projets!AF29="","",Projets!AF29)</f>
        <v/>
      </c>
      <c r="AK65" s="1" t="str">
        <f>IF(Projets!AG29="","",Projets!AG29)</f>
        <v/>
      </c>
    </row>
    <row r="66" spans="1:37" s="1" customFormat="1" ht="12" customHeight="1" x14ac:dyDescent="0.25">
      <c r="A66" s="923"/>
      <c r="B66" s="98"/>
      <c r="C66" s="98"/>
      <c r="D66" s="98"/>
      <c r="E66" s="98"/>
      <c r="F66" s="185"/>
      <c r="G66" s="745" t="s">
        <v>2097</v>
      </c>
      <c r="H66" s="759" t="s">
        <v>2098</v>
      </c>
      <c r="I66" s="925" t="str">
        <f>IF(Projets!D20=1,"Décidé",IF(Projets!C20=1,"Sélectionné",""))</f>
        <v/>
      </c>
      <c r="J66" s="920"/>
      <c r="K66" s="921" t="str">
        <f>IF(Projets!G20="","",Projets!G20)</f>
        <v>2D01</v>
      </c>
      <c r="L66" s="921">
        <f>ES2D01</f>
        <v>1</v>
      </c>
      <c r="M66" s="921">
        <f>IF(Projets!I20="","",Projets!I20)</f>
        <v>3</v>
      </c>
      <c r="N66" s="921" t="str">
        <f>IF(Projets!J20="","",Projets!J20)</f>
        <v>2D02</v>
      </c>
      <c r="O66" s="921">
        <f>ES2D02</f>
        <v>1</v>
      </c>
      <c r="P66" s="921">
        <f>IF(Projets!L20="","",Projets!L20)</f>
        <v>3</v>
      </c>
      <c r="Q66" s="921" t="str">
        <f>IF(Projets!M20="","",Projets!M20)</f>
        <v>2D04</v>
      </c>
      <c r="R66" s="921">
        <f>ES2D04</f>
        <v>1</v>
      </c>
      <c r="S66" s="921">
        <f>IF(Projets!O20="","",Projets!O20)</f>
        <v>3</v>
      </c>
      <c r="T66" s="921" t="str">
        <f>IF(Projets!P20="","",Projets!P20)</f>
        <v/>
      </c>
      <c r="U66" s="921" t="str">
        <f>IF(Projets!Q20="","",Projets!Q20)</f>
        <v/>
      </c>
      <c r="V66" s="921" t="str">
        <f>IF(Projets!R20="","",Projets!R20)</f>
        <v/>
      </c>
      <c r="W66" s="921" t="str">
        <f>IF(Projets!S20="","",Projets!S20)</f>
        <v/>
      </c>
      <c r="X66" s="921" t="str">
        <f>IF(Projets!T20="","",Projets!T20)</f>
        <v/>
      </c>
      <c r="Y66" s="921" t="str">
        <f>IF(Projets!U20="","",Projets!U20)</f>
        <v/>
      </c>
      <c r="Z66" s="921" t="str">
        <f>IF(Projets!V20="","",Projets!V20)</f>
        <v/>
      </c>
      <c r="AA66" s="921" t="str">
        <f>IF(Projets!W20="","",Projets!W20)</f>
        <v/>
      </c>
      <c r="AB66" s="921" t="str">
        <f>IF(Projets!X20="","",Projets!X20)</f>
        <v/>
      </c>
      <c r="AC66" s="921" t="str">
        <f>IF(Projets!Y20="","",Projets!Y20)</f>
        <v/>
      </c>
      <c r="AD66" s="921" t="str">
        <f>IF(Projets!Z20="","",Projets!Z20)</f>
        <v/>
      </c>
      <c r="AE66" s="921" t="str">
        <f>IF(Projets!AA20="","",Projets!AA20)</f>
        <v/>
      </c>
      <c r="AF66" s="921" t="str">
        <f>IF(Projets!AB20="","",Projets!AB20)</f>
        <v/>
      </c>
      <c r="AG66" s="921" t="str">
        <f>IF(Projets!AC20="","",Projets!AC20)</f>
        <v/>
      </c>
      <c r="AH66" s="921" t="str">
        <f>IF(Projets!AD20="","",Projets!AD20)</f>
        <v/>
      </c>
      <c r="AI66" s="1" t="str">
        <f>IF(Projets!AE20="","",Projets!AE20)</f>
        <v/>
      </c>
      <c r="AJ66" s="1" t="str">
        <f>IF(Projets!AF20="","",Projets!AF20)</f>
        <v/>
      </c>
      <c r="AK66" s="1" t="str">
        <f>IF(Projets!AG20="","",Projets!AG20)</f>
        <v/>
      </c>
    </row>
    <row r="67" spans="1:37" s="1" customFormat="1" ht="12" customHeight="1" x14ac:dyDescent="0.25">
      <c r="A67" s="91"/>
      <c r="B67" s="98"/>
      <c r="C67" s="98"/>
      <c r="D67" s="98"/>
      <c r="E67" s="98"/>
      <c r="F67" s="185"/>
      <c r="G67" s="759" t="s">
        <v>6288</v>
      </c>
      <c r="H67" s="759" t="s">
        <v>6289</v>
      </c>
      <c r="I67" s="925" t="str">
        <f>IF(Projets!D47=1,"Décidé",IF(Projets!C47=1,"Sélectionné",""))</f>
        <v/>
      </c>
      <c r="J67" s="423"/>
      <c r="K67" s="481" t="str">
        <f>IF(Projets!G47="","",Projets!G47)</f>
        <v>4E03</v>
      </c>
      <c r="L67" s="481">
        <f>ES4E03</f>
        <v>1</v>
      </c>
      <c r="M67" s="481">
        <f>IF(Projets!I47="","",Projets!I47)</f>
        <v>4</v>
      </c>
      <c r="N67" s="481" t="str">
        <f>IF(Projets!J47="","",Projets!J47)</f>
        <v/>
      </c>
      <c r="O67" s="481" t="str">
        <f>IF(Projets!K47="","",Projets!K47)</f>
        <v/>
      </c>
      <c r="P67" s="481" t="str">
        <f>IF(Projets!L47="","",Projets!L47)</f>
        <v/>
      </c>
      <c r="Q67" s="481" t="str">
        <f>IF(Projets!M47="","",Projets!M47)</f>
        <v/>
      </c>
      <c r="R67" s="481" t="str">
        <f>IF(Projets!N47="","",Projets!N47)</f>
        <v/>
      </c>
      <c r="S67" s="481" t="str">
        <f>IF(Projets!O47="","",Projets!O47)</f>
        <v/>
      </c>
      <c r="T67" s="481" t="str">
        <f>IF(Projets!P47="","",Projets!P47)</f>
        <v/>
      </c>
      <c r="U67" s="481" t="str">
        <f>IF(Projets!Q47="","",Projets!Q47)</f>
        <v/>
      </c>
      <c r="V67" s="481" t="str">
        <f>IF(Projets!R47="","",Projets!R47)</f>
        <v/>
      </c>
      <c r="W67" s="481" t="str">
        <f>IF(Projets!S47="","",Projets!S47)</f>
        <v/>
      </c>
      <c r="X67" s="481" t="str">
        <f>IF(Projets!T47="","",Projets!T47)</f>
        <v/>
      </c>
      <c r="Y67" s="481" t="str">
        <f>IF(Projets!U47="","",Projets!U47)</f>
        <v/>
      </c>
      <c r="Z67" s="481" t="str">
        <f>IF(Projets!V47="","",Projets!V47)</f>
        <v/>
      </c>
      <c r="AA67" s="481" t="str">
        <f>IF(Projets!W47="","",Projets!W47)</f>
        <v/>
      </c>
      <c r="AB67" s="481" t="str">
        <f>IF(Projets!X47="","",Projets!X47)</f>
        <v/>
      </c>
      <c r="AC67" s="481" t="str">
        <f>IF(Projets!Y47="","",Projets!Y47)</f>
        <v/>
      </c>
      <c r="AD67" s="481" t="str">
        <f>IF(Projets!Z47="","",Projets!Z47)</f>
        <v/>
      </c>
      <c r="AE67" s="481" t="str">
        <f>IF(Projets!AA47="","",Projets!AA47)</f>
        <v/>
      </c>
      <c r="AF67" s="481" t="str">
        <f>IF(Projets!AB47="","",Projets!AB47)</f>
        <v/>
      </c>
      <c r="AG67" s="481" t="str">
        <f>IF(Projets!AC47="","",Projets!AC47)</f>
        <v/>
      </c>
      <c r="AH67" s="481" t="str">
        <f>IF(Projets!AD47="","",Projets!AD47)</f>
        <v/>
      </c>
      <c r="AI67" s="1" t="str">
        <f>IF(Projets!AE47="","",Projets!AE47)</f>
        <v/>
      </c>
      <c r="AJ67" s="1" t="str">
        <f>IF(Projets!AF47="","",Projets!AF47)</f>
        <v/>
      </c>
      <c r="AK67" s="1" t="str">
        <f>IF(Projets!AG47="","",Projets!AG47)</f>
        <v/>
      </c>
    </row>
    <row r="68" spans="1:37" s="1" customFormat="1" ht="12" customHeight="1" x14ac:dyDescent="0.25">
      <c r="A68" s="91"/>
      <c r="B68" s="98"/>
      <c r="C68" s="98"/>
      <c r="D68" s="98"/>
      <c r="E68" s="98"/>
      <c r="F68" s="185"/>
      <c r="G68" s="341" t="s">
        <v>6558</v>
      </c>
      <c r="H68" s="759" t="s">
        <v>6560</v>
      </c>
      <c r="I68" s="925" t="str">
        <f>IF(Projets!D36=1,"Décidé",IF(Projets!C36=1,"Sélectionné",""))</f>
        <v/>
      </c>
      <c r="J68" s="423"/>
      <c r="K68" s="481" t="str">
        <f>IF(Projets!G36="","",Projets!G36)</f>
        <v>3A08</v>
      </c>
      <c r="L68" s="481">
        <f>ES3A08</f>
        <v>0</v>
      </c>
      <c r="M68" s="481">
        <f>IF(Projets!I36="","",Projets!I36)</f>
        <v>4</v>
      </c>
      <c r="N68" s="481" t="str">
        <f>IF(Projets!J36="","",Projets!J36)</f>
        <v>4A11</v>
      </c>
      <c r="O68" s="481">
        <f>ES4A11</f>
        <v>1</v>
      </c>
      <c r="P68" s="481">
        <f>IF(Projets!L36="","",Projets!L36)</f>
        <v>4</v>
      </c>
      <c r="Q68" s="481" t="str">
        <f>IF(Projets!M36="","",Projets!M36)</f>
        <v/>
      </c>
      <c r="R68" s="481" t="str">
        <f>IF(Projets!N36="","",Projets!N36)</f>
        <v/>
      </c>
      <c r="S68" s="481" t="str">
        <f>IF(Projets!O36="","",Projets!O36)</f>
        <v/>
      </c>
      <c r="T68" s="481" t="str">
        <f>IF(Projets!P36="","",Projets!P36)</f>
        <v/>
      </c>
      <c r="U68" s="481" t="str">
        <f>IF(Projets!Q36="","",Projets!Q36)</f>
        <v/>
      </c>
      <c r="V68" s="481" t="str">
        <f>IF(Projets!R36="","",Projets!R36)</f>
        <v/>
      </c>
      <c r="W68" s="481" t="str">
        <f>IF(Projets!S36="","",Projets!S36)</f>
        <v/>
      </c>
      <c r="X68" s="481" t="str">
        <f>IF(Projets!T36="","",Projets!T36)</f>
        <v/>
      </c>
      <c r="Y68" s="481" t="str">
        <f>IF(Projets!U36="","",Projets!U36)</f>
        <v/>
      </c>
      <c r="Z68" s="481" t="str">
        <f>IF(Projets!V36="","",Projets!V36)</f>
        <v/>
      </c>
      <c r="AA68" s="481" t="str">
        <f>IF(Projets!W36="","",Projets!W36)</f>
        <v/>
      </c>
      <c r="AB68" s="481" t="str">
        <f>IF(Projets!X36="","",Projets!X36)</f>
        <v/>
      </c>
      <c r="AC68" s="481" t="str">
        <f>IF(Projets!Y36="","",Projets!Y36)</f>
        <v/>
      </c>
      <c r="AD68" s="481" t="str">
        <f>IF(Projets!Z36="","",Projets!Z36)</f>
        <v/>
      </c>
      <c r="AE68" s="481" t="str">
        <f>IF(Projets!AA36="","",Projets!AA36)</f>
        <v/>
      </c>
      <c r="AF68" s="481" t="str">
        <f>IF(Projets!AB36="","",Projets!AB36)</f>
        <v/>
      </c>
      <c r="AG68" s="481" t="str">
        <f>IF(Projets!AC36="","",Projets!AC36)</f>
        <v/>
      </c>
      <c r="AH68" s="481" t="str">
        <f>IF(Projets!AD36="","",Projets!AD36)</f>
        <v/>
      </c>
      <c r="AI68" s="1" t="str">
        <f>IF(Projets!AE36="","",Projets!AE36)</f>
        <v/>
      </c>
      <c r="AJ68" s="1" t="str">
        <f>IF(Projets!AF36="","",Projets!AF36)</f>
        <v/>
      </c>
      <c r="AK68" s="1" t="str">
        <f>IF(Projets!AG36="","",Projets!AG36)</f>
        <v/>
      </c>
    </row>
    <row r="69" spans="1:37" s="1" customFormat="1" ht="12" customHeight="1" x14ac:dyDescent="0.25">
      <c r="A69" s="91"/>
      <c r="B69" s="98"/>
      <c r="C69" s="98"/>
      <c r="D69" s="98"/>
      <c r="E69" s="98"/>
      <c r="F69" s="185"/>
      <c r="G69" s="759" t="s">
        <v>6553</v>
      </c>
      <c r="H69" s="349" t="s">
        <v>6554</v>
      </c>
      <c r="I69" s="925" t="str">
        <f>IF(Projets!D21=1,"Décidé",IF(Projets!C21=1,"Sélectionné",""))</f>
        <v/>
      </c>
      <c r="J69" s="423"/>
      <c r="K69" s="481" t="str">
        <f>IF(Projets!G21="","",Projets!G21)</f>
        <v>2D03</v>
      </c>
      <c r="L69" s="481">
        <f>ES2D03</f>
        <v>1</v>
      </c>
      <c r="M69" s="481">
        <f>IF(Projets!I21="","",Projets!I21)</f>
        <v>3</v>
      </c>
      <c r="N69" s="481" t="str">
        <f>IF(Projets!J21="","",Projets!J21)</f>
        <v/>
      </c>
      <c r="O69" s="481" t="str">
        <f>IF(Projets!K21="","",Projets!K21)</f>
        <v/>
      </c>
      <c r="P69" s="481" t="str">
        <f>IF(Projets!L21="","",Projets!L21)</f>
        <v/>
      </c>
      <c r="Q69" s="481" t="str">
        <f>IF(Projets!M21="","",Projets!M21)</f>
        <v/>
      </c>
      <c r="R69" s="481" t="str">
        <f>IF(Projets!N21="","",Projets!N21)</f>
        <v/>
      </c>
      <c r="S69" s="481" t="str">
        <f>IF(Projets!O21="","",Projets!O21)</f>
        <v/>
      </c>
      <c r="T69" s="481" t="str">
        <f>IF(Projets!P21="","",Projets!P21)</f>
        <v/>
      </c>
      <c r="U69" s="481" t="str">
        <f>IF(Projets!Q21="","",Projets!Q21)</f>
        <v/>
      </c>
      <c r="V69" s="481" t="str">
        <f>IF(Projets!R21="","",Projets!R21)</f>
        <v/>
      </c>
      <c r="W69" s="481" t="str">
        <f>IF(Projets!S21="","",Projets!S21)</f>
        <v/>
      </c>
      <c r="X69" s="481" t="str">
        <f>IF(Projets!T21="","",Projets!T21)</f>
        <v/>
      </c>
      <c r="Y69" s="481" t="str">
        <f>IF(Projets!U21="","",Projets!U21)</f>
        <v/>
      </c>
      <c r="Z69" s="481" t="str">
        <f>IF(Projets!V21="","",Projets!V21)</f>
        <v/>
      </c>
      <c r="AA69" s="481" t="str">
        <f>IF(Projets!W21="","",Projets!W21)</f>
        <v/>
      </c>
      <c r="AB69" s="481" t="str">
        <f>IF(Projets!X21="","",Projets!X21)</f>
        <v/>
      </c>
      <c r="AC69" s="481" t="str">
        <f>IF(Projets!Y21="","",Projets!Y21)</f>
        <v/>
      </c>
      <c r="AD69" s="481" t="str">
        <f>IF(Projets!Z21="","",Projets!Z21)</f>
        <v/>
      </c>
      <c r="AE69" s="481" t="str">
        <f>IF(Projets!AA21="","",Projets!AA21)</f>
        <v/>
      </c>
      <c r="AF69" s="481" t="str">
        <f>IF(Projets!AB21="","",Projets!AB21)</f>
        <v/>
      </c>
      <c r="AG69" s="481" t="str">
        <f>IF(Projets!AC21="","",Projets!AC21)</f>
        <v/>
      </c>
      <c r="AH69" s="481" t="str">
        <f>IF(Projets!AD21="","",Projets!AD21)</f>
        <v/>
      </c>
      <c r="AI69" s="1" t="str">
        <f>IF(Projets!AE21="","",Projets!AE21)</f>
        <v/>
      </c>
      <c r="AJ69" s="1" t="str">
        <f>IF(Projets!AF21="","",Projets!AF21)</f>
        <v/>
      </c>
      <c r="AK69" s="1" t="str">
        <f>IF(Projets!AG21="","",Projets!AG21)</f>
        <v/>
      </c>
    </row>
    <row r="70" spans="1:37" s="1" customFormat="1" ht="14.25" customHeight="1" x14ac:dyDescent="0.25">
      <c r="A70" s="180" t="s">
        <v>6394</v>
      </c>
      <c r="B70" s="328" t="s">
        <v>350</v>
      </c>
      <c r="C70" s="57"/>
      <c r="D70" s="57"/>
      <c r="E70" s="57"/>
      <c r="F70" s="329"/>
      <c r="G70" s="314"/>
      <c r="H70" s="823"/>
      <c r="I70" s="668"/>
      <c r="J70" s="427"/>
      <c r="K70" s="479"/>
      <c r="L70" s="479"/>
      <c r="M70" s="479"/>
      <c r="N70" s="479"/>
      <c r="O70" s="479"/>
      <c r="P70" s="479"/>
      <c r="Q70" s="479"/>
      <c r="R70" s="479"/>
      <c r="S70" s="479"/>
      <c r="T70" s="479"/>
      <c r="U70" s="479"/>
      <c r="V70" s="479"/>
      <c r="W70" s="479"/>
      <c r="X70" s="479"/>
      <c r="Y70" s="479"/>
      <c r="Z70" s="479"/>
      <c r="AA70" s="479"/>
      <c r="AB70" s="479"/>
      <c r="AC70" s="479"/>
      <c r="AD70" s="479"/>
      <c r="AE70" s="479"/>
      <c r="AF70" s="479"/>
      <c r="AG70" s="479"/>
      <c r="AH70" s="479"/>
    </row>
    <row r="71" spans="1:37" s="1" customFormat="1" ht="12" customHeight="1" x14ac:dyDescent="0.25">
      <c r="A71" s="95"/>
      <c r="B71" s="1398">
        <f>COUNTIF(Scénarios!AB89:AB93,1)</f>
        <v>0</v>
      </c>
      <c r="C71" s="1408">
        <f>COUNTIF(Scénarios!AB89:AB93,2)</f>
        <v>0</v>
      </c>
      <c r="D71" s="1409">
        <f>COUNTIF(Scénarios!AB89:AB93,3)</f>
        <v>0</v>
      </c>
      <c r="E71" s="1407">
        <f>COUNTIF(Scénarios!AB89:AB93,4)</f>
        <v>0</v>
      </c>
      <c r="F71" s="1398">
        <f>SUM(B71:E71)</f>
        <v>0</v>
      </c>
      <c r="G71" s="341" t="s">
        <v>1989</v>
      </c>
      <c r="H71" s="341" t="s">
        <v>1971</v>
      </c>
      <c r="I71" s="666" t="str">
        <f>IF(Projets!D63=1,"Décidé",IF(Projets!C63=1,"Sélectionné",""))</f>
        <v/>
      </c>
      <c r="J71" s="423"/>
      <c r="K71" s="481" t="str">
        <f>IF(Projets!G63="","",Projets!G63)</f>
        <v>2E01</v>
      </c>
      <c r="L71" s="481">
        <f>ES2E01</f>
        <v>1</v>
      </c>
      <c r="M71" s="481">
        <f>IF(Projets!I63="","",Projets!I63)</f>
        <v>4</v>
      </c>
      <c r="N71" s="481" t="str">
        <f>IF(Projets!J63="","",Projets!J63)</f>
        <v>2E02</v>
      </c>
      <c r="O71" s="481">
        <f>ES2E02</f>
        <v>1</v>
      </c>
      <c r="P71" s="481">
        <f>IF(Projets!L63="","",Projets!L63)</f>
        <v>4</v>
      </c>
      <c r="Q71" s="481" t="str">
        <f>IF(Projets!M63="","",Projets!M63)</f>
        <v>6A02</v>
      </c>
      <c r="R71" s="481">
        <f>ES6A02</f>
        <v>0</v>
      </c>
      <c r="S71" s="481">
        <f>IF(Projets!O63="","",Projets!O63)</f>
        <v>4</v>
      </c>
      <c r="T71" s="481" t="str">
        <f>IF(Projets!P63="","",Projets!P63)</f>
        <v/>
      </c>
      <c r="U71" s="481" t="str">
        <f>IF(Projets!Q63="","",Projets!Q63)</f>
        <v/>
      </c>
      <c r="V71" s="481" t="str">
        <f>IF(Projets!R63="","",Projets!R63)</f>
        <v/>
      </c>
      <c r="W71" s="481" t="str">
        <f>IF(Projets!S63="","",Projets!S63)</f>
        <v/>
      </c>
      <c r="X71" s="481" t="str">
        <f>IF(Projets!T63="","",Projets!T63)</f>
        <v/>
      </c>
      <c r="Y71" s="481" t="str">
        <f>IF(Projets!U63="","",Projets!U63)</f>
        <v/>
      </c>
      <c r="Z71" s="481" t="str">
        <f>IF(Projets!V63="","",Projets!V63)</f>
        <v/>
      </c>
      <c r="AA71" s="481" t="str">
        <f>IF(Projets!W63="","",Projets!W63)</f>
        <v/>
      </c>
      <c r="AB71" s="481" t="str">
        <f>IF(Projets!X63="","",Projets!X63)</f>
        <v/>
      </c>
      <c r="AC71" s="481" t="str">
        <f>IF(Projets!Y63="","",Projets!Y63)</f>
        <v/>
      </c>
      <c r="AD71" s="481" t="str">
        <f>IF(Projets!Z63="","",Projets!Z63)</f>
        <v/>
      </c>
      <c r="AE71" s="481" t="str">
        <f>IF(Projets!AA63="","",Projets!AA63)</f>
        <v/>
      </c>
      <c r="AF71" s="481" t="str">
        <f>IF(Projets!AB63="","",Projets!AB63)</f>
        <v/>
      </c>
      <c r="AG71" s="481" t="str">
        <f>IF(Projets!AC63="","",Projets!AC63)</f>
        <v/>
      </c>
      <c r="AH71" s="481" t="str">
        <f>IF(Projets!AD63="","",Projets!AD63)</f>
        <v/>
      </c>
      <c r="AI71" s="1" t="str">
        <f>IF(Projets!AE63="","",Projets!AE63)</f>
        <v/>
      </c>
      <c r="AJ71" s="1" t="str">
        <f>IF(Projets!AF63="","",Projets!AF63)</f>
        <v/>
      </c>
      <c r="AK71" s="1" t="str">
        <f>IF(Projets!AG63="","",Projets!AG63)</f>
        <v/>
      </c>
    </row>
    <row r="72" spans="1:37" x14ac:dyDescent="0.25">
      <c r="A72" s="91"/>
      <c r="B72" s="1294"/>
      <c r="C72" s="1294"/>
      <c r="D72" s="1294"/>
      <c r="E72" s="1294"/>
      <c r="F72" s="1294"/>
      <c r="G72" s="341" t="s">
        <v>2111</v>
      </c>
      <c r="H72" s="341" t="s">
        <v>2112</v>
      </c>
      <c r="I72" s="666" t="str">
        <f>IF(Projets!D64=1,"Décidé",IF(Projets!C64=1,"Sélectionné",""))</f>
        <v/>
      </c>
      <c r="J72" s="423"/>
      <c r="K72" s="481" t="str">
        <f>IF(Projets!G64="","",Projets!G64)</f>
        <v>6B05</v>
      </c>
      <c r="L72" s="481">
        <f>ES6B05</f>
        <v>1</v>
      </c>
      <c r="M72" s="481">
        <f>IF(Projets!I64="","",Projets!I64)</f>
        <v>4</v>
      </c>
      <c r="N72" s="481" t="str">
        <f>IF(Projets!J64="","",Projets!J64)</f>
        <v/>
      </c>
      <c r="O72" s="481" t="str">
        <f>IF(Projets!K64="","",Projets!K64)</f>
        <v/>
      </c>
      <c r="P72" s="481" t="str">
        <f>IF(Projets!L64="","",Projets!L64)</f>
        <v/>
      </c>
      <c r="Q72" s="481" t="str">
        <f>IF(Projets!M64="","",Projets!M64)</f>
        <v/>
      </c>
      <c r="R72" s="481" t="str">
        <f>IF(Projets!N64="","",Projets!N64)</f>
        <v/>
      </c>
      <c r="S72" s="481" t="str">
        <f>IF(Projets!O64="","",Projets!O64)</f>
        <v/>
      </c>
      <c r="T72" s="481" t="str">
        <f>IF(Projets!P64="","",Projets!P64)</f>
        <v/>
      </c>
      <c r="U72" s="481" t="str">
        <f>IF(Projets!Q64="","",Projets!Q64)</f>
        <v/>
      </c>
      <c r="V72" s="481" t="str">
        <f>IF(Projets!R64="","",Projets!R64)</f>
        <v/>
      </c>
      <c r="W72" s="481" t="str">
        <f>IF(Projets!S64="","",Projets!S64)</f>
        <v/>
      </c>
      <c r="X72" s="481" t="str">
        <f>IF(Projets!T64="","",Projets!T64)</f>
        <v/>
      </c>
      <c r="Y72" s="481" t="str">
        <f>IF(Projets!U64="","",Projets!U64)</f>
        <v/>
      </c>
      <c r="Z72" s="481" t="str">
        <f>IF(Projets!V64="","",Projets!V64)</f>
        <v/>
      </c>
      <c r="AA72" s="481" t="str">
        <f>IF(Projets!W64="","",Projets!W64)</f>
        <v/>
      </c>
      <c r="AB72" s="481" t="str">
        <f>IF(Projets!X64="","",Projets!X64)</f>
        <v/>
      </c>
      <c r="AC72" s="481" t="str">
        <f>IF(Projets!Y64="","",Projets!Y64)</f>
        <v/>
      </c>
      <c r="AD72" s="481" t="str">
        <f>IF(Projets!Z64="","",Projets!Z64)</f>
        <v/>
      </c>
      <c r="AE72" s="481" t="str">
        <f>IF(Projets!AA64="","",Projets!AA64)</f>
        <v/>
      </c>
      <c r="AF72" s="481" t="str">
        <f>IF(Projets!AB64="","",Projets!AB64)</f>
        <v/>
      </c>
      <c r="AG72" s="481" t="str">
        <f>IF(Projets!AC64="","",Projets!AC64)</f>
        <v/>
      </c>
      <c r="AH72" s="481" t="str">
        <f>IF(Projets!AD64="","",Projets!AD64)</f>
        <v/>
      </c>
      <c r="AI72" t="str">
        <f>IF(Projets!AE64="","",Projets!AE64)</f>
        <v/>
      </c>
      <c r="AJ72" t="str">
        <f>IF(Projets!AF64="","",Projets!AF64)</f>
        <v/>
      </c>
      <c r="AK72" t="str">
        <f>IF(Projets!AG64="","",Projets!AG64)</f>
        <v/>
      </c>
    </row>
    <row r="73" spans="1:37" s="1" customFormat="1" ht="13.5" customHeight="1" x14ac:dyDescent="0.25">
      <c r="A73" s="93"/>
      <c r="B73" s="1295"/>
      <c r="C73" s="1295"/>
      <c r="D73" s="1295"/>
      <c r="E73" s="1295"/>
      <c r="F73" s="1295"/>
      <c r="G73" s="314" t="s">
        <v>2097</v>
      </c>
      <c r="H73" s="341" t="s">
        <v>2098</v>
      </c>
      <c r="I73" s="666" t="str">
        <f>IF(Projets!D20=1,"Décidé",IF(Projets!C20=1,"Sélectionné",""))</f>
        <v/>
      </c>
      <c r="J73" s="423"/>
      <c r="K73" s="481" t="str">
        <f>IF(Projets!G20="","",Projets!G20)</f>
        <v>2D01</v>
      </c>
      <c r="L73" s="481">
        <f>ES2D01</f>
        <v>1</v>
      </c>
      <c r="M73" s="481">
        <f>IF(Projets!I20="","",Projets!I20)</f>
        <v>3</v>
      </c>
      <c r="N73" s="481" t="str">
        <f>IF(Projets!J20="","",Projets!J20)</f>
        <v>2D02</v>
      </c>
      <c r="O73" s="481">
        <f>ES2D02</f>
        <v>1</v>
      </c>
      <c r="P73" s="481">
        <f>IF(Projets!L20="","",Projets!L20)</f>
        <v>3</v>
      </c>
      <c r="Q73" s="481" t="str">
        <f>IF(Projets!M20="","",Projets!M20)</f>
        <v>2D04</v>
      </c>
      <c r="R73" s="481">
        <f>ES2D04</f>
        <v>1</v>
      </c>
      <c r="S73" s="481">
        <f>IF(Projets!O20="","",Projets!O20)</f>
        <v>3</v>
      </c>
      <c r="T73" s="481" t="str">
        <f>IF(Projets!P20="","",Projets!P20)</f>
        <v/>
      </c>
      <c r="U73" s="481" t="str">
        <f>IF(Projets!Q20="","",Projets!Q20)</f>
        <v/>
      </c>
      <c r="V73" s="481" t="str">
        <f>IF(Projets!R20="","",Projets!R20)</f>
        <v/>
      </c>
      <c r="W73" s="481" t="str">
        <f>IF(Projets!S20="","",Projets!S20)</f>
        <v/>
      </c>
      <c r="X73" s="481" t="str">
        <f>IF(Projets!T20="","",Projets!T20)</f>
        <v/>
      </c>
      <c r="Y73" s="481" t="str">
        <f>IF(Projets!U20="","",Projets!U20)</f>
        <v/>
      </c>
      <c r="Z73" s="481" t="str">
        <f>IF(Projets!V20="","",Projets!V20)</f>
        <v/>
      </c>
      <c r="AA73" s="481" t="str">
        <f>IF(Projets!W20="","",Projets!W20)</f>
        <v/>
      </c>
      <c r="AB73" s="481" t="str">
        <f>IF(Projets!X20="","",Projets!X20)</f>
        <v/>
      </c>
      <c r="AC73" s="481" t="str">
        <f>IF(Projets!Y20="","",Projets!Y20)</f>
        <v/>
      </c>
      <c r="AD73" s="481" t="str">
        <f>IF(Projets!Z20="","",Projets!Z20)</f>
        <v/>
      </c>
      <c r="AE73" s="481" t="str">
        <f>IF(Projets!AA20="","",Projets!AA20)</f>
        <v/>
      </c>
      <c r="AF73" s="481" t="str">
        <f>IF(Projets!AB20="","",Projets!AB20)</f>
        <v/>
      </c>
      <c r="AG73" s="481" t="str">
        <f>IF(Projets!AC20="","",Projets!AC20)</f>
        <v/>
      </c>
      <c r="AH73" s="481" t="str">
        <f>IF(Projets!AD20="","",Projets!AD20)</f>
        <v/>
      </c>
      <c r="AI73" s="1" t="str">
        <f>IF(Projets!AE20="","",Projets!AE20)</f>
        <v/>
      </c>
      <c r="AJ73" s="1" t="str">
        <f>IF(Projets!AF20="","",Projets!AF20)</f>
        <v/>
      </c>
      <c r="AK73" s="1" t="str">
        <f>IF(Projets!AG20="","",Projets!AG20)</f>
        <v/>
      </c>
    </row>
    <row r="74" spans="1:37" s="1" customFormat="1" ht="13.5" customHeight="1" x14ac:dyDescent="0.25">
      <c r="A74" s="91"/>
      <c r="B74" s="114"/>
      <c r="C74" s="114"/>
      <c r="D74" s="114"/>
      <c r="E74" s="114"/>
      <c r="F74" s="125"/>
      <c r="G74" s="344" t="s">
        <v>6553</v>
      </c>
      <c r="H74" s="344" t="s">
        <v>6554</v>
      </c>
      <c r="I74" s="666" t="str">
        <f>IF(Projets!D21=1,"Décidé",IF(Projets!C21=1,"Sélectionné",""))</f>
        <v/>
      </c>
      <c r="J74" s="423"/>
      <c r="K74" s="481" t="str">
        <f>IF(Projets!G21="","",Projets!G21)</f>
        <v>2D03</v>
      </c>
      <c r="L74" s="481">
        <f>ES2D03</f>
        <v>1</v>
      </c>
      <c r="M74" s="481">
        <f>IF(Projets!I21="","",Projets!I21)</f>
        <v>3</v>
      </c>
      <c r="N74" s="481" t="str">
        <f>IF(Projets!J21="","",Projets!J21)</f>
        <v/>
      </c>
      <c r="O74" s="481" t="str">
        <f>IF(Projets!K21="","",Projets!K21)</f>
        <v/>
      </c>
      <c r="P74" s="481" t="str">
        <f>IF(Projets!L21="","",Projets!L21)</f>
        <v/>
      </c>
      <c r="Q74" s="481" t="str">
        <f>IF(Projets!M21="","",Projets!M21)</f>
        <v/>
      </c>
      <c r="R74" s="481" t="str">
        <f>IF(Projets!N21="","",Projets!N21)</f>
        <v/>
      </c>
      <c r="S74" s="481" t="str">
        <f>IF(Projets!O21="","",Projets!O21)</f>
        <v/>
      </c>
      <c r="T74" s="481" t="str">
        <f>IF(Projets!P21="","",Projets!P21)</f>
        <v/>
      </c>
      <c r="U74" s="481" t="str">
        <f>IF(Projets!Q21="","",Projets!Q21)</f>
        <v/>
      </c>
      <c r="V74" s="481" t="str">
        <f>IF(Projets!R21="","",Projets!R21)</f>
        <v/>
      </c>
      <c r="W74" s="481" t="str">
        <f>IF(Projets!S21="","",Projets!S21)</f>
        <v/>
      </c>
      <c r="X74" s="481" t="str">
        <f>IF(Projets!T21="","",Projets!T21)</f>
        <v/>
      </c>
      <c r="Y74" s="481" t="str">
        <f>IF(Projets!U21="","",Projets!U21)</f>
        <v/>
      </c>
      <c r="Z74" s="481" t="str">
        <f>IF(Projets!V21="","",Projets!V21)</f>
        <v/>
      </c>
      <c r="AA74" s="481" t="str">
        <f>IF(Projets!W21="","",Projets!W21)</f>
        <v/>
      </c>
      <c r="AB74" s="481" t="str">
        <f>IF(Projets!X21="","",Projets!X21)</f>
        <v/>
      </c>
      <c r="AC74" s="481" t="str">
        <f>IF(Projets!Y21="","",Projets!Y21)</f>
        <v/>
      </c>
      <c r="AD74" s="481" t="str">
        <f>IF(Projets!Z21="","",Projets!Z21)</f>
        <v/>
      </c>
      <c r="AE74" s="481" t="str">
        <f>IF(Projets!AA21="","",Projets!AA21)</f>
        <v/>
      </c>
      <c r="AF74" s="481" t="str">
        <f>IF(Projets!AB21="","",Projets!AB21)</f>
        <v/>
      </c>
      <c r="AG74" s="481" t="str">
        <f>IF(Projets!AC21="","",Projets!AC21)</f>
        <v/>
      </c>
      <c r="AH74" s="481" t="str">
        <f>IF(Projets!AD21="","",Projets!AD21)</f>
        <v/>
      </c>
      <c r="AI74" s="1" t="str">
        <f>IF(Projets!AE21="","",Projets!AE21)</f>
        <v/>
      </c>
      <c r="AJ74" s="1" t="str">
        <f>IF(Projets!AF21="","",Projets!AF21)</f>
        <v/>
      </c>
      <c r="AK74" s="1" t="str">
        <f>IF(Projets!AG21="","",Projets!AG21)</f>
        <v/>
      </c>
    </row>
    <row r="75" spans="1:37" s="1" customFormat="1" ht="14.25" customHeight="1" x14ac:dyDescent="0.25">
      <c r="A75" s="180" t="s">
        <v>6397</v>
      </c>
      <c r="B75" s="328" t="s">
        <v>4649</v>
      </c>
      <c r="C75" s="57"/>
      <c r="D75" s="57"/>
      <c r="E75" s="57"/>
      <c r="F75" s="329"/>
      <c r="G75" s="314"/>
      <c r="H75" s="823"/>
      <c r="I75" s="668"/>
      <c r="J75" s="427"/>
      <c r="K75" s="479"/>
      <c r="L75" s="479"/>
      <c r="M75" s="479"/>
      <c r="N75" s="479"/>
      <c r="O75" s="479"/>
      <c r="P75" s="479"/>
      <c r="Q75" s="479"/>
      <c r="R75" s="479"/>
      <c r="S75" s="479"/>
      <c r="T75" s="479"/>
      <c r="U75" s="479"/>
      <c r="V75" s="479"/>
      <c r="W75" s="479"/>
      <c r="X75" s="479"/>
      <c r="Y75" s="479"/>
      <c r="Z75" s="479"/>
      <c r="AA75" s="479"/>
      <c r="AB75" s="479"/>
      <c r="AC75" s="479"/>
      <c r="AD75" s="479"/>
      <c r="AE75" s="479"/>
      <c r="AF75" s="479"/>
      <c r="AG75" s="479"/>
      <c r="AH75" s="479"/>
    </row>
    <row r="76" spans="1:37" s="1" customFormat="1" ht="12" customHeight="1" x14ac:dyDescent="0.25">
      <c r="A76" s="95"/>
      <c r="B76" s="1398">
        <f>COUNTIF(Scénarios!AB95:AB95,1)</f>
        <v>0</v>
      </c>
      <c r="C76" s="1408">
        <f>COUNTIF(Scénarios!AB95:AB95,2)</f>
        <v>0</v>
      </c>
      <c r="D76" s="1409">
        <f>COUNTIF(Scénarios!AB95:AB95,3)</f>
        <v>0</v>
      </c>
      <c r="E76" s="1407">
        <f>COUNTIF(Scénarios!AB95:AB95,4)</f>
        <v>0</v>
      </c>
      <c r="F76" s="1398">
        <f>SUM(B76:E76)</f>
        <v>0</v>
      </c>
      <c r="G76" s="341" t="s">
        <v>1989</v>
      </c>
      <c r="H76" s="341" t="s">
        <v>1971</v>
      </c>
      <c r="I76" s="666" t="str">
        <f>IF(Projets!D63=1,"Décidé",IF(Projets!C63=1,"Sélectionné",""))</f>
        <v/>
      </c>
      <c r="J76" s="423"/>
      <c r="K76" s="481" t="str">
        <f>IF(Projets!G63="","",Projets!G63)</f>
        <v>2E01</v>
      </c>
      <c r="L76" s="481">
        <f>ES2E01</f>
        <v>1</v>
      </c>
      <c r="M76" s="481">
        <f>IF(Projets!I63="","",Projets!I63)</f>
        <v>4</v>
      </c>
      <c r="N76" s="481" t="str">
        <f>IF(Projets!J63="","",Projets!J63)</f>
        <v>2E02</v>
      </c>
      <c r="O76" s="481">
        <f>ES2E02</f>
        <v>1</v>
      </c>
      <c r="P76" s="481">
        <f>IF(Projets!L63="","",Projets!L63)</f>
        <v>4</v>
      </c>
      <c r="Q76" s="481" t="str">
        <f>IF(Projets!M63="","",Projets!M63)</f>
        <v>6A02</v>
      </c>
      <c r="R76" s="481">
        <f>ES6A02</f>
        <v>0</v>
      </c>
      <c r="S76" s="481">
        <f>IF(Projets!O63="","",Projets!O63)</f>
        <v>4</v>
      </c>
      <c r="T76" s="481" t="str">
        <f>IF(Projets!P63="","",Projets!P63)</f>
        <v/>
      </c>
      <c r="U76" s="481" t="str">
        <f>IF(Projets!Q63="","",Projets!Q63)</f>
        <v/>
      </c>
      <c r="V76" s="481" t="str">
        <f>IF(Projets!R63="","",Projets!R63)</f>
        <v/>
      </c>
      <c r="W76" s="481" t="str">
        <f>IF(Projets!S63="","",Projets!S63)</f>
        <v/>
      </c>
      <c r="X76" s="481" t="str">
        <f>IF(Projets!T63="","",Projets!T63)</f>
        <v/>
      </c>
      <c r="Y76" s="481" t="str">
        <f>IF(Projets!U63="","",Projets!U63)</f>
        <v/>
      </c>
      <c r="Z76" s="481" t="str">
        <f>IF(Projets!V63="","",Projets!V63)</f>
        <v/>
      </c>
      <c r="AA76" s="481" t="str">
        <f>IF(Projets!W63="","",Projets!W63)</f>
        <v/>
      </c>
      <c r="AB76" s="481" t="str">
        <f>IF(Projets!X63="","",Projets!X63)</f>
        <v/>
      </c>
      <c r="AC76" s="481" t="str">
        <f>IF(Projets!Y63="","",Projets!Y63)</f>
        <v/>
      </c>
      <c r="AD76" s="481" t="str">
        <f>IF(Projets!Z63="","",Projets!Z63)</f>
        <v/>
      </c>
      <c r="AE76" s="481" t="str">
        <f>IF(Projets!AA63="","",Projets!AA63)</f>
        <v/>
      </c>
      <c r="AF76" s="481" t="str">
        <f>IF(Projets!AB63="","",Projets!AB63)</f>
        <v/>
      </c>
      <c r="AG76" s="481" t="str">
        <f>IF(Projets!AC63="","",Projets!AC63)</f>
        <v/>
      </c>
      <c r="AH76" s="481" t="str">
        <f>IF(Projets!AD63="","",Projets!AD63)</f>
        <v/>
      </c>
      <c r="AI76" s="1" t="str">
        <f>IF(Projets!AE63="","",Projets!AE63)</f>
        <v/>
      </c>
      <c r="AJ76" s="1" t="str">
        <f>IF(Projets!AF63="","",Projets!AF63)</f>
        <v/>
      </c>
      <c r="AK76" s="1" t="str">
        <f>IF(Projets!AG63="","",Projets!AG63)</f>
        <v/>
      </c>
    </row>
    <row r="77" spans="1:37" x14ac:dyDescent="0.25">
      <c r="A77" s="91"/>
      <c r="B77" s="1294"/>
      <c r="C77" s="1294"/>
      <c r="D77" s="1294"/>
      <c r="E77" s="1294"/>
      <c r="F77" s="1294"/>
      <c r="G77" s="314" t="s">
        <v>2097</v>
      </c>
      <c r="H77" s="344" t="s">
        <v>2098</v>
      </c>
      <c r="I77" s="666" t="str">
        <f>IF(Projets!D20=1,"Décidé",IF(Projets!C20=1,"Sélectionné",""))</f>
        <v/>
      </c>
      <c r="J77" s="423"/>
      <c r="K77" s="481" t="str">
        <f>IF(Projets!G20="","",Projets!G20)</f>
        <v>2D01</v>
      </c>
      <c r="L77" s="481">
        <f>ES2D01</f>
        <v>1</v>
      </c>
      <c r="M77" s="481">
        <f>IF(Projets!I20="","",Projets!I20)</f>
        <v>3</v>
      </c>
      <c r="N77" s="481" t="str">
        <f>IF(Projets!J20="","",Projets!J20)</f>
        <v>2D02</v>
      </c>
      <c r="O77" s="481">
        <f>ES2D02</f>
        <v>1</v>
      </c>
      <c r="P77" s="481">
        <f>IF(Projets!L20="","",Projets!L20)</f>
        <v>3</v>
      </c>
      <c r="Q77" s="481" t="str">
        <f>IF(Projets!M20="","",Projets!M20)</f>
        <v>2D04</v>
      </c>
      <c r="R77" s="481">
        <f>ES2D04</f>
        <v>1</v>
      </c>
      <c r="S77" s="481">
        <f>IF(Projets!O20="","",Projets!O20)</f>
        <v>3</v>
      </c>
      <c r="T77" s="481" t="str">
        <f>IF(Projets!P20="","",Projets!P20)</f>
        <v/>
      </c>
      <c r="U77" s="481" t="str">
        <f>IF(Projets!Q20="","",Projets!Q20)</f>
        <v/>
      </c>
      <c r="V77" s="481" t="str">
        <f>IF(Projets!R20="","",Projets!R20)</f>
        <v/>
      </c>
      <c r="W77" s="481" t="str">
        <f>IF(Projets!S20="","",Projets!S20)</f>
        <v/>
      </c>
      <c r="X77" s="481" t="str">
        <f>IF(Projets!T20="","",Projets!T20)</f>
        <v/>
      </c>
      <c r="Y77" s="481" t="str">
        <f>IF(Projets!U20="","",Projets!U20)</f>
        <v/>
      </c>
      <c r="Z77" s="481" t="str">
        <f>IF(Projets!V20="","",Projets!V20)</f>
        <v/>
      </c>
      <c r="AA77" s="481" t="str">
        <f>IF(Projets!W20="","",Projets!W20)</f>
        <v/>
      </c>
      <c r="AB77" s="481" t="str">
        <f>IF(Projets!X20="","",Projets!X20)</f>
        <v/>
      </c>
      <c r="AC77" s="481" t="str">
        <f>IF(Projets!Y20="","",Projets!Y20)</f>
        <v/>
      </c>
      <c r="AD77" s="481" t="str">
        <f>IF(Projets!Z20="","",Projets!Z20)</f>
        <v/>
      </c>
      <c r="AE77" s="481" t="str">
        <f>IF(Projets!AA20="","",Projets!AA20)</f>
        <v/>
      </c>
      <c r="AF77" s="481" t="str">
        <f>IF(Projets!AB20="","",Projets!AB20)</f>
        <v/>
      </c>
      <c r="AG77" s="481" t="str">
        <f>IF(Projets!AC20="","",Projets!AC20)</f>
        <v/>
      </c>
      <c r="AH77" s="481" t="str">
        <f>IF(Projets!AD20="","",Projets!AD20)</f>
        <v/>
      </c>
      <c r="AI77" t="str">
        <f>IF(Projets!AE20="","",Projets!AE20)</f>
        <v/>
      </c>
      <c r="AJ77" t="str">
        <f>IF(Projets!AF20="","",Projets!AF20)</f>
        <v/>
      </c>
      <c r="AK77" t="str">
        <f>IF(Projets!AG20="","",Projets!AG20)</f>
        <v/>
      </c>
    </row>
    <row r="78" spans="1:37" s="1" customFormat="1" ht="13.5" customHeight="1" x14ac:dyDescent="0.25">
      <c r="A78" s="93"/>
      <c r="B78" s="1295"/>
      <c r="C78" s="1295"/>
      <c r="D78" s="1295"/>
      <c r="E78" s="1295"/>
      <c r="F78" s="1295"/>
      <c r="G78" s="341" t="s">
        <v>6553</v>
      </c>
      <c r="H78" s="344" t="s">
        <v>6554</v>
      </c>
      <c r="I78" s="666" t="str">
        <f>IF(Projets!D21=1,"Décidé",IF(Projets!C21=1,"Sélectionné",""))</f>
        <v/>
      </c>
      <c r="J78" s="423"/>
      <c r="K78" s="481" t="str">
        <f>IF(Projets!G21="","",Projets!G21)</f>
        <v>2D03</v>
      </c>
      <c r="L78" s="481">
        <f>ES2D03</f>
        <v>1</v>
      </c>
      <c r="M78" s="481">
        <f>IF(Projets!I21="","",Projets!I21)</f>
        <v>3</v>
      </c>
      <c r="N78" s="481" t="str">
        <f>IF(Projets!J21="","",Projets!J21)</f>
        <v/>
      </c>
      <c r="O78" s="481" t="str">
        <f>IF(Projets!K21="","",Projets!K21)</f>
        <v/>
      </c>
      <c r="P78" s="481" t="str">
        <f>IF(Projets!L21="","",Projets!L21)</f>
        <v/>
      </c>
      <c r="Q78" s="481" t="str">
        <f>IF(Projets!M21="","",Projets!M21)</f>
        <v/>
      </c>
      <c r="R78" s="481" t="str">
        <f>IF(Projets!N21="","",Projets!N21)</f>
        <v/>
      </c>
      <c r="S78" s="481" t="str">
        <f>IF(Projets!O21="","",Projets!O21)</f>
        <v/>
      </c>
      <c r="T78" s="481" t="str">
        <f>IF(Projets!P21="","",Projets!P21)</f>
        <v/>
      </c>
      <c r="U78" s="481" t="str">
        <f>IF(Projets!Q21="","",Projets!Q21)</f>
        <v/>
      </c>
      <c r="V78" s="481" t="str">
        <f>IF(Projets!R21="","",Projets!R21)</f>
        <v/>
      </c>
      <c r="W78" s="481" t="str">
        <f>IF(Projets!S21="","",Projets!S21)</f>
        <v/>
      </c>
      <c r="X78" s="481" t="str">
        <f>IF(Projets!T21="","",Projets!T21)</f>
        <v/>
      </c>
      <c r="Y78" s="481" t="str">
        <f>IF(Projets!U21="","",Projets!U21)</f>
        <v/>
      </c>
      <c r="Z78" s="481" t="str">
        <f>IF(Projets!V21="","",Projets!V21)</f>
        <v/>
      </c>
      <c r="AA78" s="481" t="str">
        <f>IF(Projets!W21="","",Projets!W21)</f>
        <v/>
      </c>
      <c r="AB78" s="481" t="str">
        <f>IF(Projets!X21="","",Projets!X21)</f>
        <v/>
      </c>
      <c r="AC78" s="481" t="str">
        <f>IF(Projets!Y21="","",Projets!Y21)</f>
        <v/>
      </c>
      <c r="AD78" s="481" t="str">
        <f>IF(Projets!Z21="","",Projets!Z21)</f>
        <v/>
      </c>
      <c r="AE78" s="481" t="str">
        <f>IF(Projets!AA21="","",Projets!AA21)</f>
        <v/>
      </c>
      <c r="AF78" s="481" t="str">
        <f>IF(Projets!AB21="","",Projets!AB21)</f>
        <v/>
      </c>
      <c r="AG78" s="481" t="str">
        <f>IF(Projets!AC21="","",Projets!AC21)</f>
        <v/>
      </c>
      <c r="AH78" s="481" t="str">
        <f>IF(Projets!AD21="","",Projets!AD21)</f>
        <v/>
      </c>
      <c r="AI78" s="1" t="str">
        <f>IF(Projets!AE21="","",Projets!AE21)</f>
        <v/>
      </c>
      <c r="AJ78" s="1" t="str">
        <f>IF(Projets!AF21="","",Projets!AF21)</f>
        <v/>
      </c>
      <c r="AK78" s="1" t="str">
        <f>IF(Projets!AG21="","",Projets!AG21)</f>
        <v/>
      </c>
    </row>
    <row r="79" spans="1:37" s="1" customFormat="1" ht="13.5" customHeight="1" x14ac:dyDescent="0.25">
      <c r="A79" s="91"/>
      <c r="B79" s="114"/>
      <c r="C79" s="114"/>
      <c r="D79" s="114"/>
      <c r="E79" s="114"/>
      <c r="F79" s="125"/>
      <c r="G79" s="341"/>
      <c r="H79" s="344"/>
      <c r="I79" s="666"/>
      <c r="J79" s="423"/>
      <c r="K79" s="481"/>
      <c r="L79" s="481"/>
      <c r="M79" s="481"/>
      <c r="N79" s="481"/>
      <c r="O79" s="481"/>
      <c r="P79" s="481"/>
      <c r="Q79" s="481"/>
      <c r="R79" s="481"/>
      <c r="S79" s="481"/>
      <c r="T79" s="481"/>
      <c r="U79" s="481"/>
      <c r="V79" s="481"/>
      <c r="W79" s="481"/>
      <c r="X79" s="481"/>
      <c r="Y79" s="481"/>
      <c r="Z79" s="481"/>
      <c r="AA79" s="481"/>
      <c r="AB79" s="481"/>
      <c r="AC79" s="481"/>
      <c r="AD79" s="481"/>
      <c r="AE79" s="481"/>
      <c r="AF79" s="481"/>
      <c r="AG79" s="481"/>
      <c r="AH79" s="481"/>
      <c r="AI79" s="1" t="str">
        <f>IF(Projets!AE64="","",Projets!AE64)</f>
        <v/>
      </c>
      <c r="AJ79" s="1" t="str">
        <f>IF(Projets!AF64="","",Projets!AF64)</f>
        <v/>
      </c>
      <c r="AK79" s="1" t="e">
        <f>IF(Projets!#REF!="","",Projets!#REF!)</f>
        <v>#REF!</v>
      </c>
    </row>
    <row r="80" spans="1:37" s="1" customFormat="1" ht="15" customHeight="1" x14ac:dyDescent="0.25">
      <c r="A80" s="180" t="s">
        <v>6404</v>
      </c>
      <c r="B80" s="690" t="s">
        <v>517</v>
      </c>
      <c r="C80" s="691"/>
      <c r="D80" s="691"/>
      <c r="E80" s="691"/>
      <c r="F80" s="692"/>
      <c r="G80" s="314"/>
      <c r="H80" s="821"/>
      <c r="I80" s="665"/>
      <c r="J80" s="426"/>
      <c r="K80" s="479"/>
      <c r="L80" s="479"/>
      <c r="M80" s="479"/>
      <c r="N80" s="479"/>
      <c r="O80" s="479"/>
      <c r="P80" s="479"/>
      <c r="Q80" s="479"/>
      <c r="R80" s="479"/>
      <c r="S80" s="479"/>
      <c r="T80" s="479"/>
      <c r="U80" s="479"/>
      <c r="V80" s="479"/>
      <c r="W80" s="479"/>
      <c r="X80" s="479"/>
      <c r="Y80" s="479"/>
      <c r="Z80" s="479"/>
      <c r="AA80" s="479"/>
      <c r="AB80" s="479"/>
      <c r="AC80" s="479"/>
      <c r="AD80" s="479"/>
      <c r="AE80" s="479"/>
      <c r="AF80" s="479"/>
      <c r="AG80" s="479"/>
      <c r="AH80" s="479"/>
    </row>
    <row r="81" spans="1:37" s="1" customFormat="1" ht="14.25" customHeight="1" x14ac:dyDescent="0.25">
      <c r="A81" s="95"/>
      <c r="B81" s="1398">
        <f>COUNTIF(Scénarios!AB97:AB101,1)</f>
        <v>0</v>
      </c>
      <c r="C81" s="1408">
        <f>COUNTIF(Scénarios!AB97:AB101,2)</f>
        <v>0</v>
      </c>
      <c r="D81" s="1409">
        <f>COUNTIF(Scénarios!AB97:AB101,3)</f>
        <v>0</v>
      </c>
      <c r="E81" s="1407">
        <f>COUNTIF(Scénarios!AB97:AB101,4)</f>
        <v>0</v>
      </c>
      <c r="F81" s="1398">
        <f>SUM(B81:E81)</f>
        <v>0</v>
      </c>
      <c r="G81" s="341" t="s">
        <v>1989</v>
      </c>
      <c r="H81" s="341" t="s">
        <v>1971</v>
      </c>
      <c r="I81" s="666" t="str">
        <f>IF(Projets!D63=1,"Décidé",IF(Projets!C63=1,"Sélectionné",""))</f>
        <v/>
      </c>
      <c r="J81" s="423"/>
      <c r="K81" s="481" t="str">
        <f>IF(Projets!G63="","",Projets!G63)</f>
        <v>2E01</v>
      </c>
      <c r="L81" s="481">
        <f>ES2E01</f>
        <v>1</v>
      </c>
      <c r="M81" s="481">
        <f>IF(Projets!I63="","",Projets!I63)</f>
        <v>4</v>
      </c>
      <c r="N81" s="481" t="str">
        <f>IF(Projets!J63="","",Projets!J63)</f>
        <v>2E02</v>
      </c>
      <c r="O81" s="481">
        <f>ES2E02</f>
        <v>1</v>
      </c>
      <c r="P81" s="481">
        <f>IF(Projets!L63="","",Projets!L63)</f>
        <v>4</v>
      </c>
      <c r="Q81" s="481" t="str">
        <f>IF(Projets!M63="","",Projets!M63)</f>
        <v>6A02</v>
      </c>
      <c r="R81" s="481">
        <f>ES6A02</f>
        <v>0</v>
      </c>
      <c r="S81" s="481">
        <f>IF(Projets!O63="","",Projets!O63)</f>
        <v>4</v>
      </c>
      <c r="T81" s="481" t="str">
        <f>IF(Projets!P63="","",Projets!P63)</f>
        <v/>
      </c>
      <c r="U81" s="481" t="str">
        <f>IF(Projets!Q63="","",Projets!Q63)</f>
        <v/>
      </c>
      <c r="V81" s="481" t="str">
        <f>IF(Projets!R63="","",Projets!R63)</f>
        <v/>
      </c>
      <c r="W81" s="481" t="str">
        <f>IF(Projets!S63="","",Projets!S63)</f>
        <v/>
      </c>
      <c r="X81" s="481" t="str">
        <f>IF(Projets!T63="","",Projets!T63)</f>
        <v/>
      </c>
      <c r="Y81" s="481" t="str">
        <f>IF(Projets!U63="","",Projets!U63)</f>
        <v/>
      </c>
      <c r="Z81" s="481" t="str">
        <f>IF(Projets!V63="","",Projets!V63)</f>
        <v/>
      </c>
      <c r="AA81" s="481" t="str">
        <f>IF(Projets!W63="","",Projets!W63)</f>
        <v/>
      </c>
      <c r="AB81" s="481" t="str">
        <f>IF(Projets!X63="","",Projets!X63)</f>
        <v/>
      </c>
      <c r="AC81" s="481" t="str">
        <f>IF(Projets!Y63="","",Projets!Y63)</f>
        <v/>
      </c>
      <c r="AD81" s="481" t="str">
        <f>IF(Projets!Z63="","",Projets!Z63)</f>
        <v/>
      </c>
      <c r="AE81" s="481" t="str">
        <f>IF(Projets!AA63="","",Projets!AA63)</f>
        <v/>
      </c>
      <c r="AF81" s="481" t="str">
        <f>IF(Projets!AB63="","",Projets!AB63)</f>
        <v/>
      </c>
      <c r="AG81" s="481" t="str">
        <f>IF(Projets!AC63="","",Projets!AC63)</f>
        <v/>
      </c>
      <c r="AH81" s="481" t="str">
        <f>IF(Projets!AD63="","",Projets!AD63)</f>
        <v/>
      </c>
      <c r="AI81" s="1" t="str">
        <f>IF(Projets!AE63="","",Projets!AE63)</f>
        <v/>
      </c>
      <c r="AJ81" s="1" t="str">
        <f>IF(Projets!AF63="","",Projets!AF63)</f>
        <v/>
      </c>
      <c r="AK81" s="1" t="str">
        <f>IF(Projets!AG63="","",Projets!AG63)</f>
        <v/>
      </c>
    </row>
    <row r="82" spans="1:37" s="1" customFormat="1" ht="12" customHeight="1" x14ac:dyDescent="0.25">
      <c r="A82" s="91"/>
      <c r="B82" s="1294"/>
      <c r="C82" s="1294"/>
      <c r="D82" s="1294"/>
      <c r="E82" s="1294"/>
      <c r="F82" s="1294"/>
      <c r="G82" s="314" t="s">
        <v>2111</v>
      </c>
      <c r="H82" s="341" t="s">
        <v>2112</v>
      </c>
      <c r="I82" s="666" t="str">
        <f>IF(Projets!D64=1,"Décidé",IF(Projets!C64=1,"Sélectionné",""))</f>
        <v/>
      </c>
      <c r="J82" s="423"/>
      <c r="K82" s="481" t="str">
        <f>IF(Projets!G64="","",Projets!G64)</f>
        <v>6B05</v>
      </c>
      <c r="L82" s="481">
        <f>ES6B05</f>
        <v>1</v>
      </c>
      <c r="M82" s="481">
        <f>IF(Projets!I64="","",Projets!I64)</f>
        <v>4</v>
      </c>
      <c r="N82" s="481" t="str">
        <f>IF(Projets!J64="","",Projets!J64)</f>
        <v/>
      </c>
      <c r="O82" s="481" t="str">
        <f>IF(Projets!K64="","",Projets!K64)</f>
        <v/>
      </c>
      <c r="P82" s="481" t="str">
        <f>IF(Projets!L64="","",Projets!L64)</f>
        <v/>
      </c>
      <c r="Q82" s="481" t="str">
        <f>IF(Projets!M64="","",Projets!M64)</f>
        <v/>
      </c>
      <c r="R82" s="481" t="str">
        <f>IF(Projets!N64="","",Projets!N64)</f>
        <v/>
      </c>
      <c r="S82" s="481" t="str">
        <f>IF(Projets!O64="","",Projets!O64)</f>
        <v/>
      </c>
      <c r="T82" s="481" t="str">
        <f>IF(Projets!P64="","",Projets!P64)</f>
        <v/>
      </c>
      <c r="U82" s="481" t="str">
        <f>IF(Projets!Q64="","",Projets!Q64)</f>
        <v/>
      </c>
      <c r="V82" s="481" t="str">
        <f>IF(Projets!R64="","",Projets!R64)</f>
        <v/>
      </c>
      <c r="W82" s="481" t="str">
        <f>IF(Projets!S64="","",Projets!S64)</f>
        <v/>
      </c>
      <c r="X82" s="481" t="str">
        <f>IF(Projets!T64="","",Projets!T64)</f>
        <v/>
      </c>
      <c r="Y82" s="481" t="str">
        <f>IF(Projets!U64="","",Projets!U64)</f>
        <v/>
      </c>
      <c r="Z82" s="481" t="str">
        <f>IF(Projets!V64="","",Projets!V64)</f>
        <v/>
      </c>
      <c r="AA82" s="481" t="str">
        <f>IF(Projets!W64="","",Projets!W64)</f>
        <v/>
      </c>
      <c r="AB82" s="481" t="str">
        <f>IF(Projets!X64="","",Projets!X64)</f>
        <v/>
      </c>
      <c r="AC82" s="481" t="str">
        <f>IF(Projets!Y64="","",Projets!Y64)</f>
        <v/>
      </c>
      <c r="AD82" s="481" t="str">
        <f>IF(Projets!Z64="","",Projets!Z64)</f>
        <v/>
      </c>
      <c r="AE82" s="481" t="str">
        <f>IF(Projets!AA64="","",Projets!AA64)</f>
        <v/>
      </c>
      <c r="AF82" s="481" t="str">
        <f>IF(Projets!AB64="","",Projets!AB64)</f>
        <v/>
      </c>
      <c r="AG82" s="481" t="str">
        <f>IF(Projets!AC64="","",Projets!AC64)</f>
        <v/>
      </c>
      <c r="AH82" s="481" t="str">
        <f>IF(Projets!AD64="","",Projets!AD64)</f>
        <v/>
      </c>
      <c r="AI82" s="1" t="str">
        <f>IF(Projets!AE64="","",Projets!AE64)</f>
        <v/>
      </c>
      <c r="AJ82" s="1" t="str">
        <f>IF(Projets!AF64="","",Projets!AF64)</f>
        <v/>
      </c>
      <c r="AK82" s="1" t="str">
        <f>IF(Projets!AG64="","",Projets!AG64)</f>
        <v/>
      </c>
    </row>
    <row r="83" spans="1:37" s="1" customFormat="1" ht="13.5" customHeight="1" x14ac:dyDescent="0.25">
      <c r="A83" s="91"/>
      <c r="B83" s="114"/>
      <c r="C83" s="114"/>
      <c r="D83" s="114"/>
      <c r="E83" s="114"/>
      <c r="F83" s="125"/>
      <c r="G83" s="341" t="s">
        <v>2097</v>
      </c>
      <c r="H83" s="341" t="s">
        <v>2098</v>
      </c>
      <c r="I83" s="666" t="str">
        <f>IF(Projets!D20=1,"Décidé",IF(Projets!C20=1,"Sélectionné",""))</f>
        <v/>
      </c>
      <c r="J83" s="423"/>
      <c r="K83" s="481" t="str">
        <f>IF(Projets!G20="","",Projets!G20)</f>
        <v>2D01</v>
      </c>
      <c r="L83" s="481">
        <f>ES2D01</f>
        <v>1</v>
      </c>
      <c r="M83" s="481">
        <f>IF(Projets!I20="","",Projets!I20)</f>
        <v>3</v>
      </c>
      <c r="N83" s="481" t="str">
        <f>IF(Projets!J20="","",Projets!J20)</f>
        <v>2D02</v>
      </c>
      <c r="O83" s="481">
        <f>ES2D02</f>
        <v>1</v>
      </c>
      <c r="P83" s="481">
        <f>IF(Projets!L20="","",Projets!L20)</f>
        <v>3</v>
      </c>
      <c r="Q83" s="481" t="str">
        <f>IF(Projets!M20="","",Projets!M20)</f>
        <v>2D04</v>
      </c>
      <c r="R83" s="481">
        <f>ES2D04</f>
        <v>1</v>
      </c>
      <c r="S83" s="481">
        <f>IF(Projets!O20="","",Projets!O20)</f>
        <v>3</v>
      </c>
      <c r="T83" s="481" t="str">
        <f>IF(Projets!P20="","",Projets!P20)</f>
        <v/>
      </c>
      <c r="U83" s="481" t="str">
        <f>IF(Projets!Q20="","",Projets!Q20)</f>
        <v/>
      </c>
      <c r="V83" s="481" t="str">
        <f>IF(Projets!R20="","",Projets!R20)</f>
        <v/>
      </c>
      <c r="W83" s="481" t="str">
        <f>IF(Projets!S20="","",Projets!S20)</f>
        <v/>
      </c>
      <c r="X83" s="481" t="str">
        <f>IF(Projets!T20="","",Projets!T20)</f>
        <v/>
      </c>
      <c r="Y83" s="481" t="str">
        <f>IF(Projets!U20="","",Projets!U20)</f>
        <v/>
      </c>
      <c r="Z83" s="481" t="str">
        <f>IF(Projets!V20="","",Projets!V20)</f>
        <v/>
      </c>
      <c r="AA83" s="481" t="str">
        <f>IF(Projets!W20="","",Projets!W20)</f>
        <v/>
      </c>
      <c r="AB83" s="481" t="str">
        <f>IF(Projets!X20="","",Projets!X20)</f>
        <v/>
      </c>
      <c r="AC83" s="481" t="str">
        <f>IF(Projets!Y20="","",Projets!Y20)</f>
        <v/>
      </c>
      <c r="AD83" s="481" t="str">
        <f>IF(Projets!Z20="","",Projets!Z20)</f>
        <v/>
      </c>
      <c r="AE83" s="481" t="str">
        <f>IF(Projets!AA20="","",Projets!AA20)</f>
        <v/>
      </c>
      <c r="AF83" s="481" t="str">
        <f>IF(Projets!AB20="","",Projets!AB20)</f>
        <v/>
      </c>
      <c r="AG83" s="481" t="str">
        <f>IF(Projets!AC20="","",Projets!AC20)</f>
        <v/>
      </c>
      <c r="AH83" s="481" t="str">
        <f>IF(Projets!AD20="","",Projets!AD20)</f>
        <v/>
      </c>
      <c r="AI83" s="1" t="str">
        <f>IF(Projets!AE20="","",Projets!AE20)</f>
        <v/>
      </c>
      <c r="AJ83" s="1" t="str">
        <f>IF(Projets!AF20="","",Projets!AF20)</f>
        <v/>
      </c>
      <c r="AK83" s="1" t="str">
        <f>IF(Projets!AG20="","",Projets!AG20)</f>
        <v/>
      </c>
    </row>
    <row r="84" spans="1:37" ht="12" customHeight="1" x14ac:dyDescent="0.25">
      <c r="A84" s="91"/>
      <c r="B84" s="98"/>
      <c r="C84" s="98"/>
      <c r="D84" s="98"/>
      <c r="E84" s="98"/>
      <c r="F84" s="185"/>
      <c r="G84" s="314" t="s">
        <v>6553</v>
      </c>
      <c r="H84" s="344" t="s">
        <v>6554</v>
      </c>
      <c r="I84" s="666" t="str">
        <f>IF(Projets!D21=1,"Décidé",IF(Projets!C21=1,"Sélectionné",""))</f>
        <v/>
      </c>
      <c r="J84" s="423"/>
      <c r="K84" s="481" t="str">
        <f>IF(Projets!G21="","",Projets!G21)</f>
        <v>2D03</v>
      </c>
      <c r="L84" s="481">
        <f>ES2D03</f>
        <v>1</v>
      </c>
      <c r="M84" s="481">
        <f>IF(Projets!I21="","",Projets!I21)</f>
        <v>3</v>
      </c>
      <c r="N84" s="481" t="str">
        <f>IF(Projets!J21="","",Projets!J21)</f>
        <v/>
      </c>
      <c r="O84" s="481" t="str">
        <f>IF(Projets!K21="","",Projets!K21)</f>
        <v/>
      </c>
      <c r="P84" s="481" t="str">
        <f>IF(Projets!L21="","",Projets!L21)</f>
        <v/>
      </c>
      <c r="Q84" s="481" t="str">
        <f>IF(Projets!M21="","",Projets!M21)</f>
        <v/>
      </c>
      <c r="R84" s="481" t="str">
        <f>IF(Projets!N21="","",Projets!N21)</f>
        <v/>
      </c>
      <c r="S84" s="481" t="str">
        <f>IF(Projets!O21="","",Projets!O21)</f>
        <v/>
      </c>
      <c r="T84" s="481" t="str">
        <f>IF(Projets!P21="","",Projets!P21)</f>
        <v/>
      </c>
      <c r="U84" s="481" t="str">
        <f>IF(Projets!Q21="","",Projets!Q21)</f>
        <v/>
      </c>
      <c r="V84" s="481" t="str">
        <f>IF(Projets!R21="","",Projets!R21)</f>
        <v/>
      </c>
      <c r="W84" s="481" t="str">
        <f>IF(Projets!S21="","",Projets!S21)</f>
        <v/>
      </c>
      <c r="X84" s="481" t="str">
        <f>IF(Projets!T21="","",Projets!T21)</f>
        <v/>
      </c>
      <c r="Y84" s="481" t="str">
        <f>IF(Projets!U21="","",Projets!U21)</f>
        <v/>
      </c>
      <c r="Z84" s="481" t="str">
        <f>IF(Projets!V21="","",Projets!V21)</f>
        <v/>
      </c>
      <c r="AA84" s="481" t="str">
        <f>IF(Projets!W21="","",Projets!W21)</f>
        <v/>
      </c>
      <c r="AB84" s="481" t="str">
        <f>IF(Projets!X21="","",Projets!X21)</f>
        <v/>
      </c>
      <c r="AC84" s="481" t="str">
        <f>IF(Projets!Y21="","",Projets!Y21)</f>
        <v/>
      </c>
      <c r="AD84" s="481" t="str">
        <f>IF(Projets!Z21="","",Projets!Z21)</f>
        <v/>
      </c>
      <c r="AE84" s="481" t="str">
        <f>IF(Projets!AA21="","",Projets!AA21)</f>
        <v/>
      </c>
      <c r="AF84" s="481" t="str">
        <f>IF(Projets!AB21="","",Projets!AB21)</f>
        <v/>
      </c>
      <c r="AG84" s="481" t="str">
        <f>IF(Projets!AC21="","",Projets!AC21)</f>
        <v/>
      </c>
      <c r="AH84" s="481" t="str">
        <f>IF(Projets!AD21="","",Projets!AD21)</f>
        <v/>
      </c>
      <c r="AI84" t="str">
        <f>IF(Projets!AE21="","",Projets!AE21)</f>
        <v/>
      </c>
      <c r="AJ84" t="str">
        <f>IF(Projets!AF21="","",Projets!AF21)</f>
        <v/>
      </c>
      <c r="AK84" t="str">
        <f>IF(Projets!AG21="","",Projets!AG21)</f>
        <v/>
      </c>
    </row>
    <row r="85" spans="1:37" s="1" customFormat="1" ht="17.25" customHeight="1" x14ac:dyDescent="0.25">
      <c r="A85" s="180" t="s">
        <v>6407</v>
      </c>
      <c r="B85" s="796" t="s">
        <v>4654</v>
      </c>
      <c r="C85" s="797"/>
      <c r="D85" s="797"/>
      <c r="E85" s="797"/>
      <c r="F85" s="798"/>
      <c r="G85" s="314"/>
      <c r="H85" s="824"/>
      <c r="I85" s="665"/>
      <c r="J85" s="426"/>
      <c r="K85" s="479"/>
      <c r="L85" s="479"/>
      <c r="M85" s="479"/>
      <c r="N85" s="479"/>
      <c r="O85" s="479"/>
      <c r="P85" s="479"/>
      <c r="Q85" s="479"/>
      <c r="R85" s="479"/>
      <c r="S85" s="479"/>
      <c r="T85" s="479"/>
      <c r="U85" s="479"/>
      <c r="V85" s="479"/>
      <c r="W85" s="479"/>
      <c r="X85" s="479"/>
      <c r="Y85" s="479"/>
      <c r="Z85" s="479"/>
      <c r="AA85" s="479"/>
      <c r="AB85" s="479"/>
      <c r="AC85" s="479"/>
      <c r="AD85" s="479"/>
      <c r="AE85" s="479"/>
      <c r="AF85" s="479"/>
      <c r="AG85" s="479"/>
      <c r="AH85" s="479"/>
    </row>
    <row r="86" spans="1:37" s="1" customFormat="1" ht="12" customHeight="1" x14ac:dyDescent="0.25">
      <c r="A86" s="95"/>
      <c r="B86" s="1398">
        <f>COUNTIF(Scénarios!AB103:AB107,1)</f>
        <v>0</v>
      </c>
      <c r="C86" s="1408">
        <f>COUNTIF(Scénarios!AB103:AB107,2)</f>
        <v>0</v>
      </c>
      <c r="D86" s="1409">
        <f>COUNTIF(Scénarios!AB103:AB107,3)</f>
        <v>5</v>
      </c>
      <c r="E86" s="1407">
        <f>COUNTIF(Scénarios!AB103:AB107,4)</f>
        <v>0</v>
      </c>
      <c r="F86" s="1398">
        <f>SUM(B86:E86)</f>
        <v>5</v>
      </c>
      <c r="G86" s="314" t="s">
        <v>2100</v>
      </c>
      <c r="H86" s="341" t="s">
        <v>360</v>
      </c>
      <c r="I86" s="666" t="str">
        <f>IF(Projets!D22=1,"Décidé",IF(Projets!C22=1,"Sélectionné",""))</f>
        <v/>
      </c>
      <c r="J86" s="423"/>
      <c r="K86" s="481" t="str">
        <f>IF(Projets!G22="","",Projets!G22)</f>
        <v>2B01</v>
      </c>
      <c r="L86" s="481">
        <f>ES2B01</f>
        <v>1</v>
      </c>
      <c r="M86" s="481">
        <f>IF(Projets!I22="","",Projets!I22)</f>
        <v>4</v>
      </c>
      <c r="N86" s="481" t="str">
        <f>IF(Projets!J22="","",Projets!J22)</f>
        <v>2B02</v>
      </c>
      <c r="O86" s="481">
        <f>ES2B02</f>
        <v>1</v>
      </c>
      <c r="P86" s="481">
        <f>IF(Projets!L22="","",Projets!L22)</f>
        <v>4</v>
      </c>
      <c r="Q86" s="481" t="str">
        <f>IF(Projets!M22="","",Projets!M22)</f>
        <v/>
      </c>
      <c r="R86" s="481" t="str">
        <f>IF(Projets!N22="","",Projets!N22)</f>
        <v/>
      </c>
      <c r="S86" s="481" t="str">
        <f>IF(Projets!O22="","",Projets!O22)</f>
        <v/>
      </c>
      <c r="T86" s="481" t="str">
        <f>IF(Projets!P22="","",Projets!P22)</f>
        <v/>
      </c>
      <c r="U86" s="481" t="str">
        <f>IF(Projets!Q22="","",Projets!Q22)</f>
        <v/>
      </c>
      <c r="V86" s="481" t="str">
        <f>IF(Projets!R22="","",Projets!R22)</f>
        <v/>
      </c>
      <c r="W86" s="481" t="str">
        <f>IF(Projets!S22="","",Projets!S22)</f>
        <v/>
      </c>
      <c r="X86" s="481" t="str">
        <f>IF(Projets!T22="","",Projets!T22)</f>
        <v/>
      </c>
      <c r="Y86" s="481" t="str">
        <f>IF(Projets!U22="","",Projets!U22)</f>
        <v/>
      </c>
      <c r="Z86" s="481" t="str">
        <f>IF(Projets!V22="","",Projets!V22)</f>
        <v/>
      </c>
      <c r="AA86" s="481" t="str">
        <f>IF(Projets!W22="","",Projets!W22)</f>
        <v/>
      </c>
      <c r="AB86" s="481" t="str">
        <f>IF(Projets!X22="","",Projets!X22)</f>
        <v/>
      </c>
      <c r="AC86" s="481" t="str">
        <f>IF(Projets!Y22="","",Projets!Y22)</f>
        <v/>
      </c>
      <c r="AD86" s="481" t="str">
        <f>IF(Projets!Z22="","",Projets!Z22)</f>
        <v/>
      </c>
      <c r="AE86" s="481" t="str">
        <f>IF(Projets!AA22="","",Projets!AA22)</f>
        <v/>
      </c>
      <c r="AF86" s="481" t="str">
        <f>IF(Projets!AB22="","",Projets!AB22)</f>
        <v/>
      </c>
      <c r="AG86" s="481" t="str">
        <f>IF(Projets!AC22="","",Projets!AC22)</f>
        <v/>
      </c>
      <c r="AH86" s="481" t="str">
        <f>IF(Projets!AD22="","",Projets!AD22)</f>
        <v/>
      </c>
      <c r="AI86" s="1" t="str">
        <f>IF(Projets!AE22="","",Projets!AE22)</f>
        <v/>
      </c>
      <c r="AJ86" s="1" t="str">
        <f>IF(Projets!AF22="","",Projets!AF22)</f>
        <v/>
      </c>
      <c r="AK86" s="1" t="str">
        <f>IF(Projets!AG22="","",Projets!AG22)</f>
        <v/>
      </c>
    </row>
    <row r="87" spans="1:37" x14ac:dyDescent="0.25">
      <c r="A87" s="91"/>
      <c r="B87" s="1294"/>
      <c r="C87" s="1294"/>
      <c r="D87" s="1294"/>
      <c r="E87" s="1294"/>
      <c r="F87" s="1294"/>
      <c r="G87" s="314" t="s">
        <v>4650</v>
      </c>
      <c r="H87" s="341" t="s">
        <v>4651</v>
      </c>
      <c r="I87" s="666" t="str">
        <f>IF(Projets!D48=1,"Décidé",IF(Projets!C48=1,"Sélectionné",""))</f>
        <v/>
      </c>
      <c r="J87" s="423"/>
      <c r="K87" s="481" t="str">
        <f>IF(Projets!G48="","",Projets!G48)</f>
        <v>2E05</v>
      </c>
      <c r="L87" s="481">
        <f>ES2E05</f>
        <v>1</v>
      </c>
      <c r="M87" s="481">
        <f>IF(Projets!I48="","",Projets!I48)</f>
        <v>4</v>
      </c>
      <c r="N87" s="481" t="str">
        <f>IF(Projets!J48="","",Projets!J48)</f>
        <v/>
      </c>
      <c r="O87" s="481" t="str">
        <f>IF(Projets!K48="","",Projets!K48)</f>
        <v/>
      </c>
      <c r="P87" s="481" t="str">
        <f>IF(Projets!L48="","",Projets!L48)</f>
        <v/>
      </c>
      <c r="Q87" s="481" t="str">
        <f>IF(Projets!M48="","",Projets!M48)</f>
        <v/>
      </c>
      <c r="R87" s="481" t="str">
        <f>IF(Projets!N48="","",Projets!N48)</f>
        <v/>
      </c>
      <c r="S87" s="481" t="str">
        <f>IF(Projets!O48="","",Projets!O48)</f>
        <v/>
      </c>
      <c r="T87" s="481" t="str">
        <f>IF(Projets!P48="","",Projets!P48)</f>
        <v/>
      </c>
      <c r="U87" s="481" t="str">
        <f>IF(Projets!Q48="","",Projets!Q48)</f>
        <v/>
      </c>
      <c r="V87" s="481" t="str">
        <f>IF(Projets!R48="","",Projets!R48)</f>
        <v/>
      </c>
      <c r="W87" s="481" t="str">
        <f>IF(Projets!S48="","",Projets!S48)</f>
        <v/>
      </c>
      <c r="X87" s="481" t="str">
        <f>IF(Projets!T48="","",Projets!T48)</f>
        <v/>
      </c>
      <c r="Y87" s="481" t="str">
        <f>IF(Projets!U48="","",Projets!U48)</f>
        <v/>
      </c>
      <c r="Z87" s="481" t="str">
        <f>IF(Projets!V48="","",Projets!V48)</f>
        <v/>
      </c>
      <c r="AA87" s="481" t="str">
        <f>IF(Projets!W48="","",Projets!W48)</f>
        <v/>
      </c>
      <c r="AB87" s="481" t="str">
        <f>IF(Projets!X48="","",Projets!X48)</f>
        <v/>
      </c>
      <c r="AC87" s="481" t="str">
        <f>IF(Projets!Y48="","",Projets!Y48)</f>
        <v/>
      </c>
      <c r="AD87" s="481" t="str">
        <f>IF(Projets!Z48="","",Projets!Z48)</f>
        <v/>
      </c>
      <c r="AE87" s="481" t="str">
        <f>IF(Projets!AA48="","",Projets!AA48)</f>
        <v/>
      </c>
      <c r="AF87" s="481" t="str">
        <f>IF(Projets!AB48="","",Projets!AB48)</f>
        <v/>
      </c>
      <c r="AG87" s="481" t="str">
        <f>IF(Projets!AC48="","",Projets!AC48)</f>
        <v/>
      </c>
      <c r="AH87" s="481" t="str">
        <f>IF(Projets!AD48="","",Projets!AD48)</f>
        <v/>
      </c>
      <c r="AI87" t="str">
        <f>IF(Projets!AE48="","",Projets!AE48)</f>
        <v/>
      </c>
      <c r="AJ87" t="str">
        <f>IF(Projets!AF48="","",Projets!AF48)</f>
        <v/>
      </c>
      <c r="AK87" t="str">
        <f>IF(Projets!AG48="","",Projets!AG48)</f>
        <v/>
      </c>
    </row>
    <row r="88" spans="1:37" s="1" customFormat="1" ht="12" customHeight="1" x14ac:dyDescent="0.25">
      <c r="A88" s="93"/>
      <c r="B88" s="1295"/>
      <c r="C88" s="1295"/>
      <c r="D88" s="1295"/>
      <c r="E88" s="1295"/>
      <c r="F88" s="1295"/>
      <c r="G88" s="314" t="s">
        <v>2004</v>
      </c>
      <c r="H88" s="341" t="s">
        <v>1969</v>
      </c>
      <c r="I88" s="666" t="str">
        <f>IF(Projets!D46=1,"Décidé",IF(Projets!C46=1,"Sélectionné",""))</f>
        <v/>
      </c>
      <c r="J88" s="423"/>
      <c r="K88" s="481" t="str">
        <f>IF(Projets!G46="","",Projets!G46)</f>
        <v>6A03</v>
      </c>
      <c r="L88" s="481">
        <f>ES6A03</f>
        <v>1</v>
      </c>
      <c r="M88" s="481">
        <f>IF(Projets!I46="","",Projets!I46)</f>
        <v>4</v>
      </c>
      <c r="N88" s="481" t="str">
        <f>IF(Projets!J46="","",Projets!J46)</f>
        <v>6B03</v>
      </c>
      <c r="O88" s="481">
        <f>ES6B03</f>
        <v>0</v>
      </c>
      <c r="P88" s="481">
        <f>IF(Projets!L46="","",Projets!L46)</f>
        <v>4</v>
      </c>
      <c r="Q88" s="481" t="str">
        <f>IF(Projets!M46="","",Projets!M46)</f>
        <v/>
      </c>
      <c r="R88" s="481" t="str">
        <f>IF(Projets!N46="","",Projets!N46)</f>
        <v/>
      </c>
      <c r="S88" s="481" t="str">
        <f>IF(Projets!O46="","",Projets!O46)</f>
        <v/>
      </c>
      <c r="T88" s="481" t="str">
        <f>IF(Projets!P46="","",Projets!P46)</f>
        <v/>
      </c>
      <c r="U88" s="481" t="str">
        <f>IF(Projets!Q46="","",Projets!Q46)</f>
        <v/>
      </c>
      <c r="V88" s="481" t="str">
        <f>IF(Projets!R46="","",Projets!R46)</f>
        <v/>
      </c>
      <c r="W88" s="481" t="str">
        <f>IF(Projets!S46="","",Projets!S46)</f>
        <v/>
      </c>
      <c r="X88" s="481" t="str">
        <f>IF(Projets!T46="","",Projets!T46)</f>
        <v/>
      </c>
      <c r="Y88" s="481" t="str">
        <f>IF(Projets!U46="","",Projets!U46)</f>
        <v/>
      </c>
      <c r="Z88" s="481" t="str">
        <f>IF(Projets!V46="","",Projets!V46)</f>
        <v/>
      </c>
      <c r="AA88" s="481" t="str">
        <f>IF(Projets!W46="","",Projets!W46)</f>
        <v/>
      </c>
      <c r="AB88" s="481" t="str">
        <f>IF(Projets!X46="","",Projets!X46)</f>
        <v/>
      </c>
      <c r="AC88" s="481" t="str">
        <f>IF(Projets!Y46="","",Projets!Y46)</f>
        <v/>
      </c>
      <c r="AD88" s="481" t="str">
        <f>IF(Projets!Z46="","",Projets!Z46)</f>
        <v/>
      </c>
      <c r="AE88" s="481" t="str">
        <f>IF(Projets!AA46="","",Projets!AA46)</f>
        <v/>
      </c>
      <c r="AF88" s="481" t="str">
        <f>IF(Projets!AB46="","",Projets!AB46)</f>
        <v/>
      </c>
      <c r="AG88" s="481" t="str">
        <f>IF(Projets!AC46="","",Projets!AC46)</f>
        <v/>
      </c>
      <c r="AH88" s="481" t="str">
        <f>IF(Projets!AD46="","",Projets!AD46)</f>
        <v/>
      </c>
      <c r="AI88" s="1" t="str">
        <f>IF(Projets!AE46="","",Projets!AE46)</f>
        <v/>
      </c>
      <c r="AJ88" s="1" t="str">
        <f>IF(Projets!AF46="","",Projets!AF46)</f>
        <v/>
      </c>
      <c r="AK88" s="1" t="str">
        <f>IF(Projets!AG46="","",Projets!AG46)</f>
        <v/>
      </c>
    </row>
    <row r="89" spans="1:37" s="1" customFormat="1" ht="13.5" customHeight="1" x14ac:dyDescent="0.25">
      <c r="A89" s="91"/>
      <c r="B89" s="94"/>
      <c r="C89" s="94"/>
      <c r="D89" s="94"/>
      <c r="E89" s="94"/>
      <c r="F89" s="94"/>
      <c r="G89" s="314" t="s">
        <v>6555</v>
      </c>
      <c r="H89" s="341" t="s">
        <v>547</v>
      </c>
      <c r="I89" s="666" t="str">
        <f>IF(Projets!D23=1,"Décidé",IF(Projets!C23=1,"Sélectionné",""))</f>
        <v/>
      </c>
      <c r="J89" s="423"/>
      <c r="K89" s="481" t="str">
        <f>IF(Projets!G23="","",Projets!G23)</f>
        <v>2B03</v>
      </c>
      <c r="L89" s="481">
        <f>ES2B03</f>
        <v>1</v>
      </c>
      <c r="M89" s="481">
        <f>IF(Projets!I23="","",Projets!I23)</f>
        <v>4</v>
      </c>
      <c r="N89" s="481" t="str">
        <f>IF(Projets!J23="","",Projets!J23)</f>
        <v/>
      </c>
      <c r="O89" s="481" t="str">
        <f>IF(Projets!K23="","",Projets!K23)</f>
        <v/>
      </c>
      <c r="P89" s="481" t="str">
        <f>IF(Projets!L23="","",Projets!L23)</f>
        <v/>
      </c>
      <c r="Q89" s="481" t="str">
        <f>IF(Projets!M23="","",Projets!M23)</f>
        <v/>
      </c>
      <c r="R89" s="481" t="str">
        <f>IF(Projets!N23="","",Projets!N23)</f>
        <v/>
      </c>
      <c r="S89" s="481" t="str">
        <f>IF(Projets!O23="","",Projets!O23)</f>
        <v/>
      </c>
      <c r="T89" s="481" t="str">
        <f>IF(Projets!P23="","",Projets!P23)</f>
        <v/>
      </c>
      <c r="U89" s="481" t="str">
        <f>IF(Projets!Q23="","",Projets!Q23)</f>
        <v/>
      </c>
      <c r="V89" s="481" t="str">
        <f>IF(Projets!R23="","",Projets!R23)</f>
        <v/>
      </c>
      <c r="W89" s="481" t="str">
        <f>IF(Projets!S23="","",Projets!S23)</f>
        <v/>
      </c>
      <c r="X89" s="481" t="str">
        <f>IF(Projets!T23="","",Projets!T23)</f>
        <v/>
      </c>
      <c r="Y89" s="481" t="str">
        <f>IF(Projets!U23="","",Projets!U23)</f>
        <v/>
      </c>
      <c r="Z89" s="481" t="str">
        <f>IF(Projets!V23="","",Projets!V23)</f>
        <v/>
      </c>
      <c r="AA89" s="481" t="str">
        <f>IF(Projets!W23="","",Projets!W23)</f>
        <v/>
      </c>
      <c r="AB89" s="481" t="str">
        <f>IF(Projets!X23="","",Projets!X23)</f>
        <v/>
      </c>
      <c r="AC89" s="481" t="str">
        <f>IF(Projets!Y23="","",Projets!Y23)</f>
        <v/>
      </c>
      <c r="AD89" s="481" t="str">
        <f>IF(Projets!Z23="","",Projets!Z23)</f>
        <v/>
      </c>
      <c r="AE89" s="481" t="str">
        <f>IF(Projets!AA23="","",Projets!AA23)</f>
        <v/>
      </c>
      <c r="AF89" s="481" t="str">
        <f>IF(Projets!AB23="","",Projets!AB23)</f>
        <v/>
      </c>
      <c r="AG89" s="481" t="str">
        <f>IF(Projets!AC23="","",Projets!AC23)</f>
        <v/>
      </c>
      <c r="AH89" s="481" t="str">
        <f>IF(Projets!AD23="","",Projets!AD23)</f>
        <v/>
      </c>
      <c r="AI89" s="1" t="str">
        <f>IF(Projets!AE23="","",Projets!AE23)</f>
        <v/>
      </c>
      <c r="AJ89" s="1" t="str">
        <f>IF(Projets!AF23="","",Projets!AF23)</f>
        <v/>
      </c>
      <c r="AK89" s="1" t="str">
        <f>IF(Projets!AG23="","",Projets!AG23)</f>
        <v/>
      </c>
    </row>
    <row r="90" spans="1:37" s="1" customFormat="1" ht="16.5" customHeight="1" x14ac:dyDescent="0.25">
      <c r="A90" s="180" t="s">
        <v>6413</v>
      </c>
      <c r="B90" s="99" t="s">
        <v>4652</v>
      </c>
      <c r="C90" s="32"/>
      <c r="D90" s="32"/>
      <c r="E90" s="32"/>
      <c r="F90" s="32"/>
      <c r="G90" s="314"/>
      <c r="H90" s="821"/>
      <c r="I90" s="665"/>
      <c r="J90" s="426"/>
      <c r="K90" s="479"/>
      <c r="L90" s="479"/>
      <c r="M90" s="479"/>
      <c r="N90" s="479"/>
      <c r="O90" s="479"/>
      <c r="P90" s="479"/>
      <c r="Q90" s="479"/>
      <c r="R90" s="479"/>
      <c r="S90" s="479"/>
      <c r="T90" s="479"/>
      <c r="U90" s="479"/>
      <c r="V90" s="479"/>
      <c r="W90" s="479"/>
      <c r="X90" s="479"/>
      <c r="Y90" s="479"/>
      <c r="Z90" s="479"/>
      <c r="AA90" s="479"/>
      <c r="AB90" s="479"/>
      <c r="AC90" s="479"/>
      <c r="AD90" s="479"/>
      <c r="AE90" s="479"/>
      <c r="AF90" s="479"/>
      <c r="AG90" s="479"/>
      <c r="AH90" s="479"/>
    </row>
    <row r="91" spans="1:37" s="1" customFormat="1" ht="12" customHeight="1" x14ac:dyDescent="0.25">
      <c r="A91" s="95"/>
      <c r="B91" s="1398">
        <f>COUNTIF(Scénarios!AB109:AB111,1)</f>
        <v>0</v>
      </c>
      <c r="C91" s="1408">
        <f>COUNTIF(Scénarios!AB109:AB111,2)</f>
        <v>3</v>
      </c>
      <c r="D91" s="1409">
        <f>COUNTIF(Scénarios!AB109:AB111,3)</f>
        <v>0</v>
      </c>
      <c r="E91" s="1407">
        <f>COUNTIF(Scénarios!AB109:AB111,4)</f>
        <v>0</v>
      </c>
      <c r="F91" s="1398">
        <f>SUM(B91:E91)</f>
        <v>3</v>
      </c>
      <c r="G91" s="314" t="s">
        <v>2004</v>
      </c>
      <c r="H91" s="341" t="s">
        <v>1969</v>
      </c>
      <c r="I91" s="666" t="str">
        <f>IF(Projets!D46=1,"Décidé",IF(Projets!C46=1,"Sélectionné",""))</f>
        <v/>
      </c>
      <c r="J91" s="423"/>
      <c r="K91" s="481" t="str">
        <f>IF(Projets!G46="","",Projets!G46)</f>
        <v>6A03</v>
      </c>
      <c r="L91" s="481">
        <f>ES6A03</f>
        <v>1</v>
      </c>
      <c r="M91" s="481">
        <f>IF(Projets!I46="","",Projets!I46)</f>
        <v>4</v>
      </c>
      <c r="N91" s="481" t="str">
        <f>IF(Projets!J46="","",Projets!J46)</f>
        <v>6B03</v>
      </c>
      <c r="O91" s="481">
        <f>ES6B03</f>
        <v>0</v>
      </c>
      <c r="P91" s="481">
        <f>IF(Projets!L46="","",Projets!L46)</f>
        <v>4</v>
      </c>
      <c r="Q91" s="481" t="str">
        <f>IF(Projets!M46="","",Projets!M46)</f>
        <v/>
      </c>
      <c r="R91" s="481" t="str">
        <f>IF(Projets!N46="","",Projets!N46)</f>
        <v/>
      </c>
      <c r="S91" s="481" t="str">
        <f>IF(Projets!O46="","",Projets!O46)</f>
        <v/>
      </c>
      <c r="T91" s="481" t="str">
        <f>IF(Projets!P46="","",Projets!P46)</f>
        <v/>
      </c>
      <c r="U91" s="481" t="str">
        <f>IF(Projets!Q46="","",Projets!Q46)</f>
        <v/>
      </c>
      <c r="V91" s="481" t="str">
        <f>IF(Projets!R46="","",Projets!R46)</f>
        <v/>
      </c>
      <c r="W91" s="481" t="str">
        <f>IF(Projets!S46="","",Projets!S46)</f>
        <v/>
      </c>
      <c r="X91" s="481" t="str">
        <f>IF(Projets!T46="","",Projets!T46)</f>
        <v/>
      </c>
      <c r="Y91" s="481" t="str">
        <f>IF(Projets!U46="","",Projets!U46)</f>
        <v/>
      </c>
      <c r="Z91" s="481" t="str">
        <f>IF(Projets!V46="","",Projets!V46)</f>
        <v/>
      </c>
      <c r="AA91" s="481" t="str">
        <f>IF(Projets!W46="","",Projets!W46)</f>
        <v/>
      </c>
      <c r="AB91" s="481" t="str">
        <f>IF(Projets!X46="","",Projets!X46)</f>
        <v/>
      </c>
      <c r="AC91" s="481" t="str">
        <f>IF(Projets!Y46="","",Projets!Y46)</f>
        <v/>
      </c>
      <c r="AD91" s="481" t="str">
        <f>IF(Projets!Z46="","",Projets!Z46)</f>
        <v/>
      </c>
      <c r="AE91" s="481" t="str">
        <f>IF(Projets!AA46="","",Projets!AA46)</f>
        <v/>
      </c>
      <c r="AF91" s="481" t="str">
        <f>IF(Projets!AB46="","",Projets!AB46)</f>
        <v/>
      </c>
      <c r="AG91" s="481" t="str">
        <f>IF(Projets!AC46="","",Projets!AC46)</f>
        <v/>
      </c>
      <c r="AH91" s="481" t="str">
        <f>IF(Projets!AD46="","",Projets!AD46)</f>
        <v/>
      </c>
      <c r="AI91" s="1" t="str">
        <f>IF(Projets!AE46="","",Projets!AE46)</f>
        <v/>
      </c>
      <c r="AJ91" s="1" t="str">
        <f>IF(Projets!AF46="","",Projets!AF46)</f>
        <v/>
      </c>
      <c r="AK91" s="1" t="str">
        <f>IF(Projets!AG46="","",Projets!AG46)</f>
        <v/>
      </c>
    </row>
    <row r="92" spans="1:37" x14ac:dyDescent="0.25">
      <c r="A92" s="91"/>
      <c r="B92" s="1294"/>
      <c r="C92" s="1294"/>
      <c r="D92" s="1294"/>
      <c r="E92" s="1294"/>
      <c r="F92" s="1294"/>
      <c r="G92" s="314" t="s">
        <v>2014</v>
      </c>
      <c r="H92" s="341" t="s">
        <v>4587</v>
      </c>
      <c r="I92" s="666" t="str">
        <f>IF(Projets!D11=1,"Décidé",IF(Projets!C11=1,"Sélectionné",""))</f>
        <v/>
      </c>
      <c r="J92" s="423"/>
      <c r="K92" s="481" t="str">
        <f>IF(Projets!G11="","",Projets!G11)</f>
        <v>1C06</v>
      </c>
      <c r="L92" s="481">
        <f>ES1C06</f>
        <v>0</v>
      </c>
      <c r="M92" s="481">
        <f>IF(Projets!I11="","",Projets!I11)</f>
        <v>4</v>
      </c>
      <c r="N92" s="481" t="str">
        <f>IF(Projets!J11="","",Projets!J11)</f>
        <v>4A02</v>
      </c>
      <c r="O92" s="481">
        <f>ES4A02</f>
        <v>0</v>
      </c>
      <c r="P92" s="481">
        <f>IF(Projets!L11="","",Projets!L11)</f>
        <v>4</v>
      </c>
      <c r="Q92" s="481" t="str">
        <f>IF(Projets!M11="","",Projets!M11)</f>
        <v/>
      </c>
      <c r="R92" s="481" t="str">
        <f>IF(Projets!N11="","",Projets!N11)</f>
        <v/>
      </c>
      <c r="S92" s="481" t="str">
        <f>IF(Projets!O11="","",Projets!O11)</f>
        <v/>
      </c>
      <c r="T92" s="481" t="str">
        <f>IF(Projets!P11="","",Projets!P11)</f>
        <v/>
      </c>
      <c r="U92" s="481" t="str">
        <f>IF(Projets!Q11="","",Projets!Q11)</f>
        <v/>
      </c>
      <c r="V92" s="481" t="str">
        <f>IF(Projets!R11="","",Projets!R11)</f>
        <v/>
      </c>
      <c r="W92" s="481" t="str">
        <f>IF(Projets!S11="","",Projets!S11)</f>
        <v/>
      </c>
      <c r="X92" s="481" t="str">
        <f>IF(Projets!T11="","",Projets!T11)</f>
        <v/>
      </c>
      <c r="Y92" s="481" t="str">
        <f>IF(Projets!U11="","",Projets!U11)</f>
        <v/>
      </c>
      <c r="Z92" s="481" t="str">
        <f>IF(Projets!V11="","",Projets!V11)</f>
        <v/>
      </c>
      <c r="AA92" s="481" t="str">
        <f>IF(Projets!W11="","",Projets!W11)</f>
        <v/>
      </c>
      <c r="AB92" s="481" t="str">
        <f>IF(Projets!X11="","",Projets!X11)</f>
        <v/>
      </c>
      <c r="AC92" s="481" t="str">
        <f>IF(Projets!Y11="","",Projets!Y11)</f>
        <v/>
      </c>
      <c r="AD92" s="481" t="str">
        <f>IF(Projets!Z11="","",Projets!Z11)</f>
        <v/>
      </c>
      <c r="AE92" s="481" t="str">
        <f>IF(Projets!AA11="","",Projets!AA11)</f>
        <v/>
      </c>
      <c r="AF92" s="481" t="str">
        <f>IF(Projets!AB11="","",Projets!AB11)</f>
        <v/>
      </c>
      <c r="AG92" s="481" t="str">
        <f>IF(Projets!AC11="","",Projets!AC11)</f>
        <v/>
      </c>
      <c r="AH92" s="481" t="str">
        <f>IF(Projets!AD11="","",Projets!AD11)</f>
        <v/>
      </c>
      <c r="AI92" t="str">
        <f>IF(Projets!AE11="","",Projets!AE11)</f>
        <v/>
      </c>
      <c r="AJ92" t="str">
        <f>IF(Projets!AF11="","",Projets!AF11)</f>
        <v/>
      </c>
      <c r="AK92" t="str">
        <f>IF(Projets!AG11="","",Projets!AG11)</f>
        <v/>
      </c>
    </row>
    <row r="93" spans="1:37" s="1" customFormat="1" ht="12" customHeight="1" x14ac:dyDescent="0.25">
      <c r="A93" s="93"/>
      <c r="B93" s="1295"/>
      <c r="C93" s="1295"/>
      <c r="D93" s="1295"/>
      <c r="E93" s="1295"/>
      <c r="F93" s="1295"/>
      <c r="G93" s="314"/>
      <c r="H93" s="341"/>
      <c r="I93" s="666"/>
      <c r="J93" s="423"/>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row>
    <row r="94" spans="1:37" x14ac:dyDescent="0.25">
      <c r="A94" s="91"/>
      <c r="B94" s="94"/>
      <c r="C94" s="94"/>
      <c r="D94" s="94"/>
      <c r="E94" s="94"/>
      <c r="F94" s="94"/>
      <c r="G94" s="314"/>
      <c r="H94" s="341"/>
      <c r="I94" s="666"/>
      <c r="J94" s="423"/>
      <c r="K94" s="481"/>
      <c r="L94" s="481"/>
      <c r="M94" s="481"/>
      <c r="N94" s="481"/>
      <c r="O94" s="481"/>
      <c r="P94" s="481"/>
      <c r="Q94" s="481"/>
      <c r="R94" s="481"/>
      <c r="S94" s="481"/>
      <c r="T94" s="481"/>
      <c r="U94" s="481"/>
      <c r="V94" s="481"/>
      <c r="W94" s="481"/>
      <c r="X94" s="481"/>
      <c r="Y94" s="481"/>
      <c r="Z94" s="481"/>
      <c r="AA94" s="481"/>
      <c r="AB94" s="481"/>
      <c r="AC94" s="481"/>
      <c r="AD94" s="481"/>
      <c r="AE94" s="481"/>
      <c r="AF94" s="481"/>
      <c r="AG94" s="481"/>
      <c r="AH94" s="481"/>
    </row>
    <row r="95" spans="1:37" ht="12.75" customHeight="1" x14ac:dyDescent="0.25">
      <c r="A95" s="180" t="s">
        <v>6420</v>
      </c>
      <c r="B95" s="31" t="s">
        <v>4653</v>
      </c>
      <c r="C95" s="32"/>
      <c r="D95" s="32"/>
      <c r="E95" s="32"/>
      <c r="F95" s="32"/>
      <c r="G95" s="314"/>
      <c r="H95" s="821"/>
      <c r="I95" s="665"/>
      <c r="J95" s="426"/>
      <c r="K95" s="479"/>
      <c r="L95" s="479"/>
      <c r="M95" s="479"/>
      <c r="N95" s="479"/>
      <c r="O95" s="479"/>
      <c r="P95" s="479"/>
      <c r="Q95" s="479"/>
      <c r="R95" s="479"/>
      <c r="S95" s="479"/>
      <c r="T95" s="479"/>
      <c r="U95" s="479"/>
      <c r="V95" s="479"/>
      <c r="W95" s="479"/>
      <c r="X95" s="479"/>
      <c r="Y95" s="479"/>
      <c r="Z95" s="479"/>
      <c r="AA95" s="479"/>
      <c r="AB95" s="479"/>
      <c r="AC95" s="479"/>
      <c r="AD95" s="479"/>
      <c r="AE95" s="479"/>
      <c r="AF95" s="479"/>
      <c r="AG95" s="479"/>
      <c r="AH95" s="479"/>
    </row>
    <row r="96" spans="1:37" ht="12.75" customHeight="1" x14ac:dyDescent="0.25">
      <c r="A96" s="95"/>
      <c r="B96" s="1398">
        <f>COUNTIF(Scénarios!AB113:AB115,1)</f>
        <v>0</v>
      </c>
      <c r="C96" s="1408">
        <f>COUNTIF(Scénarios!AB113:AB115,2)</f>
        <v>3</v>
      </c>
      <c r="D96" s="1409">
        <f>COUNTIF(Scénarios!AB113:AB115,3)</f>
        <v>0</v>
      </c>
      <c r="E96" s="1407">
        <f>COUNTIF(Scénarios!AB113:AB115,4)</f>
        <v>0</v>
      </c>
      <c r="F96" s="1398">
        <f>SUM(B96:E96)</f>
        <v>3</v>
      </c>
      <c r="G96" s="314" t="s">
        <v>4650</v>
      </c>
      <c r="H96" s="341" t="s">
        <v>4651</v>
      </c>
      <c r="I96" s="666" t="str">
        <f>IF(Projets!D48=1,"Décidé",IF(Projets!C48=1,"Sélectionné",""))</f>
        <v/>
      </c>
      <c r="J96" s="423"/>
      <c r="K96" s="481" t="str">
        <f>IF(Projets!G48="","",Projets!G48)</f>
        <v>2E05</v>
      </c>
      <c r="L96" s="481">
        <f>ES2E05</f>
        <v>1</v>
      </c>
      <c r="M96" s="481">
        <f>IF(Projets!I48="","",Projets!I48)</f>
        <v>4</v>
      </c>
      <c r="N96" s="481" t="str">
        <f>IF(Projets!J48="","",Projets!J48)</f>
        <v/>
      </c>
      <c r="O96" s="481" t="str">
        <f>IF(Projets!K48="","",Projets!K48)</f>
        <v/>
      </c>
      <c r="P96" s="481" t="str">
        <f>IF(Projets!L48="","",Projets!L48)</f>
        <v/>
      </c>
      <c r="Q96" s="481" t="str">
        <f>IF(Projets!M48="","",Projets!M48)</f>
        <v/>
      </c>
      <c r="R96" s="481" t="str">
        <f>IF(Projets!N48="","",Projets!N48)</f>
        <v/>
      </c>
      <c r="S96" s="481" t="str">
        <f>IF(Projets!O48="","",Projets!O48)</f>
        <v/>
      </c>
      <c r="T96" s="481" t="str">
        <f>IF(Projets!P48="","",Projets!P48)</f>
        <v/>
      </c>
      <c r="U96" s="481" t="str">
        <f>IF(Projets!Q48="","",Projets!Q48)</f>
        <v/>
      </c>
      <c r="V96" s="481" t="str">
        <f>IF(Projets!R48="","",Projets!R48)</f>
        <v/>
      </c>
      <c r="W96" s="481" t="str">
        <f>IF(Projets!S48="","",Projets!S48)</f>
        <v/>
      </c>
      <c r="X96" s="481" t="str">
        <f>IF(Projets!T48="","",Projets!T48)</f>
        <v/>
      </c>
      <c r="Y96" s="481" t="str">
        <f>IF(Projets!U48="","",Projets!U48)</f>
        <v/>
      </c>
      <c r="Z96" s="481" t="str">
        <f>IF(Projets!V48="","",Projets!V48)</f>
        <v/>
      </c>
      <c r="AA96" s="481" t="str">
        <f>IF(Projets!W48="","",Projets!W48)</f>
        <v/>
      </c>
      <c r="AB96" s="481" t="str">
        <f>IF(Projets!X48="","",Projets!X48)</f>
        <v/>
      </c>
      <c r="AC96" s="481" t="str">
        <f>IF(Projets!Y48="","",Projets!Y48)</f>
        <v/>
      </c>
      <c r="AD96" s="481" t="str">
        <f>IF(Projets!Z48="","",Projets!Z48)</f>
        <v/>
      </c>
      <c r="AE96" s="481" t="str">
        <f>IF(Projets!AA48="","",Projets!AA48)</f>
        <v/>
      </c>
      <c r="AF96" s="481" t="str">
        <f>IF(Projets!AB48="","",Projets!AB48)</f>
        <v/>
      </c>
      <c r="AG96" s="481" t="str">
        <f>IF(Projets!AC48="","",Projets!AC48)</f>
        <v/>
      </c>
      <c r="AH96" s="481" t="str">
        <f>IF(Projets!AD48="","",Projets!AD48)</f>
        <v/>
      </c>
      <c r="AI96" t="str">
        <f>IF(Projets!AE48="","",Projets!AE48)</f>
        <v/>
      </c>
      <c r="AJ96" t="str">
        <f>IF(Projets!AF48="","",Projets!AF48)</f>
        <v/>
      </c>
      <c r="AK96" t="str">
        <f>IF(Projets!AG48="","",Projets!AG48)</f>
        <v/>
      </c>
    </row>
    <row r="97" spans="1:37" ht="12.75" customHeight="1" x14ac:dyDescent="0.25">
      <c r="A97" s="91"/>
      <c r="B97" s="1294"/>
      <c r="C97" s="1294"/>
      <c r="D97" s="1294"/>
      <c r="E97" s="1294"/>
      <c r="F97" s="1294"/>
      <c r="G97" s="314" t="s">
        <v>2004</v>
      </c>
      <c r="H97" s="341" t="s">
        <v>1969</v>
      </c>
      <c r="I97" s="666" t="str">
        <f>IF(Projets!D46=1,"Décidé",IF(Projets!C46=1,"Sélectionné",""))</f>
        <v/>
      </c>
      <c r="J97" s="423"/>
      <c r="K97" s="481" t="str">
        <f>IF(Projets!G46="","",Projets!G46)</f>
        <v>6A03</v>
      </c>
      <c r="L97" s="481">
        <f>ES6A03</f>
        <v>1</v>
      </c>
      <c r="M97" s="481">
        <f>IF(Projets!I46="","",Projets!I46)</f>
        <v>4</v>
      </c>
      <c r="N97" s="481" t="str">
        <f>IF(Projets!J46="","",Projets!J46)</f>
        <v>6B03</v>
      </c>
      <c r="O97" s="481">
        <f>ES6B03</f>
        <v>0</v>
      </c>
      <c r="P97" s="481">
        <f>IF(Projets!L46="","",Projets!L46)</f>
        <v>4</v>
      </c>
      <c r="Q97" s="481" t="str">
        <f>IF(Projets!M46="","",Projets!M46)</f>
        <v/>
      </c>
      <c r="R97" s="481" t="str">
        <f>IF(Projets!N46="","",Projets!N46)</f>
        <v/>
      </c>
      <c r="S97" s="481" t="str">
        <f>IF(Projets!O46="","",Projets!O46)</f>
        <v/>
      </c>
      <c r="T97" s="481" t="str">
        <f>IF(Projets!P46="","",Projets!P46)</f>
        <v/>
      </c>
      <c r="U97" s="481" t="str">
        <f>IF(Projets!Q46="","",Projets!Q46)</f>
        <v/>
      </c>
      <c r="V97" s="481" t="str">
        <f>IF(Projets!R46="","",Projets!R46)</f>
        <v/>
      </c>
      <c r="W97" s="481" t="str">
        <f>IF(Projets!S46="","",Projets!S46)</f>
        <v/>
      </c>
      <c r="X97" s="481" t="str">
        <f>IF(Projets!T46="","",Projets!T46)</f>
        <v/>
      </c>
      <c r="Y97" s="481" t="str">
        <f>IF(Projets!U46="","",Projets!U46)</f>
        <v/>
      </c>
      <c r="Z97" s="481" t="str">
        <f>IF(Projets!V46="","",Projets!V46)</f>
        <v/>
      </c>
      <c r="AA97" s="481" t="str">
        <f>IF(Projets!W46="","",Projets!W46)</f>
        <v/>
      </c>
      <c r="AB97" s="481" t="str">
        <f>IF(Projets!X46="","",Projets!X46)</f>
        <v/>
      </c>
      <c r="AC97" s="481" t="str">
        <f>IF(Projets!Y46="","",Projets!Y46)</f>
        <v/>
      </c>
      <c r="AD97" s="481" t="str">
        <f>IF(Projets!Z46="","",Projets!Z46)</f>
        <v/>
      </c>
      <c r="AE97" s="481" t="str">
        <f>IF(Projets!AA46="","",Projets!AA46)</f>
        <v/>
      </c>
      <c r="AF97" s="481" t="str">
        <f>IF(Projets!AB46="","",Projets!AB46)</f>
        <v/>
      </c>
      <c r="AG97" s="481" t="str">
        <f>IF(Projets!AC46="","",Projets!AC46)</f>
        <v/>
      </c>
      <c r="AH97" s="481" t="str">
        <f>IF(Projets!AD46="","",Projets!AD46)</f>
        <v/>
      </c>
      <c r="AI97" t="str">
        <f>IF(Projets!AE46="","",Projets!AE46)</f>
        <v/>
      </c>
      <c r="AJ97" t="str">
        <f>IF(Projets!AF46="","",Projets!AF46)</f>
        <v/>
      </c>
      <c r="AK97" t="str">
        <f>IF(Projets!AG46="","",Projets!AG46)</f>
        <v/>
      </c>
    </row>
    <row r="98" spans="1:37" ht="12.75" customHeight="1" x14ac:dyDescent="0.25">
      <c r="A98" s="93"/>
      <c r="B98" s="1295"/>
      <c r="C98" s="1295"/>
      <c r="D98" s="1295"/>
      <c r="E98" s="1295"/>
      <c r="F98" s="1295"/>
      <c r="G98" s="314"/>
      <c r="H98" s="341"/>
      <c r="I98" s="666"/>
      <c r="J98" s="423"/>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row>
    <row r="99" spans="1:37" s="144" customFormat="1" ht="12" customHeight="1" x14ac:dyDescent="0.25">
      <c r="A99" s="91"/>
      <c r="B99" s="94"/>
      <c r="C99" s="94"/>
      <c r="D99" s="94"/>
      <c r="E99" s="94"/>
      <c r="F99" s="94"/>
      <c r="G99" s="314"/>
      <c r="H99" s="341"/>
      <c r="I99" s="666"/>
      <c r="J99" s="423"/>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row>
    <row r="100" spans="1:37" s="1" customFormat="1" ht="17.25" customHeight="1" x14ac:dyDescent="0.25">
      <c r="A100" s="180" t="s">
        <v>6430</v>
      </c>
      <c r="B100" s="796" t="s">
        <v>4387</v>
      </c>
      <c r="C100" s="797"/>
      <c r="D100" s="797"/>
      <c r="E100" s="797"/>
      <c r="F100" s="798"/>
      <c r="G100" s="314"/>
      <c r="H100" s="824"/>
      <c r="I100" s="665"/>
      <c r="J100" s="426"/>
      <c r="K100" s="479"/>
      <c r="L100" s="479"/>
      <c r="M100" s="479"/>
      <c r="N100" s="479"/>
      <c r="O100" s="479"/>
      <c r="P100" s="479"/>
      <c r="Q100" s="479"/>
      <c r="R100" s="479"/>
      <c r="S100" s="479"/>
      <c r="T100" s="479"/>
      <c r="U100" s="479"/>
      <c r="V100" s="479"/>
      <c r="W100" s="479"/>
      <c r="X100" s="479"/>
      <c r="Y100" s="479"/>
      <c r="Z100" s="479"/>
      <c r="AA100" s="479"/>
      <c r="AB100" s="479"/>
      <c r="AC100" s="479"/>
      <c r="AD100" s="479"/>
      <c r="AE100" s="479"/>
      <c r="AF100" s="479"/>
      <c r="AG100" s="479"/>
      <c r="AH100" s="479"/>
    </row>
    <row r="101" spans="1:37" s="1" customFormat="1" ht="12" customHeight="1" x14ac:dyDescent="0.25">
      <c r="A101" s="95"/>
      <c r="B101" s="1398">
        <f>COUNTIF(Scénarios!AB117:AB124,1)</f>
        <v>0</v>
      </c>
      <c r="C101" s="1408">
        <f>COUNTIF(Scénarios!AB117:AB124,2)</f>
        <v>0</v>
      </c>
      <c r="D101" s="1409">
        <f>COUNTIF(Scénarios!AB117:AB124,3)</f>
        <v>0</v>
      </c>
      <c r="E101" s="1407">
        <f>COUNTIF(Scénarios!AB117:AB124,4)</f>
        <v>0</v>
      </c>
      <c r="F101" s="1398">
        <f>SUM(B101:E101)</f>
        <v>0</v>
      </c>
      <c r="G101" s="314" t="s">
        <v>2006</v>
      </c>
      <c r="H101" s="341" t="s">
        <v>1968</v>
      </c>
      <c r="I101" s="666" t="str">
        <f>IF(Projets!D67=1,"Décidé",IF(Projets!C67=1,"Sélectionné",""))</f>
        <v/>
      </c>
      <c r="J101" s="423"/>
      <c r="K101" s="481" t="str">
        <f>IF(Projets!G67="","",Projets!G67)</f>
        <v>2E04</v>
      </c>
      <c r="L101" s="481">
        <f>ES2E04</f>
        <v>1</v>
      </c>
      <c r="M101" s="481">
        <f>IF(Projets!I67="","",Projets!I67)</f>
        <v>4</v>
      </c>
      <c r="N101" s="481" t="str">
        <f>IF(Projets!J67="","",Projets!J67)</f>
        <v>4F01</v>
      </c>
      <c r="O101" s="481">
        <f>ES4F01</f>
        <v>1</v>
      </c>
      <c r="P101" s="481">
        <f>IF(Projets!L67="","",Projets!L67)</f>
        <v>4</v>
      </c>
      <c r="Q101" s="481" t="str">
        <f>IF(Projets!M67="","",Projets!M67)</f>
        <v>4F02</v>
      </c>
      <c r="R101" s="481">
        <f>ES4F02</f>
        <v>1</v>
      </c>
      <c r="S101" s="481">
        <f>IF(Projets!O67="","",Projets!O67)</f>
        <v>4</v>
      </c>
      <c r="T101" s="481" t="str">
        <f>IF(Projets!P67="","",Projets!P67)</f>
        <v>4F03</v>
      </c>
      <c r="U101" s="481">
        <f>ES4F03</f>
        <v>1</v>
      </c>
      <c r="V101" s="481">
        <f>IF(Projets!R67="","",Projets!R67)</f>
        <v>4</v>
      </c>
      <c r="W101" s="481" t="str">
        <f>IF(Projets!S67="","",Projets!S67)</f>
        <v/>
      </c>
      <c r="X101" s="481" t="str">
        <f>IF(Projets!T67="","",Projets!T67)</f>
        <v/>
      </c>
      <c r="Y101" s="481" t="str">
        <f>IF(Projets!U67="","",Projets!U67)</f>
        <v/>
      </c>
      <c r="Z101" s="481" t="str">
        <f>IF(Projets!V67="","",Projets!V67)</f>
        <v/>
      </c>
      <c r="AA101" s="481" t="str">
        <f>IF(Projets!W67="","",Projets!W67)</f>
        <v/>
      </c>
      <c r="AB101" s="481" t="str">
        <f>IF(Projets!X67="","",Projets!X67)</f>
        <v/>
      </c>
      <c r="AC101" s="481" t="str">
        <f>IF(Projets!Y67="","",Projets!Y67)</f>
        <v/>
      </c>
      <c r="AD101" s="481" t="str">
        <f>IF(Projets!Z67="","",Projets!Z67)</f>
        <v/>
      </c>
      <c r="AE101" s="481" t="str">
        <f>IF(Projets!AA67="","",Projets!AA67)</f>
        <v/>
      </c>
      <c r="AF101" s="481" t="str">
        <f>IF(Projets!AB67="","",Projets!AB67)</f>
        <v/>
      </c>
      <c r="AG101" s="481" t="str">
        <f>IF(Projets!AC67="","",Projets!AC67)</f>
        <v/>
      </c>
      <c r="AH101" s="481" t="str">
        <f>IF(Projets!AD67="","",Projets!AD67)</f>
        <v/>
      </c>
      <c r="AI101" s="1" t="str">
        <f>IF(Projets!AE67="","",Projets!AE67)</f>
        <v/>
      </c>
      <c r="AJ101" s="1" t="str">
        <f>IF(Projets!AF67="","",Projets!AF67)</f>
        <v/>
      </c>
      <c r="AK101" s="1" t="str">
        <f>IF(Projets!AG67="","",Projets!AG67)</f>
        <v/>
      </c>
    </row>
    <row r="102" spans="1:37" x14ac:dyDescent="0.25">
      <c r="A102" s="91"/>
      <c r="B102" s="1294"/>
      <c r="C102" s="1294"/>
      <c r="D102" s="1294"/>
      <c r="E102" s="1294"/>
      <c r="F102" s="1294"/>
      <c r="G102" s="314" t="s">
        <v>6558</v>
      </c>
      <c r="H102" s="341" t="s">
        <v>6560</v>
      </c>
      <c r="I102" s="666" t="str">
        <f>IF(Projets!D36=1,"Décidé",IF(Projets!C36=1,"Sélectionné",""))</f>
        <v/>
      </c>
      <c r="J102" s="423"/>
      <c r="K102" s="481" t="str">
        <f>IF(Projets!G36="","",Projets!G36)</f>
        <v>3A08</v>
      </c>
      <c r="L102" s="481">
        <f>ES3A08</f>
        <v>0</v>
      </c>
      <c r="M102" s="481">
        <f>IF(Projets!I36="","",Projets!I36)</f>
        <v>4</v>
      </c>
      <c r="N102" s="481" t="str">
        <f>IF(Projets!J36="","",Projets!J36)</f>
        <v>4A11</v>
      </c>
      <c r="O102" s="481">
        <f>ES4A11</f>
        <v>1</v>
      </c>
      <c r="P102" s="481">
        <f>IF(Projets!L36="","",Projets!L36)</f>
        <v>4</v>
      </c>
      <c r="Q102" s="481" t="str">
        <f>IF(Projets!M36="","",Projets!M36)</f>
        <v/>
      </c>
      <c r="R102" s="481" t="str">
        <f>IF(Projets!N36="","",Projets!N36)</f>
        <v/>
      </c>
      <c r="S102" s="481" t="str">
        <f>IF(Projets!O36="","",Projets!O36)</f>
        <v/>
      </c>
      <c r="T102" s="481" t="str">
        <f>IF(Projets!P36="","",Projets!P36)</f>
        <v/>
      </c>
      <c r="U102" s="481" t="str">
        <f>IF(Projets!Q36="","",Projets!Q36)</f>
        <v/>
      </c>
      <c r="V102" s="481" t="str">
        <f>IF(Projets!R36="","",Projets!R36)</f>
        <v/>
      </c>
      <c r="W102" s="481" t="str">
        <f>IF(Projets!S36="","",Projets!S36)</f>
        <v/>
      </c>
      <c r="X102" s="481" t="str">
        <f>IF(Projets!T36="","",Projets!T36)</f>
        <v/>
      </c>
      <c r="Y102" s="481" t="str">
        <f>IF(Projets!U36="","",Projets!U36)</f>
        <v/>
      </c>
      <c r="Z102" s="481" t="str">
        <f>IF(Projets!V36="","",Projets!V36)</f>
        <v/>
      </c>
      <c r="AA102" s="481" t="str">
        <f>IF(Projets!W36="","",Projets!W36)</f>
        <v/>
      </c>
      <c r="AB102" s="481" t="str">
        <f>IF(Projets!X36="","",Projets!X36)</f>
        <v/>
      </c>
      <c r="AC102" s="481" t="str">
        <f>IF(Projets!Y36="","",Projets!Y36)</f>
        <v/>
      </c>
      <c r="AD102" s="481" t="str">
        <f>IF(Projets!Z36="","",Projets!Z36)</f>
        <v/>
      </c>
      <c r="AE102" s="481" t="str">
        <f>IF(Projets!AA36="","",Projets!AA36)</f>
        <v/>
      </c>
      <c r="AF102" s="481" t="str">
        <f>IF(Projets!AB36="","",Projets!AB36)</f>
        <v/>
      </c>
      <c r="AG102" s="481" t="str">
        <f>IF(Projets!AC36="","",Projets!AC36)</f>
        <v/>
      </c>
      <c r="AH102" s="481" t="str">
        <f>IF(Projets!AD36="","",Projets!AD36)</f>
        <v/>
      </c>
      <c r="AI102" t="str">
        <f>IF(Projets!AE36="","",Projets!AE36)</f>
        <v/>
      </c>
      <c r="AJ102" t="str">
        <f>IF(Projets!AF36="","",Projets!AF36)</f>
        <v/>
      </c>
      <c r="AK102" t="str">
        <f>IF(Projets!AG36="","",Projets!AG36)</f>
        <v/>
      </c>
    </row>
    <row r="103" spans="1:37" s="1" customFormat="1" ht="12" customHeight="1" x14ac:dyDescent="0.25">
      <c r="A103" s="93"/>
      <c r="B103" s="1295"/>
      <c r="C103" s="1295"/>
      <c r="D103" s="1295"/>
      <c r="E103" s="1295"/>
      <c r="F103" s="1295"/>
      <c r="G103" s="314"/>
      <c r="H103" s="341"/>
      <c r="I103" s="666"/>
      <c r="J103" s="423"/>
      <c r="K103" s="481"/>
      <c r="L103" s="481"/>
      <c r="M103" s="481"/>
      <c r="N103" s="481"/>
      <c r="O103" s="481"/>
      <c r="P103" s="481"/>
      <c r="Q103" s="481"/>
      <c r="R103" s="481"/>
      <c r="S103" s="481"/>
      <c r="T103" s="481"/>
      <c r="U103" s="481"/>
      <c r="V103" s="481"/>
      <c r="W103" s="481"/>
      <c r="X103" s="481"/>
      <c r="Y103" s="481"/>
      <c r="Z103" s="481"/>
      <c r="AA103" s="481"/>
      <c r="AB103" s="481"/>
      <c r="AC103" s="481"/>
      <c r="AD103" s="481"/>
      <c r="AE103" s="481"/>
      <c r="AF103" s="481"/>
      <c r="AG103" s="481"/>
      <c r="AH103" s="481"/>
      <c r="AI103" s="1" t="str">
        <f>IF(Projets!AE12="","",Projets!AE12)</f>
        <v/>
      </c>
      <c r="AJ103" s="1" t="str">
        <f>IF(Projets!AF12="","",Projets!AF12)</f>
        <v/>
      </c>
      <c r="AK103" s="1" t="e">
        <f>IF(Projets!#REF!="","",Projets!#REF!)</f>
        <v>#REF!</v>
      </c>
    </row>
    <row r="104" spans="1:37" s="1" customFormat="1" ht="13.5" customHeight="1" x14ac:dyDescent="0.25">
      <c r="A104" s="91"/>
      <c r="B104" s="94"/>
      <c r="C104" s="94"/>
      <c r="D104" s="94"/>
      <c r="E104" s="94"/>
      <c r="F104" s="94"/>
      <c r="G104" s="314"/>
      <c r="H104" s="341"/>
      <c r="I104" s="666"/>
      <c r="J104" s="423"/>
      <c r="K104" s="481"/>
      <c r="L104" s="481"/>
      <c r="M104" s="481"/>
      <c r="N104" s="481"/>
      <c r="O104" s="481"/>
      <c r="P104" s="481"/>
      <c r="Q104" s="481"/>
      <c r="R104" s="481"/>
      <c r="S104" s="481"/>
      <c r="T104" s="481"/>
      <c r="U104" s="481"/>
      <c r="V104" s="481"/>
      <c r="W104" s="481"/>
      <c r="X104" s="481"/>
      <c r="Y104" s="481"/>
      <c r="Z104" s="481"/>
      <c r="AA104" s="481"/>
      <c r="AB104" s="481"/>
      <c r="AC104" s="481"/>
      <c r="AD104" s="481"/>
      <c r="AE104" s="481"/>
      <c r="AF104" s="481"/>
      <c r="AG104" s="481"/>
      <c r="AH104" s="481"/>
    </row>
    <row r="105" spans="1:37" ht="19.5" customHeight="1" x14ac:dyDescent="0.25">
      <c r="A105" s="180" t="s">
        <v>6435</v>
      </c>
      <c r="B105" s="31" t="s">
        <v>4389</v>
      </c>
      <c r="C105" s="32"/>
      <c r="D105" s="32"/>
      <c r="E105" s="32"/>
      <c r="F105" s="32"/>
      <c r="G105" s="314"/>
      <c r="H105" s="821"/>
      <c r="I105" s="665"/>
      <c r="J105" s="426"/>
      <c r="K105" s="479"/>
      <c r="L105" s="479"/>
      <c r="M105" s="479"/>
      <c r="N105" s="479"/>
      <c r="O105" s="479"/>
      <c r="P105" s="479"/>
      <c r="Q105" s="479"/>
      <c r="R105" s="479"/>
      <c r="S105" s="479"/>
      <c r="T105" s="479"/>
      <c r="U105" s="479"/>
      <c r="V105" s="479"/>
      <c r="W105" s="479"/>
      <c r="X105" s="479"/>
      <c r="Y105" s="479"/>
      <c r="Z105" s="479"/>
      <c r="AA105" s="479"/>
      <c r="AB105" s="479"/>
      <c r="AC105" s="479"/>
      <c r="AD105" s="479"/>
      <c r="AE105" s="479"/>
      <c r="AF105" s="479"/>
      <c r="AG105" s="479"/>
      <c r="AH105" s="479"/>
    </row>
    <row r="106" spans="1:37" ht="12.75" customHeight="1" x14ac:dyDescent="0.25">
      <c r="A106" s="95"/>
      <c r="B106" s="1398">
        <f>COUNTIF(Scénarios!AB126:AB128,1)</f>
        <v>0</v>
      </c>
      <c r="C106" s="1408">
        <f>COUNTIF(Scénarios!AB126:AB128,2)</f>
        <v>0</v>
      </c>
      <c r="D106" s="1409">
        <f>COUNTIF(Scénarios!AB126:AB128,3)</f>
        <v>0</v>
      </c>
      <c r="E106" s="1407">
        <f>COUNTIF(Scénarios!AB126:AB128,4)</f>
        <v>0</v>
      </c>
      <c r="F106" s="1398">
        <f>SUM(B106:E106)</f>
        <v>0</v>
      </c>
      <c r="G106" s="314" t="s">
        <v>1973</v>
      </c>
      <c r="H106" s="341" t="s">
        <v>1618</v>
      </c>
      <c r="I106" s="666" t="str">
        <f>IF(Projets!D42=1,"Décidé",IF(Projets!C42=1,"Sélectionné",""))</f>
        <v/>
      </c>
      <c r="J106" s="423"/>
      <c r="K106" s="481" t="str">
        <f>IF(Projets!G42="","",Projets!G42)</f>
        <v>5B02</v>
      </c>
      <c r="L106" s="481">
        <f>ES5B02</f>
        <v>1</v>
      </c>
      <c r="M106" s="481">
        <f>IF(Projets!I42="","",Projets!I42)</f>
        <v>4</v>
      </c>
      <c r="N106" s="481" t="str">
        <f>IF(Projets!J42="","",Projets!J42)</f>
        <v/>
      </c>
      <c r="O106" s="481" t="str">
        <f>IF(Projets!K42="","",Projets!K42)</f>
        <v/>
      </c>
      <c r="P106" s="481" t="str">
        <f>IF(Projets!L42="","",Projets!L42)</f>
        <v/>
      </c>
      <c r="Q106" s="481" t="str">
        <f>IF(Projets!M42="","",Projets!M42)</f>
        <v/>
      </c>
      <c r="R106" s="481" t="str">
        <f>IF(Projets!N42="","",Projets!N42)</f>
        <v/>
      </c>
      <c r="S106" s="481" t="str">
        <f>IF(Projets!O42="","",Projets!O42)</f>
        <v/>
      </c>
      <c r="T106" s="481" t="str">
        <f>IF(Projets!P42="","",Projets!P42)</f>
        <v/>
      </c>
      <c r="U106" s="481" t="str">
        <f>IF(Projets!Q42="","",Projets!Q42)</f>
        <v/>
      </c>
      <c r="V106" s="481" t="str">
        <f>IF(Projets!R42="","",Projets!R42)</f>
        <v/>
      </c>
      <c r="W106" s="481" t="str">
        <f>IF(Projets!S42="","",Projets!S42)</f>
        <v/>
      </c>
      <c r="X106" s="481" t="str">
        <f>IF(Projets!T42="","",Projets!T42)</f>
        <v/>
      </c>
      <c r="Y106" s="481" t="str">
        <f>IF(Projets!U42="","",Projets!U42)</f>
        <v/>
      </c>
      <c r="Z106" s="481" t="str">
        <f>IF(Projets!V42="","",Projets!V42)</f>
        <v/>
      </c>
      <c r="AA106" s="481" t="str">
        <f>IF(Projets!W42="","",Projets!W42)</f>
        <v/>
      </c>
      <c r="AB106" s="481" t="str">
        <f>IF(Projets!X42="","",Projets!X42)</f>
        <v/>
      </c>
      <c r="AC106" s="481" t="str">
        <f>IF(Projets!Y42="","",Projets!Y42)</f>
        <v/>
      </c>
      <c r="AD106" s="481" t="str">
        <f>IF(Projets!Z42="","",Projets!Z42)</f>
        <v/>
      </c>
      <c r="AE106" s="481" t="str">
        <f>IF(Projets!AA42="","",Projets!AA42)</f>
        <v/>
      </c>
      <c r="AF106" s="481" t="str">
        <f>IF(Projets!AB42="","",Projets!AB42)</f>
        <v/>
      </c>
      <c r="AG106" s="481" t="str">
        <f>IF(Projets!AC42="","",Projets!AC42)</f>
        <v/>
      </c>
      <c r="AH106" s="481" t="str">
        <f>IF(Projets!AD42="","",Projets!AD42)</f>
        <v/>
      </c>
      <c r="AI106" t="str">
        <f>IF(Projets!AE42="","",Projets!AE42)</f>
        <v/>
      </c>
      <c r="AJ106" t="str">
        <f>IF(Projets!AF42="","",Projets!AF42)</f>
        <v/>
      </c>
      <c r="AK106" t="str">
        <f>IF(Projets!AG42="","",Projets!AG42)</f>
        <v/>
      </c>
    </row>
    <row r="107" spans="1:37" ht="12.75" customHeight="1" x14ac:dyDescent="0.25">
      <c r="A107" s="91"/>
      <c r="B107" s="1294"/>
      <c r="C107" s="1294"/>
      <c r="D107" s="1294"/>
      <c r="E107" s="1294"/>
      <c r="F107" s="1294"/>
      <c r="G107" s="314" t="s">
        <v>2006</v>
      </c>
      <c r="H107" s="341" t="s">
        <v>1968</v>
      </c>
      <c r="I107" s="666" t="str">
        <f>IF(Projets!D67=1,"Décidé",IF(Projets!C67=1,"Sélectionné",""))</f>
        <v/>
      </c>
      <c r="J107" s="423"/>
      <c r="K107" s="481" t="str">
        <f>IF(Projets!G67="","",Projets!G67)</f>
        <v>2E04</v>
      </c>
      <c r="L107" s="481">
        <f>ES2E04</f>
        <v>1</v>
      </c>
      <c r="M107" s="481">
        <f>IF(Projets!I67="","",Projets!I67)</f>
        <v>4</v>
      </c>
      <c r="N107" s="481" t="str">
        <f>IF(Projets!J67="","",Projets!J67)</f>
        <v>4F01</v>
      </c>
      <c r="O107" s="481">
        <f>ES4F01</f>
        <v>1</v>
      </c>
      <c r="P107" s="481">
        <f>IF(Projets!L67="","",Projets!L67)</f>
        <v>4</v>
      </c>
      <c r="Q107" s="481" t="str">
        <f>IF(Projets!M67="","",Projets!M67)</f>
        <v>4F02</v>
      </c>
      <c r="R107" s="481">
        <f>ES4F02</f>
        <v>1</v>
      </c>
      <c r="S107" s="481">
        <f>IF(Projets!O67="","",Projets!O67)</f>
        <v>4</v>
      </c>
      <c r="T107" s="481" t="str">
        <f>IF(Projets!P67="","",Projets!P67)</f>
        <v>4F03</v>
      </c>
      <c r="U107" s="481">
        <f>ES4F03</f>
        <v>1</v>
      </c>
      <c r="V107" s="481">
        <f>IF(Projets!R67="","",Projets!R67)</f>
        <v>4</v>
      </c>
      <c r="W107" s="481" t="str">
        <f>IF(Projets!S67="","",Projets!S67)</f>
        <v/>
      </c>
      <c r="X107" s="481" t="str">
        <f>IF(Projets!T67="","",Projets!T67)</f>
        <v/>
      </c>
      <c r="Y107" s="481" t="str">
        <f>IF(Projets!U67="","",Projets!U67)</f>
        <v/>
      </c>
      <c r="Z107" s="481" t="str">
        <f>IF(Projets!V67="","",Projets!V67)</f>
        <v/>
      </c>
      <c r="AA107" s="481" t="str">
        <f>IF(Projets!W67="","",Projets!W67)</f>
        <v/>
      </c>
      <c r="AB107" s="481" t="str">
        <f>IF(Projets!X67="","",Projets!X67)</f>
        <v/>
      </c>
      <c r="AC107" s="481" t="str">
        <f>IF(Projets!Y67="","",Projets!Y67)</f>
        <v/>
      </c>
      <c r="AD107" s="481" t="str">
        <f>IF(Projets!Z67="","",Projets!Z67)</f>
        <v/>
      </c>
      <c r="AE107" s="481" t="str">
        <f>IF(Projets!AA67="","",Projets!AA67)</f>
        <v/>
      </c>
      <c r="AF107" s="481" t="str">
        <f>IF(Projets!AB67="","",Projets!AB67)</f>
        <v/>
      </c>
      <c r="AG107" s="481" t="str">
        <f>IF(Projets!AC67="","",Projets!AC67)</f>
        <v/>
      </c>
      <c r="AH107" s="481" t="str">
        <f>IF(Projets!AD67="","",Projets!AD67)</f>
        <v/>
      </c>
      <c r="AI107" t="str">
        <f>IF(Projets!AE67="","",Projets!AE67)</f>
        <v/>
      </c>
      <c r="AJ107" t="str">
        <f>IF(Projets!AF67="","",Projets!AF67)</f>
        <v/>
      </c>
      <c r="AK107" t="str">
        <f>IF(Projets!AG67="","",Projets!AG67)</f>
        <v/>
      </c>
    </row>
    <row r="108" spans="1:37" ht="12.75" customHeight="1" x14ac:dyDescent="0.25">
      <c r="A108" s="93"/>
      <c r="B108" s="1295"/>
      <c r="C108" s="1295"/>
      <c r="D108" s="1295"/>
      <c r="E108" s="1295"/>
      <c r="F108" s="1295"/>
      <c r="G108" s="314" t="s">
        <v>6558</v>
      </c>
      <c r="H108" s="341" t="s">
        <v>6560</v>
      </c>
      <c r="I108" s="666" t="str">
        <f>IF(Projets!D36=1,"Décidé",IF(Projets!C36=1,"Sélectionné",""))</f>
        <v/>
      </c>
      <c r="J108" s="423"/>
      <c r="K108" s="481" t="str">
        <f>IF(Projets!G36="","",Projets!G36)</f>
        <v>3A08</v>
      </c>
      <c r="L108" s="481">
        <f>ES3A08</f>
        <v>0</v>
      </c>
      <c r="M108" s="481">
        <f>IF(Projets!I36="","",Projets!I36)</f>
        <v>4</v>
      </c>
      <c r="N108" s="481" t="str">
        <f>IF(Projets!J36="","",Projets!J36)</f>
        <v>4A11</v>
      </c>
      <c r="O108" s="481">
        <f>ES4A11</f>
        <v>1</v>
      </c>
      <c r="P108" s="481">
        <f>IF(Projets!L36="","",Projets!L36)</f>
        <v>4</v>
      </c>
      <c r="Q108" s="481" t="str">
        <f>IF(Projets!M36="","",Projets!M36)</f>
        <v/>
      </c>
      <c r="R108" s="481" t="str">
        <f>IF(Projets!N36="","",Projets!N36)</f>
        <v/>
      </c>
      <c r="S108" s="481" t="str">
        <f>IF(Projets!O36="","",Projets!O36)</f>
        <v/>
      </c>
      <c r="T108" s="481" t="str">
        <f>IF(Projets!P36="","",Projets!P36)</f>
        <v/>
      </c>
      <c r="U108" s="481" t="str">
        <f>IF(Projets!Q36="","",Projets!Q36)</f>
        <v/>
      </c>
      <c r="V108" s="481" t="str">
        <f>IF(Projets!R36="","",Projets!R36)</f>
        <v/>
      </c>
      <c r="W108" s="481" t="str">
        <f>IF(Projets!S36="","",Projets!S36)</f>
        <v/>
      </c>
      <c r="X108" s="481" t="str">
        <f>IF(Projets!T36="","",Projets!T36)</f>
        <v/>
      </c>
      <c r="Y108" s="481" t="str">
        <f>IF(Projets!U36="","",Projets!U36)</f>
        <v/>
      </c>
      <c r="Z108" s="481" t="str">
        <f>IF(Projets!V36="","",Projets!V36)</f>
        <v/>
      </c>
      <c r="AA108" s="481" t="str">
        <f>IF(Projets!W36="","",Projets!W36)</f>
        <v/>
      </c>
      <c r="AB108" s="481" t="str">
        <f>IF(Projets!X36="","",Projets!X36)</f>
        <v/>
      </c>
      <c r="AC108" s="481" t="str">
        <f>IF(Projets!Y36="","",Projets!Y36)</f>
        <v/>
      </c>
      <c r="AD108" s="481" t="str">
        <f>IF(Projets!Z36="","",Projets!Z36)</f>
        <v/>
      </c>
      <c r="AE108" s="481" t="str">
        <f>IF(Projets!AA36="","",Projets!AA36)</f>
        <v/>
      </c>
      <c r="AF108" s="481" t="str">
        <f>IF(Projets!AB36="","",Projets!AB36)</f>
        <v/>
      </c>
      <c r="AG108" s="481" t="str">
        <f>IF(Projets!AC36="","",Projets!AC36)</f>
        <v/>
      </c>
      <c r="AH108" s="481" t="str">
        <f>IF(Projets!AD36="","",Projets!AD36)</f>
        <v/>
      </c>
      <c r="AI108" t="str">
        <f>IF(Projets!AE36="","",Projets!AE36)</f>
        <v/>
      </c>
      <c r="AJ108" t="str">
        <f>IF(Projets!AF36="","",Projets!AF36)</f>
        <v/>
      </c>
      <c r="AK108" t="str">
        <f>IF(Projets!AG36="","",Projets!AG36)</f>
        <v/>
      </c>
    </row>
    <row r="109" spans="1:37" s="144" customFormat="1" ht="12" customHeight="1" x14ac:dyDescent="0.25">
      <c r="A109" s="91"/>
      <c r="B109" s="94"/>
      <c r="C109" s="94"/>
      <c r="D109" s="94"/>
      <c r="E109" s="94"/>
      <c r="F109" s="94"/>
      <c r="G109" s="314"/>
      <c r="H109" s="341"/>
      <c r="I109" s="666"/>
      <c r="J109" s="423"/>
      <c r="K109" s="481"/>
      <c r="L109" s="481"/>
      <c r="M109" s="481"/>
      <c r="N109" s="481"/>
      <c r="O109" s="481"/>
      <c r="P109" s="481"/>
      <c r="Q109" s="481"/>
      <c r="R109" s="481"/>
      <c r="S109" s="481"/>
      <c r="T109" s="481"/>
      <c r="U109" s="481"/>
      <c r="V109" s="481"/>
      <c r="W109" s="481"/>
      <c r="X109" s="481"/>
      <c r="Y109" s="481"/>
      <c r="Z109" s="481"/>
      <c r="AA109" s="481"/>
      <c r="AB109" s="481"/>
      <c r="AC109" s="481"/>
      <c r="AD109" s="481"/>
      <c r="AE109" s="481"/>
      <c r="AF109" s="481"/>
      <c r="AG109" s="481"/>
      <c r="AH109" s="481"/>
    </row>
    <row r="110" spans="1:37" s="1" customFormat="1" ht="17.25" customHeight="1" x14ac:dyDescent="0.25">
      <c r="A110" s="180" t="s">
        <v>6436</v>
      </c>
      <c r="B110" s="796" t="s">
        <v>4390</v>
      </c>
      <c r="C110" s="797"/>
      <c r="D110" s="797"/>
      <c r="E110" s="797"/>
      <c r="F110" s="798"/>
      <c r="G110" s="314"/>
      <c r="H110" s="824"/>
      <c r="I110" s="665"/>
      <c r="J110" s="426"/>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row>
    <row r="111" spans="1:37" s="1" customFormat="1" ht="12" customHeight="1" x14ac:dyDescent="0.25">
      <c r="A111" s="95"/>
      <c r="B111" s="1398">
        <f>COUNTIF(Scénarios!AB130:AB130,1)</f>
        <v>0</v>
      </c>
      <c r="C111" s="1408">
        <f>COUNTIF(Scénarios!AB130:AB130,2)</f>
        <v>1</v>
      </c>
      <c r="D111" s="1409">
        <f>COUNTIF(Scénarios!AB130:AB130,3)</f>
        <v>0</v>
      </c>
      <c r="E111" s="1407">
        <f>COUNTIF(Scénarios!AB130:AB130,4)</f>
        <v>0</v>
      </c>
      <c r="F111" s="1398">
        <f>SUM(B111:E111)</f>
        <v>1</v>
      </c>
      <c r="G111" s="314" t="s">
        <v>2003</v>
      </c>
      <c r="H111" s="341" t="s">
        <v>1972</v>
      </c>
      <c r="I111" s="666" t="str">
        <f>IF(Projets!D8=1,"Décidé",IF(Projets!C8=1,"Sélectionné",""))</f>
        <v/>
      </c>
      <c r="J111" s="423"/>
      <c r="K111" s="481" t="str">
        <f>IF(Projets!G8="","",Projets!G8)</f>
        <v>4A03</v>
      </c>
      <c r="L111" s="481">
        <f>ES4A03</f>
        <v>0</v>
      </c>
      <c r="M111" s="481">
        <f>IF(Projets!I8="","",Projets!I8)</f>
        <v>3</v>
      </c>
      <c r="N111" s="481" t="str">
        <f>IF(Projets!J8="","",Projets!J8)</f>
        <v>6B04</v>
      </c>
      <c r="O111" s="481">
        <f>ES6B04</f>
        <v>1</v>
      </c>
      <c r="P111" s="481">
        <f>IF(Projets!L8="","",Projets!L8)</f>
        <v>3</v>
      </c>
      <c r="Q111" s="481" t="str">
        <f>IF(Projets!M8="","",Projets!M8)</f>
        <v>6B06</v>
      </c>
      <c r="R111" s="481">
        <f>ES6B06</f>
        <v>1</v>
      </c>
      <c r="S111" s="481">
        <f>IF(Projets!O8="","",Projets!O8)</f>
        <v>3</v>
      </c>
      <c r="T111" s="481" t="str">
        <f>IF(Projets!P8="","",Projets!P8)</f>
        <v>6B07</v>
      </c>
      <c r="U111" s="481">
        <f>ES6B07</f>
        <v>1</v>
      </c>
      <c r="V111" s="481">
        <f>IF(Projets!R8="","",Projets!R8)</f>
        <v>3</v>
      </c>
      <c r="W111" s="481" t="str">
        <f>IF(Projets!S8="","",Projets!S8)</f>
        <v/>
      </c>
      <c r="X111" s="481" t="str">
        <f>IF(Projets!T8="","",Projets!T8)</f>
        <v/>
      </c>
      <c r="Y111" s="481" t="str">
        <f>IF(Projets!U8="","",Projets!U8)</f>
        <v/>
      </c>
      <c r="Z111" s="481" t="str">
        <f>IF(Projets!V8="","",Projets!V8)</f>
        <v/>
      </c>
      <c r="AA111" s="481" t="str">
        <f>IF(Projets!W8="","",Projets!W8)</f>
        <v/>
      </c>
      <c r="AB111" s="481" t="str">
        <f>IF(Projets!X8="","",Projets!X8)</f>
        <v/>
      </c>
      <c r="AC111" s="481" t="str">
        <f>IF(Projets!Y8="","",Projets!Y8)</f>
        <v/>
      </c>
      <c r="AD111" s="481" t="str">
        <f>IF(Projets!Z8="","",Projets!Z8)</f>
        <v/>
      </c>
      <c r="AE111" s="481" t="str">
        <f>IF(Projets!AA8="","",Projets!AA8)</f>
        <v/>
      </c>
      <c r="AF111" s="481" t="str">
        <f>IF(Projets!AB8="","",Projets!AB8)</f>
        <v/>
      </c>
      <c r="AG111" s="481" t="str">
        <f>IF(Projets!AC8="","",Projets!AC8)</f>
        <v/>
      </c>
      <c r="AH111" s="481" t="str">
        <f>IF(Projets!AD8="","",Projets!AD8)</f>
        <v/>
      </c>
      <c r="AI111" s="1" t="str">
        <f>IF(Projets!AE8="","",Projets!AE8)</f>
        <v/>
      </c>
      <c r="AJ111" s="1" t="str">
        <f>IF(Projets!AF8="","",Projets!AF8)</f>
        <v/>
      </c>
      <c r="AK111" s="1" t="str">
        <f>IF(Projets!AG8="","",Projets!AG8)</f>
        <v/>
      </c>
    </row>
    <row r="112" spans="1:37" x14ac:dyDescent="0.25">
      <c r="A112" s="91"/>
      <c r="B112" s="1294"/>
      <c r="C112" s="1294"/>
      <c r="D112" s="1294"/>
      <c r="E112" s="1294"/>
      <c r="F112" s="1294"/>
      <c r="G112" s="314" t="s">
        <v>4656</v>
      </c>
      <c r="H112" s="341" t="s">
        <v>4392</v>
      </c>
      <c r="I112" s="666" t="str">
        <f>IF(Projets!D37=1,"Décidé",IF(Projets!C37=1,"Sélectionné",""))</f>
        <v/>
      </c>
      <c r="J112" s="423"/>
      <c r="K112" s="758" t="str">
        <f>IF(Projets!G37="","",Projets!G37)</f>
        <v>5A05</v>
      </c>
      <c r="L112" s="758">
        <f>ES5A05</f>
        <v>1</v>
      </c>
      <c r="M112" s="743">
        <f>IF(Projets!I37="","",Projets!I37)</f>
        <v>4</v>
      </c>
      <c r="N112" s="758" t="str">
        <f>IF(Projets!J37="","",Projets!J37)</f>
        <v/>
      </c>
      <c r="O112" s="758" t="str">
        <f>IF(Projets!K37="","",Projets!K37)</f>
        <v/>
      </c>
      <c r="P112" s="743" t="str">
        <f>IF(Projets!L37="","",Projets!L37)</f>
        <v/>
      </c>
      <c r="Q112" s="758" t="str">
        <f>IF(Projets!M37="","",Projets!M37)</f>
        <v/>
      </c>
      <c r="R112" s="758" t="str">
        <f>IF(Projets!N37="","",Projets!N37)</f>
        <v/>
      </c>
      <c r="S112" s="743" t="str">
        <f>IF(Projets!O37="","",Projets!O37)</f>
        <v/>
      </c>
      <c r="T112" s="758" t="str">
        <f>IF(Projets!P37="","",Projets!P37)</f>
        <v/>
      </c>
      <c r="U112" s="758" t="str">
        <f>IF(Projets!Q37="","",Projets!Q37)</f>
        <v/>
      </c>
      <c r="V112" s="743" t="str">
        <f>IF(Projets!R37="","",Projets!R37)</f>
        <v/>
      </c>
      <c r="W112" s="481" t="str">
        <f>IF(Projets!S37="","",Projets!S37)</f>
        <v/>
      </c>
      <c r="X112" s="481" t="str">
        <f>IF(Projets!T37="","",Projets!T37)</f>
        <v/>
      </c>
      <c r="Y112" s="481" t="str">
        <f>IF(Projets!U37="","",Projets!U37)</f>
        <v/>
      </c>
      <c r="Z112" s="481" t="str">
        <f>IF(Projets!V37="","",Projets!V37)</f>
        <v/>
      </c>
      <c r="AA112" s="481" t="str">
        <f>IF(Projets!W37="","",Projets!W37)</f>
        <v/>
      </c>
      <c r="AB112" s="481" t="str">
        <f>IF(Projets!X37="","",Projets!X37)</f>
        <v/>
      </c>
      <c r="AC112" s="481" t="str">
        <f>IF(Projets!Y37="","",Projets!Y37)</f>
        <v/>
      </c>
      <c r="AD112" s="481" t="str">
        <f>IF(Projets!Z37="","",Projets!Z37)</f>
        <v/>
      </c>
      <c r="AE112" s="481" t="str">
        <f>IF(Projets!AA37="","",Projets!AA37)</f>
        <v/>
      </c>
      <c r="AF112" s="481" t="str">
        <f>IF(Projets!AB37="","",Projets!AB37)</f>
        <v/>
      </c>
      <c r="AG112" s="481" t="str">
        <f>IF(Projets!AC37="","",Projets!AC37)</f>
        <v/>
      </c>
      <c r="AH112" s="481" t="str">
        <f>IF(Projets!AD37="","",Projets!AD37)</f>
        <v/>
      </c>
      <c r="AI112" t="str">
        <f>IF(Projets!AE37="","",Projets!AE37)</f>
        <v/>
      </c>
      <c r="AJ112" t="str">
        <f>IF(Projets!AF37="","",Projets!AF37)</f>
        <v/>
      </c>
      <c r="AK112" t="str">
        <f>IF(Projets!AG37="","",Projets!AG37)</f>
        <v/>
      </c>
    </row>
    <row r="113" spans="1:37" s="1" customFormat="1" ht="12" customHeight="1" x14ac:dyDescent="0.25">
      <c r="A113" s="93"/>
      <c r="B113" s="1295"/>
      <c r="C113" s="1295"/>
      <c r="D113" s="1295"/>
      <c r="E113" s="1295"/>
      <c r="F113" s="1295"/>
      <c r="G113" s="314"/>
      <c r="H113" s="341"/>
      <c r="I113" s="666"/>
      <c r="J113" s="423"/>
      <c r="K113" s="481"/>
      <c r="L113" s="481"/>
      <c r="M113" s="481"/>
      <c r="N113" s="481"/>
      <c r="O113" s="481"/>
      <c r="P113" s="481"/>
      <c r="Q113" s="481"/>
      <c r="R113" s="481"/>
      <c r="S113" s="481"/>
      <c r="T113" s="481"/>
      <c r="U113" s="481"/>
      <c r="V113" s="481"/>
      <c r="W113" s="481"/>
      <c r="X113" s="481"/>
      <c r="Y113" s="481"/>
      <c r="Z113" s="481"/>
      <c r="AA113" s="481"/>
      <c r="AB113" s="481"/>
      <c r="AC113" s="481"/>
      <c r="AD113" s="481"/>
      <c r="AE113" s="481"/>
      <c r="AF113" s="481"/>
      <c r="AG113" s="481"/>
      <c r="AH113" s="481"/>
      <c r="AI113" s="1" t="str">
        <f>IF(Projets!AE8="","",Projets!AE8)</f>
        <v/>
      </c>
      <c r="AJ113" s="1" t="str">
        <f>IF(Projets!AF8="","",Projets!AF8)</f>
        <v/>
      </c>
      <c r="AK113" s="1" t="str">
        <f>IF(Projets!AG8="","",Projets!AG8)</f>
        <v/>
      </c>
    </row>
    <row r="114" spans="1:37" s="1" customFormat="1" ht="13.5" customHeight="1" x14ac:dyDescent="0.25">
      <c r="A114" s="91"/>
      <c r="B114" s="94"/>
      <c r="C114" s="94"/>
      <c r="D114" s="94"/>
      <c r="E114" s="94"/>
      <c r="F114" s="94"/>
      <c r="G114" s="314"/>
      <c r="H114" s="341"/>
      <c r="I114" s="666"/>
      <c r="J114" s="423"/>
      <c r="K114" s="481"/>
      <c r="L114" s="481"/>
      <c r="M114" s="481"/>
      <c r="N114" s="481"/>
      <c r="O114" s="481"/>
      <c r="P114" s="481"/>
      <c r="Q114" s="481"/>
      <c r="R114" s="481"/>
      <c r="S114" s="481"/>
      <c r="T114" s="481"/>
      <c r="U114" s="481"/>
      <c r="V114" s="481"/>
      <c r="W114" s="481"/>
      <c r="X114" s="481"/>
      <c r="Y114" s="481"/>
      <c r="Z114" s="481"/>
      <c r="AA114" s="481"/>
      <c r="AB114" s="481"/>
      <c r="AC114" s="481"/>
      <c r="AD114" s="481"/>
      <c r="AE114" s="481"/>
      <c r="AF114" s="481"/>
      <c r="AG114" s="481"/>
      <c r="AH114" s="481"/>
      <c r="AI114" s="1" t="str">
        <f>IF(Projets!AE37="","",Projets!AE37)</f>
        <v/>
      </c>
      <c r="AJ114" s="1" t="str">
        <f>IF(Projets!AF37="","",Projets!AF37)</f>
        <v/>
      </c>
      <c r="AK114" s="1" t="str">
        <f>IF(Projets!AG37="","",Projets!AG37)</f>
        <v/>
      </c>
    </row>
    <row r="115" spans="1:37" ht="19.5" customHeight="1" x14ac:dyDescent="0.25">
      <c r="A115" s="180" t="s">
        <v>6441</v>
      </c>
      <c r="B115" s="31" t="s">
        <v>4452</v>
      </c>
      <c r="C115" s="32"/>
      <c r="D115" s="32"/>
      <c r="E115" s="32"/>
      <c r="F115" s="32"/>
      <c r="G115" s="314"/>
      <c r="H115" s="821"/>
      <c r="I115" s="665"/>
      <c r="J115" s="426"/>
      <c r="K115" s="479"/>
      <c r="L115" s="479"/>
      <c r="M115" s="479"/>
      <c r="N115" s="479"/>
      <c r="O115" s="479"/>
      <c r="P115" s="479"/>
      <c r="Q115" s="479"/>
      <c r="R115" s="479"/>
      <c r="S115" s="479"/>
      <c r="T115" s="479"/>
      <c r="U115" s="479"/>
      <c r="V115" s="479"/>
      <c r="W115" s="479"/>
      <c r="X115" s="479"/>
      <c r="Y115" s="479"/>
      <c r="Z115" s="479"/>
      <c r="AA115" s="479"/>
      <c r="AB115" s="479"/>
      <c r="AC115" s="479"/>
      <c r="AD115" s="479"/>
      <c r="AE115" s="479"/>
      <c r="AF115" s="479"/>
      <c r="AG115" s="479"/>
      <c r="AH115" s="479"/>
    </row>
    <row r="116" spans="1:37" ht="12.75" customHeight="1" x14ac:dyDescent="0.25">
      <c r="A116" s="95"/>
      <c r="B116" s="1398">
        <f>COUNTIF(Scénarios!AB132:AB133,1)</f>
        <v>0</v>
      </c>
      <c r="C116" s="1408">
        <f>COUNTIF(Scénarios!AB132:AB133,2)</f>
        <v>2</v>
      </c>
      <c r="D116" s="1409">
        <f>COUNTIF(Scénarios!AB132:AB133,3)</f>
        <v>0</v>
      </c>
      <c r="E116" s="1407">
        <f>COUNTIF(Scénarios!AB132:AB133,4)</f>
        <v>0</v>
      </c>
      <c r="F116" s="1398">
        <f>SUM(B116:E116)</f>
        <v>2</v>
      </c>
      <c r="G116" s="314" t="s">
        <v>1976</v>
      </c>
      <c r="H116" s="341" t="s">
        <v>731</v>
      </c>
      <c r="I116" s="666" t="str">
        <f>IF(Projets!D25=1,"Décidé",IF(Projets!C25=1,"Sélectionné",""))</f>
        <v/>
      </c>
      <c r="J116" s="423"/>
      <c r="K116" s="481" t="str">
        <f>IF(Projets!G25="","",Projets!G25)</f>
        <v>3A02</v>
      </c>
      <c r="L116" s="481">
        <f>ES3A02</f>
        <v>0</v>
      </c>
      <c r="M116" s="481">
        <f>IF(Projets!I25="","",Projets!I25)</f>
        <v>4</v>
      </c>
      <c r="N116" s="481" t="str">
        <f>IF(Projets!J25="","",Projets!J25)</f>
        <v>3A04</v>
      </c>
      <c r="O116" s="481">
        <f>ES3A04</f>
        <v>1</v>
      </c>
      <c r="P116" s="481">
        <f>IF(Projets!L25="","",Projets!L25)</f>
        <v>4</v>
      </c>
      <c r="Q116" s="481" t="str">
        <f>IF(Projets!M25="","",Projets!M25)</f>
        <v>3A06</v>
      </c>
      <c r="R116" s="481">
        <f>ES3A06</f>
        <v>0</v>
      </c>
      <c r="S116" s="481">
        <f>IF(Projets!O25="","",Projets!O25)</f>
        <v>4</v>
      </c>
      <c r="T116" s="481" t="str">
        <f>IF(Projets!P25="","",Projets!P25)</f>
        <v>3A07</v>
      </c>
      <c r="U116" s="481">
        <f>ES3A07</f>
        <v>0</v>
      </c>
      <c r="V116" s="481">
        <f>IF(Projets!R25="","",Projets!R25)</f>
        <v>4</v>
      </c>
      <c r="W116" s="481" t="str">
        <f>IF(Projets!S25="","",Projets!S25)</f>
        <v/>
      </c>
      <c r="X116" s="481" t="str">
        <f>IF(Projets!T25="","",Projets!T25)</f>
        <v/>
      </c>
      <c r="Y116" s="481" t="str">
        <f>IF(Projets!U25="","",Projets!U25)</f>
        <v/>
      </c>
      <c r="Z116" s="481" t="str">
        <f>IF(Projets!V25="","",Projets!V25)</f>
        <v/>
      </c>
      <c r="AA116" s="481" t="str">
        <f>IF(Projets!W25="","",Projets!W25)</f>
        <v/>
      </c>
      <c r="AB116" s="481" t="str">
        <f>IF(Projets!X25="","",Projets!X25)</f>
        <v/>
      </c>
      <c r="AC116" s="481" t="str">
        <f>IF(Projets!Y25="","",Projets!Y25)</f>
        <v/>
      </c>
      <c r="AD116" s="481" t="str">
        <f>IF(Projets!Z25="","",Projets!Z25)</f>
        <v/>
      </c>
      <c r="AE116" s="481" t="str">
        <f>IF(Projets!AA25="","",Projets!AA25)</f>
        <v/>
      </c>
      <c r="AF116" s="481" t="str">
        <f>IF(Projets!AB25="","",Projets!AB25)</f>
        <v/>
      </c>
      <c r="AG116" s="481" t="str">
        <f>IF(Projets!AC25="","",Projets!AC25)</f>
        <v/>
      </c>
      <c r="AH116" s="481" t="str">
        <f>IF(Projets!AD25="","",Projets!AD25)</f>
        <v/>
      </c>
      <c r="AI116" t="str">
        <f>IF(Projets!AE25="","",Projets!AE25)</f>
        <v/>
      </c>
      <c r="AJ116" t="str">
        <f>IF(Projets!AF25="","",Projets!AF25)</f>
        <v/>
      </c>
      <c r="AK116" t="str">
        <f>IF(Projets!AG25="","",Projets!AG25)</f>
        <v/>
      </c>
    </row>
    <row r="117" spans="1:37" ht="12.75" customHeight="1" x14ac:dyDescent="0.25">
      <c r="A117" s="91"/>
      <c r="B117" s="1294"/>
      <c r="C117" s="1294"/>
      <c r="D117" s="1294"/>
      <c r="E117" s="1294"/>
      <c r="F117" s="1294"/>
      <c r="G117" s="314" t="s">
        <v>6558</v>
      </c>
      <c r="H117" s="341" t="s">
        <v>6560</v>
      </c>
      <c r="I117" s="666" t="str">
        <f>IF(Projets!D36=1,"Décidé",IF(Projets!C36=1,"Sélectionné",""))</f>
        <v/>
      </c>
      <c r="J117" s="423"/>
      <c r="K117" s="758" t="str">
        <f>IF(Projets!G36="","",Projets!G36)</f>
        <v>3A08</v>
      </c>
      <c r="L117" s="758">
        <f>ES3A08</f>
        <v>0</v>
      </c>
      <c r="M117" s="743">
        <f>IF(Projets!I36="","",Projets!I36)</f>
        <v>4</v>
      </c>
      <c r="N117" s="758" t="str">
        <f>IF(Projets!J36="","",Projets!J36)</f>
        <v>4A11</v>
      </c>
      <c r="O117" s="758">
        <f>ES4A11</f>
        <v>1</v>
      </c>
      <c r="P117" s="743">
        <f>IF(Projets!L36="","",Projets!L36)</f>
        <v>4</v>
      </c>
      <c r="Q117" s="758" t="str">
        <f>IF(Projets!M36="","",Projets!M36)</f>
        <v/>
      </c>
      <c r="R117" s="758" t="str">
        <f>IF(Projets!N36="","",Projets!N36)</f>
        <v/>
      </c>
      <c r="S117" s="743" t="str">
        <f>IF(Projets!O36="","",Projets!O36)</f>
        <v/>
      </c>
      <c r="T117" s="758" t="str">
        <f>IF(Projets!P36="","",Projets!P36)</f>
        <v/>
      </c>
      <c r="U117" s="758" t="str">
        <f>IF(Projets!Q36="","",Projets!Q36)</f>
        <v/>
      </c>
      <c r="V117" s="743" t="str">
        <f>IF(Projets!R36="","",Projets!R36)</f>
        <v/>
      </c>
      <c r="W117" s="481" t="str">
        <f>IF(Projets!S36="","",Projets!S36)</f>
        <v/>
      </c>
      <c r="X117" s="481" t="str">
        <f>IF(Projets!T36="","",Projets!T36)</f>
        <v/>
      </c>
      <c r="Y117" s="481" t="str">
        <f>IF(Projets!U36="","",Projets!U36)</f>
        <v/>
      </c>
      <c r="Z117" s="481" t="str">
        <f>IF(Projets!V36="","",Projets!V36)</f>
        <v/>
      </c>
      <c r="AA117" s="481" t="str">
        <f>IF(Projets!W36="","",Projets!W36)</f>
        <v/>
      </c>
      <c r="AB117" s="481" t="str">
        <f>IF(Projets!X36="","",Projets!X36)</f>
        <v/>
      </c>
      <c r="AC117" s="481" t="str">
        <f>IF(Projets!Y36="","",Projets!Y36)</f>
        <v/>
      </c>
      <c r="AD117" s="481" t="str">
        <f>IF(Projets!Z36="","",Projets!Z36)</f>
        <v/>
      </c>
      <c r="AE117" s="481" t="str">
        <f>IF(Projets!AA36="","",Projets!AA36)</f>
        <v/>
      </c>
      <c r="AF117" s="481" t="str">
        <f>IF(Projets!AB36="","",Projets!AB36)</f>
        <v/>
      </c>
      <c r="AG117" s="481" t="str">
        <f>IF(Projets!AC36="","",Projets!AC36)</f>
        <v/>
      </c>
      <c r="AH117" s="481" t="str">
        <f>IF(Projets!AD36="","",Projets!AD36)</f>
        <v/>
      </c>
      <c r="AI117" t="str">
        <f>IF(Projets!AE36="","",Projets!AE36)</f>
        <v/>
      </c>
      <c r="AJ117" t="str">
        <f>IF(Projets!AF36="","",Projets!AF36)</f>
        <v/>
      </c>
      <c r="AK117" t="str">
        <f>IF(Projets!AG36="","",Projets!AG36)</f>
        <v/>
      </c>
    </row>
    <row r="118" spans="1:37" ht="12.75" customHeight="1" x14ac:dyDescent="0.25">
      <c r="A118" s="93"/>
      <c r="B118" s="1295"/>
      <c r="C118" s="1295"/>
      <c r="D118" s="1295"/>
      <c r="E118" s="1295"/>
      <c r="F118" s="1295"/>
      <c r="G118" s="314" t="s">
        <v>4656</v>
      </c>
      <c r="H118" s="341" t="s">
        <v>4392</v>
      </c>
      <c r="I118" s="666" t="str">
        <f>IF(Projets!D37=1,"Décidé",IF(Projets!C37=1,"Sélectionné",""))</f>
        <v/>
      </c>
      <c r="J118" s="423"/>
      <c r="K118" s="481" t="str">
        <f>IF(Projets!G37="","",Projets!G37)</f>
        <v>5A05</v>
      </c>
      <c r="L118" s="481">
        <f>ES5A05</f>
        <v>1</v>
      </c>
      <c r="M118" s="481">
        <f>IF(Projets!I37="","",Projets!I37)</f>
        <v>4</v>
      </c>
      <c r="N118" s="481" t="str">
        <f>IF(Projets!J37="","",Projets!J37)</f>
        <v/>
      </c>
      <c r="O118" s="481" t="str">
        <f>IF(Projets!K37="","",Projets!K37)</f>
        <v/>
      </c>
      <c r="P118" s="481" t="str">
        <f>IF(Projets!L37="","",Projets!L37)</f>
        <v/>
      </c>
      <c r="Q118" s="481" t="str">
        <f>IF(Projets!M37="","",Projets!M37)</f>
        <v/>
      </c>
      <c r="R118" s="481" t="str">
        <f>IF(Projets!N37="","",Projets!N37)</f>
        <v/>
      </c>
      <c r="S118" s="481" t="str">
        <f>IF(Projets!O37="","",Projets!O37)</f>
        <v/>
      </c>
      <c r="T118" s="481" t="str">
        <f>IF(Projets!P37="","",Projets!P37)</f>
        <v/>
      </c>
      <c r="U118" s="481" t="str">
        <f>IF(Projets!Q37="","",Projets!Q37)</f>
        <v/>
      </c>
      <c r="V118" s="481" t="str">
        <f>IF(Projets!R37="","",Projets!R37)</f>
        <v/>
      </c>
      <c r="W118" s="481" t="str">
        <f>IF(Projets!S37="","",Projets!S37)</f>
        <v/>
      </c>
      <c r="X118" s="481" t="str">
        <f>IF(Projets!T37="","",Projets!T37)</f>
        <v/>
      </c>
      <c r="Y118" s="481" t="str">
        <f>IF(Projets!U37="","",Projets!U37)</f>
        <v/>
      </c>
      <c r="Z118" s="481" t="str">
        <f>IF(Projets!V37="","",Projets!V37)</f>
        <v/>
      </c>
      <c r="AA118" s="481" t="str">
        <f>IF(Projets!W37="","",Projets!W37)</f>
        <v/>
      </c>
      <c r="AB118" s="481" t="str">
        <f>IF(Projets!X37="","",Projets!X37)</f>
        <v/>
      </c>
      <c r="AC118" s="481" t="str">
        <f>IF(Projets!Y37="","",Projets!Y37)</f>
        <v/>
      </c>
      <c r="AD118" s="481" t="str">
        <f>IF(Projets!Z37="","",Projets!Z37)</f>
        <v/>
      </c>
      <c r="AE118" s="481" t="str">
        <f>IF(Projets!AA37="","",Projets!AA37)</f>
        <v/>
      </c>
      <c r="AF118" s="481" t="str">
        <f>IF(Projets!AB37="","",Projets!AB37)</f>
        <v/>
      </c>
      <c r="AG118" s="481" t="str">
        <f>IF(Projets!AC37="","",Projets!AC37)</f>
        <v/>
      </c>
      <c r="AH118" s="481" t="str">
        <f>IF(Projets!AD37="","",Projets!AD37)</f>
        <v/>
      </c>
      <c r="AI118" t="str">
        <f>IF(Projets!AE37="","",Projets!AE37)</f>
        <v/>
      </c>
      <c r="AJ118" t="str">
        <f>IF(Projets!AF37="","",Projets!AF37)</f>
        <v/>
      </c>
      <c r="AK118" t="str">
        <f>IF(Projets!AG37="","",Projets!AG37)</f>
        <v/>
      </c>
    </row>
    <row r="119" spans="1:37" s="144" customFormat="1" ht="12" customHeight="1" x14ac:dyDescent="0.25">
      <c r="A119" s="91"/>
      <c r="B119" s="94"/>
      <c r="C119" s="94"/>
      <c r="D119" s="94"/>
      <c r="E119" s="94"/>
      <c r="F119" s="94"/>
      <c r="G119" s="314"/>
      <c r="H119" s="341"/>
      <c r="I119" s="666"/>
      <c r="J119" s="423"/>
      <c r="K119" s="481"/>
      <c r="L119" s="481"/>
      <c r="M119" s="481"/>
      <c r="N119" s="481"/>
      <c r="O119" s="481"/>
      <c r="P119" s="481"/>
      <c r="Q119" s="481"/>
      <c r="R119" s="481"/>
      <c r="S119" s="481"/>
      <c r="T119" s="481"/>
      <c r="U119" s="481"/>
      <c r="V119" s="481"/>
      <c r="W119" s="481"/>
      <c r="X119" s="481"/>
      <c r="Y119" s="481"/>
      <c r="Z119" s="481"/>
      <c r="AA119" s="481"/>
      <c r="AB119" s="481"/>
      <c r="AC119" s="481"/>
      <c r="AD119" s="481"/>
      <c r="AE119" s="481"/>
      <c r="AF119" s="481"/>
      <c r="AG119" s="481"/>
      <c r="AH119" s="481"/>
    </row>
    <row r="120" spans="1:37" s="1" customFormat="1" ht="17.25" customHeight="1" x14ac:dyDescent="0.25">
      <c r="A120" s="180" t="s">
        <v>6442</v>
      </c>
      <c r="B120" s="796" t="s">
        <v>4453</v>
      </c>
      <c r="C120" s="797"/>
      <c r="D120" s="797"/>
      <c r="E120" s="797"/>
      <c r="F120" s="798"/>
      <c r="G120" s="314"/>
      <c r="H120" s="824"/>
      <c r="I120" s="665"/>
      <c r="J120" s="426"/>
      <c r="K120" s="479"/>
      <c r="L120" s="479"/>
      <c r="M120" s="479"/>
      <c r="N120" s="479"/>
      <c r="O120" s="479"/>
      <c r="P120" s="479"/>
      <c r="Q120" s="479"/>
      <c r="R120" s="479"/>
      <c r="S120" s="479"/>
      <c r="T120" s="479"/>
      <c r="U120" s="479"/>
      <c r="V120" s="479"/>
      <c r="W120" s="479"/>
      <c r="X120" s="479"/>
      <c r="Y120" s="479"/>
      <c r="Z120" s="479"/>
      <c r="AA120" s="479"/>
      <c r="AB120" s="479"/>
      <c r="AC120" s="479"/>
      <c r="AD120" s="479"/>
      <c r="AE120" s="479"/>
      <c r="AF120" s="479"/>
      <c r="AG120" s="479"/>
      <c r="AH120" s="479"/>
    </row>
    <row r="121" spans="1:37" s="1" customFormat="1" ht="12" customHeight="1" x14ac:dyDescent="0.25">
      <c r="A121" s="95"/>
      <c r="B121" s="1398">
        <f>COUNTIF(Scénarios!AB135:AB138,1)</f>
        <v>0</v>
      </c>
      <c r="C121" s="1408">
        <f>COUNTIF(Scénarios!AB135:AB138,2)</f>
        <v>0</v>
      </c>
      <c r="D121" s="1409">
        <f>COUNTIF(Scénarios!AB135:AB138,3)</f>
        <v>4</v>
      </c>
      <c r="E121" s="1407">
        <f>COUNTIF(Scénarios!AB135:AB138,4)</f>
        <v>0</v>
      </c>
      <c r="F121" s="1398">
        <f>SUM(B121:E121)</f>
        <v>4</v>
      </c>
      <c r="G121" s="314" t="s">
        <v>4607</v>
      </c>
      <c r="H121" s="341" t="s">
        <v>4604</v>
      </c>
      <c r="I121" s="666" t="str">
        <f>IF(Projets!D26=1,"Décidé",IF(Projets!C26=1,"Sélectionné",""))</f>
        <v/>
      </c>
      <c r="J121" s="423"/>
      <c r="K121" s="481" t="str">
        <f>IF(Projets!G26="","",Projets!G26)</f>
        <v>3A09</v>
      </c>
      <c r="L121" s="481">
        <f>ES3A09</f>
        <v>1</v>
      </c>
      <c r="M121" s="481">
        <f>IF(Projets!I26="","",Projets!I26)</f>
        <v>4</v>
      </c>
      <c r="N121" s="481" t="str">
        <f>IF(Projets!J26="","",Projets!J26)</f>
        <v/>
      </c>
      <c r="O121" s="481" t="str">
        <f>IF(Projets!K26="","",Projets!K26)</f>
        <v/>
      </c>
      <c r="P121" s="481" t="str">
        <f>IF(Projets!L26="","",Projets!L26)</f>
        <v/>
      </c>
      <c r="Q121" s="481" t="str">
        <f>IF(Projets!M26="","",Projets!M26)</f>
        <v/>
      </c>
      <c r="R121" s="481" t="str">
        <f>IF(Projets!N26="","",Projets!N26)</f>
        <v/>
      </c>
      <c r="S121" s="481" t="str">
        <f>IF(Projets!O26="","",Projets!O26)</f>
        <v/>
      </c>
      <c r="T121" s="481" t="str">
        <f>IF(Projets!P26="","",Projets!P26)</f>
        <v/>
      </c>
      <c r="U121" s="481" t="str">
        <f>IF(Projets!Q26="","",Projets!Q26)</f>
        <v/>
      </c>
      <c r="V121" s="481" t="str">
        <f>IF(Projets!R26="","",Projets!R26)</f>
        <v/>
      </c>
      <c r="W121" s="481" t="str">
        <f>IF(Projets!S26="","",Projets!S26)</f>
        <v/>
      </c>
      <c r="X121" s="481" t="str">
        <f>IF(Projets!T26="","",Projets!T26)</f>
        <v/>
      </c>
      <c r="Y121" s="481" t="str">
        <f>IF(Projets!U26="","",Projets!U26)</f>
        <v/>
      </c>
      <c r="Z121" s="481" t="str">
        <f>IF(Projets!V26="","",Projets!V26)</f>
        <v/>
      </c>
      <c r="AA121" s="481" t="str">
        <f>IF(Projets!W26="","",Projets!W26)</f>
        <v/>
      </c>
      <c r="AB121" s="481" t="str">
        <f>IF(Projets!X26="","",Projets!X26)</f>
        <v/>
      </c>
      <c r="AC121" s="481" t="str">
        <f>IF(Projets!Y26="","",Projets!Y26)</f>
        <v/>
      </c>
      <c r="AD121" s="481" t="str">
        <f>IF(Projets!Z26="","",Projets!Z26)</f>
        <v/>
      </c>
      <c r="AE121" s="481" t="str">
        <f>IF(Projets!AA26="","",Projets!AA26)</f>
        <v/>
      </c>
      <c r="AF121" s="481" t="str">
        <f>IF(Projets!AB26="","",Projets!AB26)</f>
        <v/>
      </c>
      <c r="AG121" s="481" t="str">
        <f>IF(Projets!AC26="","",Projets!AC26)</f>
        <v/>
      </c>
      <c r="AH121" s="481" t="str">
        <f>IF(Projets!AD26="","",Projets!AD26)</f>
        <v/>
      </c>
      <c r="AI121" s="1" t="str">
        <f>IF(Projets!AE26="","",Projets!AE26)</f>
        <v/>
      </c>
      <c r="AJ121" s="1" t="str">
        <f>IF(Projets!AF26="","",Projets!AF26)</f>
        <v/>
      </c>
      <c r="AK121" s="1" t="str">
        <f>IF(Projets!AG26="","",Projets!AG26)</f>
        <v/>
      </c>
    </row>
    <row r="122" spans="1:37" x14ac:dyDescent="0.25">
      <c r="A122" s="91"/>
      <c r="B122" s="1294"/>
      <c r="C122" s="1294"/>
      <c r="D122" s="1294"/>
      <c r="E122" s="1294"/>
      <c r="F122" s="1294"/>
      <c r="G122" s="314" t="s">
        <v>1978</v>
      </c>
      <c r="H122" s="341" t="s">
        <v>1957</v>
      </c>
      <c r="I122" s="666" t="str">
        <f>IF(Projets!D61=1,"Décidé",IF(Projets!C61=1,"Sélectionné",""))</f>
        <v/>
      </c>
      <c r="J122" s="423"/>
      <c r="K122" s="481" t="str">
        <f>IF(Projets!G61="","",Projets!G61)</f>
        <v>5E01</v>
      </c>
      <c r="L122" s="481">
        <f>ES5E01</f>
        <v>1</v>
      </c>
      <c r="M122" s="481">
        <f>IF(Projets!I61="","",Projets!I61)</f>
        <v>4</v>
      </c>
      <c r="N122" s="481" t="str">
        <f>IF(Projets!J61="","",Projets!J61)</f>
        <v>5E02</v>
      </c>
      <c r="O122" s="481">
        <f>ES5E02</f>
        <v>1</v>
      </c>
      <c r="P122" s="481">
        <f>IF(Projets!L61="","",Projets!L61)</f>
        <v>4</v>
      </c>
      <c r="Q122" s="481" t="str">
        <f>IF(Projets!M61="","",Projets!M61)</f>
        <v>5E03</v>
      </c>
      <c r="R122" s="481">
        <f>ES5E03</f>
        <v>1</v>
      </c>
      <c r="S122" s="481">
        <f>IF(Projets!O61="","",Projets!O61)</f>
        <v>4</v>
      </c>
      <c r="T122" s="481" t="str">
        <f>IF(Projets!P61="","",Projets!P61)</f>
        <v>5E04</v>
      </c>
      <c r="U122" s="481">
        <f>ES5E04</f>
        <v>1</v>
      </c>
      <c r="V122" s="481">
        <f>IF(Projets!R61="","",Projets!R61)</f>
        <v>4</v>
      </c>
      <c r="W122" s="481" t="str">
        <f>IF(Projets!S61="","",Projets!S61)</f>
        <v/>
      </c>
      <c r="X122" s="481" t="str">
        <f>IF(Projets!T61="","",Projets!T61)</f>
        <v/>
      </c>
      <c r="Y122" s="481" t="str">
        <f>IF(Projets!U61="","",Projets!U61)</f>
        <v/>
      </c>
      <c r="Z122" s="481" t="str">
        <f>IF(Projets!V61="","",Projets!V61)</f>
        <v/>
      </c>
      <c r="AA122" s="481" t="str">
        <f>IF(Projets!W61="","",Projets!W61)</f>
        <v/>
      </c>
      <c r="AB122" s="481" t="str">
        <f>IF(Projets!X61="","",Projets!X61)</f>
        <v/>
      </c>
      <c r="AC122" s="481" t="str">
        <f>IF(Projets!Y61="","",Projets!Y61)</f>
        <v/>
      </c>
      <c r="AD122" s="481" t="str">
        <f>IF(Projets!Z61="","",Projets!Z61)</f>
        <v/>
      </c>
      <c r="AE122" s="481" t="str">
        <f>IF(Projets!AA61="","",Projets!AA61)</f>
        <v/>
      </c>
      <c r="AF122" s="481" t="str">
        <f>IF(Projets!AB61="","",Projets!AB61)</f>
        <v/>
      </c>
      <c r="AG122" s="481" t="str">
        <f>IF(Projets!AC61="","",Projets!AC61)</f>
        <v/>
      </c>
      <c r="AH122" s="481" t="str">
        <f>IF(Projets!AD61="","",Projets!AD61)</f>
        <v/>
      </c>
      <c r="AI122" t="str">
        <f>IF(Projets!AE61="","",Projets!AE61)</f>
        <v/>
      </c>
      <c r="AJ122" t="str">
        <f>IF(Projets!AF61="","",Projets!AF61)</f>
        <v/>
      </c>
      <c r="AK122" t="str">
        <f>IF(Projets!AG61="","",Projets!AG61)</f>
        <v/>
      </c>
    </row>
    <row r="123" spans="1:37" s="1" customFormat="1" ht="12" customHeight="1" x14ac:dyDescent="0.25">
      <c r="A123" s="93"/>
      <c r="B123" s="1295"/>
      <c r="C123" s="1295"/>
      <c r="D123" s="1295"/>
      <c r="E123" s="1295"/>
      <c r="F123" s="1295"/>
      <c r="G123" s="314" t="s">
        <v>1981</v>
      </c>
      <c r="H123" s="341" t="s">
        <v>1959</v>
      </c>
      <c r="I123" s="666" t="str">
        <f>IF(Projets!D9=1,"Décidé",IF(Projets!C9=1,"Sélectionné",""))</f>
        <v/>
      </c>
      <c r="J123" s="423"/>
      <c r="K123" s="481" t="str">
        <f>IF(Projets!G9="","",Projets!G9)</f>
        <v>3C01</v>
      </c>
      <c r="L123" s="481">
        <f>ES3C01</f>
        <v>1</v>
      </c>
      <c r="M123" s="481">
        <f>IF(Projets!I9="","",Projets!I9)</f>
        <v>3</v>
      </c>
      <c r="N123" s="481" t="str">
        <f>IF(Projets!J9="","",Projets!J9)</f>
        <v>4A04</v>
      </c>
      <c r="O123" s="481">
        <f>ES4A04</f>
        <v>0</v>
      </c>
      <c r="P123" s="481">
        <f>IF(Projets!L9="","",Projets!L9)</f>
        <v>3</v>
      </c>
      <c r="Q123" s="481" t="str">
        <f>IF(Projets!M9="","",Projets!M9)</f>
        <v/>
      </c>
      <c r="R123" s="481" t="str">
        <f>IF(Projets!N9="","",Projets!N9)</f>
        <v/>
      </c>
      <c r="S123" s="481" t="str">
        <f>IF(Projets!O9="","",Projets!O9)</f>
        <v/>
      </c>
      <c r="T123" s="481" t="str">
        <f>IF(Projets!P9="","",Projets!P9)</f>
        <v/>
      </c>
      <c r="U123" s="481" t="str">
        <f>IF(Projets!Q9="","",Projets!Q9)</f>
        <v/>
      </c>
      <c r="V123" s="481" t="str">
        <f>IF(Projets!R9="","",Projets!R9)</f>
        <v/>
      </c>
      <c r="W123" s="481" t="str">
        <f>IF(Projets!S9="","",Projets!S9)</f>
        <v/>
      </c>
      <c r="X123" s="481" t="str">
        <f>IF(Projets!T9="","",Projets!T9)</f>
        <v/>
      </c>
      <c r="Y123" s="481" t="str">
        <f>IF(Projets!U9="","",Projets!U9)</f>
        <v/>
      </c>
      <c r="Z123" s="481" t="str">
        <f>IF(Projets!V9="","",Projets!V9)</f>
        <v/>
      </c>
      <c r="AA123" s="481" t="str">
        <f>IF(Projets!W9="","",Projets!W9)</f>
        <v/>
      </c>
      <c r="AB123" s="481" t="str">
        <f>IF(Projets!X9="","",Projets!X9)</f>
        <v/>
      </c>
      <c r="AC123" s="481" t="str">
        <f>IF(Projets!Y9="","",Projets!Y9)</f>
        <v/>
      </c>
      <c r="AD123" s="481" t="str">
        <f>IF(Projets!Z9="","",Projets!Z9)</f>
        <v/>
      </c>
      <c r="AE123" s="481" t="str">
        <f>IF(Projets!AA9="","",Projets!AA9)</f>
        <v/>
      </c>
      <c r="AF123" s="481" t="str">
        <f>IF(Projets!AB9="","",Projets!AB9)</f>
        <v/>
      </c>
      <c r="AG123" s="481" t="str">
        <f>IF(Projets!AC9="","",Projets!AC9)</f>
        <v/>
      </c>
      <c r="AH123" s="481" t="str">
        <f>IF(Projets!AD9="","",Projets!AD9)</f>
        <v/>
      </c>
      <c r="AI123" s="1" t="str">
        <f>IF(Projets!AE9="","",Projets!AE9)</f>
        <v/>
      </c>
      <c r="AJ123" s="1" t="str">
        <f>IF(Projets!AF9="","",Projets!AF9)</f>
        <v/>
      </c>
      <c r="AK123" s="1" t="str">
        <f>IF(Projets!AG9="","",Projets!AG9)</f>
        <v/>
      </c>
    </row>
    <row r="124" spans="1:37" s="1" customFormat="1" ht="13.5" customHeight="1" x14ac:dyDescent="0.25">
      <c r="A124" s="91"/>
      <c r="B124" s="94"/>
      <c r="C124" s="94"/>
      <c r="D124" s="94"/>
      <c r="E124" s="94"/>
      <c r="F124" s="94"/>
      <c r="G124" s="314"/>
      <c r="H124" s="344"/>
      <c r="I124" s="666"/>
      <c r="J124" s="423"/>
      <c r="K124" s="481"/>
      <c r="L124" s="481"/>
      <c r="M124" s="481"/>
      <c r="N124" s="481"/>
      <c r="O124" s="481"/>
      <c r="P124" s="481"/>
      <c r="Q124" s="481"/>
      <c r="R124" s="481"/>
      <c r="S124" s="481"/>
      <c r="T124" s="481"/>
      <c r="U124" s="481"/>
      <c r="V124" s="481"/>
      <c r="W124" s="481"/>
      <c r="X124" s="481"/>
      <c r="Y124" s="481"/>
      <c r="Z124" s="481"/>
      <c r="AA124" s="481"/>
      <c r="AB124" s="481"/>
      <c r="AC124" s="481"/>
      <c r="AD124" s="481"/>
      <c r="AE124" s="481"/>
      <c r="AF124" s="481"/>
      <c r="AG124" s="481"/>
      <c r="AH124" s="481"/>
    </row>
    <row r="125" spans="1:37" s="1" customFormat="1" ht="16.5" customHeight="1" x14ac:dyDescent="0.25">
      <c r="A125" s="180" t="s">
        <v>6450</v>
      </c>
      <c r="B125" s="99" t="s">
        <v>4456</v>
      </c>
      <c r="C125" s="32"/>
      <c r="D125" s="32"/>
      <c r="E125" s="32"/>
      <c r="F125" s="32"/>
      <c r="G125" s="314"/>
      <c r="H125" s="821"/>
      <c r="I125" s="665"/>
      <c r="J125" s="426"/>
      <c r="K125" s="479"/>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row>
    <row r="126" spans="1:37" s="1" customFormat="1" ht="12" customHeight="1" x14ac:dyDescent="0.25">
      <c r="A126" s="95"/>
      <c r="B126" s="1398">
        <f>COUNTIF(Scénarios!AB140:AB142,1)</f>
        <v>0</v>
      </c>
      <c r="C126" s="1408">
        <f>COUNTIF(Scénarios!AB140:AB142,2)</f>
        <v>0</v>
      </c>
      <c r="D126" s="1409">
        <f>COUNTIF(Scénarios!AB140:AB142,3)</f>
        <v>3</v>
      </c>
      <c r="E126" s="1407">
        <f>COUNTIF(Scénarios!AB140:AB142,4)</f>
        <v>0</v>
      </c>
      <c r="F126" s="1398">
        <f>SUM(B126:E126)</f>
        <v>3</v>
      </c>
      <c r="G126" s="314" t="s">
        <v>4607</v>
      </c>
      <c r="H126" s="341" t="s">
        <v>4604</v>
      </c>
      <c r="I126" s="666" t="str">
        <f>IF(Projets!D26=1,"Décidé",IF(Projets!C26=1,"Sélectionné",""))</f>
        <v/>
      </c>
      <c r="J126" s="423"/>
      <c r="K126" s="481" t="str">
        <f>IF(Projets!G26="","",Projets!G26)</f>
        <v>3A09</v>
      </c>
      <c r="L126" s="481">
        <f>ES3A09</f>
        <v>1</v>
      </c>
      <c r="M126" s="481">
        <f>IF(Projets!I26="","",Projets!I26)</f>
        <v>4</v>
      </c>
      <c r="N126" s="481" t="str">
        <f>IF(Projets!J26="","",Projets!J26)</f>
        <v/>
      </c>
      <c r="O126" s="481" t="str">
        <f>IF(Projets!K26="","",Projets!K26)</f>
        <v/>
      </c>
      <c r="P126" s="481" t="str">
        <f>IF(Projets!L26="","",Projets!L26)</f>
        <v/>
      </c>
      <c r="Q126" s="481" t="str">
        <f>IF(Projets!M26="","",Projets!M26)</f>
        <v/>
      </c>
      <c r="R126" s="481" t="str">
        <f>IF(Projets!N26="","",Projets!N26)</f>
        <v/>
      </c>
      <c r="S126" s="481" t="str">
        <f>IF(Projets!O26="","",Projets!O26)</f>
        <v/>
      </c>
      <c r="T126" s="481" t="str">
        <f>IF(Projets!P26="","",Projets!P26)</f>
        <v/>
      </c>
      <c r="U126" s="481" t="str">
        <f>IF(Projets!Q26="","",Projets!Q26)</f>
        <v/>
      </c>
      <c r="V126" s="481" t="str">
        <f>IF(Projets!R26="","",Projets!R26)</f>
        <v/>
      </c>
      <c r="W126" s="481" t="str">
        <f>IF(Projets!S26="","",Projets!S26)</f>
        <v/>
      </c>
      <c r="X126" s="481" t="str">
        <f>IF(Projets!T26="","",Projets!T26)</f>
        <v/>
      </c>
      <c r="Y126" s="481" t="str">
        <f>IF(Projets!U26="","",Projets!U26)</f>
        <v/>
      </c>
      <c r="Z126" s="481" t="str">
        <f>IF(Projets!V26="","",Projets!V26)</f>
        <v/>
      </c>
      <c r="AA126" s="481" t="str">
        <f>IF(Projets!W26="","",Projets!W26)</f>
        <v/>
      </c>
      <c r="AB126" s="481" t="str">
        <f>IF(Projets!X26="","",Projets!X26)</f>
        <v/>
      </c>
      <c r="AC126" s="481" t="str">
        <f>IF(Projets!Y26="","",Projets!Y26)</f>
        <v/>
      </c>
      <c r="AD126" s="481" t="str">
        <f>IF(Projets!Z26="","",Projets!Z26)</f>
        <v/>
      </c>
      <c r="AE126" s="481" t="str">
        <f>IF(Projets!AA26="","",Projets!AA26)</f>
        <v/>
      </c>
      <c r="AF126" s="481" t="str">
        <f>IF(Projets!AB26="","",Projets!AB26)</f>
        <v/>
      </c>
      <c r="AG126" s="481" t="str">
        <f>IF(Projets!AC26="","",Projets!AC26)</f>
        <v/>
      </c>
      <c r="AH126" s="481" t="str">
        <f>IF(Projets!AD26="","",Projets!AD26)</f>
        <v/>
      </c>
      <c r="AI126" s="1" t="str">
        <f>IF(Projets!AE26="","",Projets!AE26)</f>
        <v/>
      </c>
      <c r="AJ126" s="1" t="str">
        <f>IF(Projets!AF26="","",Projets!AF26)</f>
        <v/>
      </c>
      <c r="AK126" s="1" t="str">
        <f>IF(Projets!AG26="","",Projets!AG26)</f>
        <v/>
      </c>
    </row>
    <row r="127" spans="1:37" x14ac:dyDescent="0.25">
      <c r="A127" s="91"/>
      <c r="B127" s="1294"/>
      <c r="C127" s="1294"/>
      <c r="D127" s="1294"/>
      <c r="E127" s="1294"/>
      <c r="F127" s="1294"/>
      <c r="G127" s="314" t="s">
        <v>2002</v>
      </c>
      <c r="H127" s="341" t="s">
        <v>1967</v>
      </c>
      <c r="I127" s="666" t="str">
        <f>IF(Projets!D53=1,"Décidé",IF(Projets!C53=1,"Sélectionné",""))</f>
        <v/>
      </c>
      <c r="J127" s="423"/>
      <c r="K127" s="481" t="str">
        <f>IF(Projets!G53="","",Projets!G53)</f>
        <v>5F02</v>
      </c>
      <c r="L127" s="481">
        <f>ES5F02</f>
        <v>1</v>
      </c>
      <c r="M127" s="481">
        <f>IF(Projets!I53="","",Projets!I53)</f>
        <v>4</v>
      </c>
      <c r="N127" s="481" t="str">
        <f>IF(Projets!J53="","",Projets!J53)</f>
        <v/>
      </c>
      <c r="O127" s="481" t="str">
        <f>IF(Projets!K53="","",Projets!K53)</f>
        <v/>
      </c>
      <c r="P127" s="481" t="str">
        <f>IF(Projets!L53="","",Projets!L53)</f>
        <v/>
      </c>
      <c r="Q127" s="481" t="str">
        <f>IF(Projets!M53="","",Projets!M53)</f>
        <v/>
      </c>
      <c r="R127" s="481" t="str">
        <f>IF(Projets!N53="","",Projets!N53)</f>
        <v/>
      </c>
      <c r="S127" s="481" t="str">
        <f>IF(Projets!O53="","",Projets!O53)</f>
        <v/>
      </c>
      <c r="T127" s="481" t="str">
        <f>IF(Projets!P53="","",Projets!P53)</f>
        <v/>
      </c>
      <c r="U127" s="481" t="str">
        <f>IF(Projets!Q53="","",Projets!Q53)</f>
        <v/>
      </c>
      <c r="V127" s="481" t="str">
        <f>IF(Projets!R53="","",Projets!R53)</f>
        <v/>
      </c>
      <c r="W127" s="481" t="str">
        <f>IF(Projets!S53="","",Projets!S53)</f>
        <v/>
      </c>
      <c r="X127" s="481" t="str">
        <f>IF(Projets!T53="","",Projets!T53)</f>
        <v/>
      </c>
      <c r="Y127" s="481" t="str">
        <f>IF(Projets!U53="","",Projets!U53)</f>
        <v/>
      </c>
      <c r="Z127" s="481" t="str">
        <f>IF(Projets!V53="","",Projets!V53)</f>
        <v/>
      </c>
      <c r="AA127" s="481" t="str">
        <f>IF(Projets!W53="","",Projets!W53)</f>
        <v/>
      </c>
      <c r="AB127" s="481" t="str">
        <f>IF(Projets!X53="","",Projets!X53)</f>
        <v/>
      </c>
      <c r="AC127" s="481" t="str">
        <f>IF(Projets!Y53="","",Projets!Y53)</f>
        <v/>
      </c>
      <c r="AD127" s="481" t="str">
        <f>IF(Projets!Z53="","",Projets!Z53)</f>
        <v/>
      </c>
      <c r="AE127" s="481" t="str">
        <f>IF(Projets!AA53="","",Projets!AA53)</f>
        <v/>
      </c>
      <c r="AF127" s="481" t="str">
        <f>IF(Projets!AB53="","",Projets!AB53)</f>
        <v/>
      </c>
      <c r="AG127" s="481" t="str">
        <f>IF(Projets!AC53="","",Projets!AC53)</f>
        <v/>
      </c>
      <c r="AH127" s="481" t="str">
        <f>IF(Projets!AD53="","",Projets!AD53)</f>
        <v/>
      </c>
      <c r="AI127" t="str">
        <f>IF(Projets!AE53="","",Projets!AE53)</f>
        <v/>
      </c>
      <c r="AJ127" t="str">
        <f>IF(Projets!AF53="","",Projets!AF53)</f>
        <v/>
      </c>
      <c r="AK127" t="str">
        <f>IF(Projets!AG53="","",Projets!AG53)</f>
        <v/>
      </c>
    </row>
    <row r="128" spans="1:37" s="1" customFormat="1" ht="12" customHeight="1" x14ac:dyDescent="0.25">
      <c r="A128" s="93"/>
      <c r="B128" s="1295"/>
      <c r="C128" s="1295"/>
      <c r="D128" s="1295"/>
      <c r="E128" s="1295"/>
      <c r="F128" s="1295"/>
      <c r="G128" s="314" t="s">
        <v>1993</v>
      </c>
      <c r="H128" s="341" t="s">
        <v>1966</v>
      </c>
      <c r="I128" s="666" t="str">
        <f>IF(Projets!D55=1,"Décidé",IF(Projets!C55=1,"Sélectionné",""))</f>
        <v/>
      </c>
      <c r="J128" s="423"/>
      <c r="K128" s="481" t="str">
        <f>IF(Projets!G55="","",Projets!G55)</f>
        <v>5F01</v>
      </c>
      <c r="L128" s="481">
        <f>ES5F01</f>
        <v>1</v>
      </c>
      <c r="M128" s="481">
        <f>IF(Projets!I55="","",Projets!I55)</f>
        <v>4</v>
      </c>
      <c r="N128" s="481" t="str">
        <f>IF(Projets!J55="","",Projets!J55)</f>
        <v>5G01</v>
      </c>
      <c r="O128" s="481">
        <f>ES5G01</f>
        <v>1</v>
      </c>
      <c r="P128" s="481">
        <f>IF(Projets!L55="","",Projets!L55)</f>
        <v>4</v>
      </c>
      <c r="Q128" s="481" t="str">
        <f>IF(Projets!M55="","",Projets!M55)</f>
        <v/>
      </c>
      <c r="R128" s="481" t="str">
        <f>IF(Projets!N55="","",Projets!N55)</f>
        <v/>
      </c>
      <c r="S128" s="481" t="str">
        <f>IF(Projets!O55="","",Projets!O55)</f>
        <v/>
      </c>
      <c r="T128" s="481" t="str">
        <f>IF(Projets!P55="","",Projets!P55)</f>
        <v/>
      </c>
      <c r="U128" s="481" t="str">
        <f>IF(Projets!Q55="","",Projets!Q55)</f>
        <v/>
      </c>
      <c r="V128" s="481" t="str">
        <f>IF(Projets!R55="","",Projets!R55)</f>
        <v/>
      </c>
      <c r="W128" s="481" t="str">
        <f>IF(Projets!S55="","",Projets!S55)</f>
        <v/>
      </c>
      <c r="X128" s="481" t="str">
        <f>IF(Projets!T55="","",Projets!T55)</f>
        <v/>
      </c>
      <c r="Y128" s="481" t="str">
        <f>IF(Projets!U55="","",Projets!U55)</f>
        <v/>
      </c>
      <c r="Z128" s="481" t="str">
        <f>IF(Projets!V55="","",Projets!V55)</f>
        <v/>
      </c>
      <c r="AA128" s="481" t="str">
        <f>IF(Projets!W55="","",Projets!W55)</f>
        <v/>
      </c>
      <c r="AB128" s="481" t="str">
        <f>IF(Projets!X55="","",Projets!X55)</f>
        <v/>
      </c>
      <c r="AC128" s="481" t="str">
        <f>IF(Projets!Y55="","",Projets!Y55)</f>
        <v/>
      </c>
      <c r="AD128" s="481" t="str">
        <f>IF(Projets!Z55="","",Projets!Z55)</f>
        <v/>
      </c>
      <c r="AE128" s="481" t="str">
        <f>IF(Projets!AA55="","",Projets!AA55)</f>
        <v/>
      </c>
      <c r="AF128" s="481" t="str">
        <f>IF(Projets!AB55="","",Projets!AB55)</f>
        <v/>
      </c>
      <c r="AG128" s="481" t="str">
        <f>IF(Projets!AC55="","",Projets!AC55)</f>
        <v/>
      </c>
      <c r="AH128" s="481" t="str">
        <f>IF(Projets!AD55="","",Projets!AD55)</f>
        <v/>
      </c>
      <c r="AI128" s="1" t="str">
        <f>IF(Projets!AE55="","",Projets!AE55)</f>
        <v/>
      </c>
      <c r="AJ128" s="1" t="str">
        <f>IF(Projets!AF55="","",Projets!AF55)</f>
        <v/>
      </c>
      <c r="AK128" s="1" t="str">
        <f>IF(Projets!AG55="","",Projets!AG55)</f>
        <v/>
      </c>
    </row>
    <row r="129" spans="1:37" x14ac:dyDescent="0.25">
      <c r="A129" s="91"/>
      <c r="B129" s="94"/>
      <c r="C129" s="94"/>
      <c r="D129" s="94"/>
      <c r="E129" s="94"/>
      <c r="F129" s="94"/>
      <c r="G129" s="314"/>
      <c r="H129" s="344"/>
      <c r="I129" s="313"/>
      <c r="J129" s="423"/>
      <c r="K129" s="481"/>
      <c r="L129" s="481"/>
      <c r="M129" s="481"/>
      <c r="N129" s="481"/>
      <c r="O129" s="481"/>
      <c r="P129" s="481"/>
      <c r="Q129" s="481"/>
      <c r="R129" s="481"/>
      <c r="S129" s="481"/>
      <c r="T129" s="481"/>
      <c r="U129" s="481"/>
      <c r="V129" s="481"/>
      <c r="W129" s="481"/>
      <c r="X129" s="481"/>
      <c r="Y129" s="481"/>
      <c r="Z129" s="481"/>
      <c r="AA129" s="481"/>
      <c r="AB129" s="481"/>
      <c r="AC129" s="481"/>
      <c r="AD129" s="481"/>
      <c r="AE129" s="481"/>
      <c r="AF129" s="481"/>
      <c r="AG129" s="481"/>
      <c r="AH129" s="481"/>
    </row>
    <row r="130" spans="1:37" ht="15.75" customHeight="1" x14ac:dyDescent="0.25">
      <c r="A130" s="180" t="s">
        <v>6457</v>
      </c>
      <c r="B130" s="31" t="s">
        <v>4457</v>
      </c>
      <c r="C130" s="32"/>
      <c r="D130" s="32"/>
      <c r="E130" s="32"/>
      <c r="F130" s="32"/>
      <c r="G130" s="314"/>
      <c r="H130" s="821"/>
      <c r="I130" s="665"/>
      <c r="J130" s="426"/>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row>
    <row r="131" spans="1:37" ht="12.75" customHeight="1" x14ac:dyDescent="0.25">
      <c r="A131" s="95"/>
      <c r="B131" s="1398">
        <f>COUNTIF(Scénarios!AB144:AB146,1)</f>
        <v>0</v>
      </c>
      <c r="C131" s="1408">
        <f>COUNTIF(Scénarios!AB144:AB146,2)</f>
        <v>0</v>
      </c>
      <c r="D131" s="1409">
        <f>COUNTIF(Scénarios!AB144:AB146,3)</f>
        <v>3</v>
      </c>
      <c r="E131" s="1407">
        <f>COUNTIF(Scénarios!AB144:AB146,4)</f>
        <v>0</v>
      </c>
      <c r="F131" s="1398">
        <f>SUM(B131:E131)</f>
        <v>3</v>
      </c>
      <c r="G131" s="314" t="s">
        <v>4607</v>
      </c>
      <c r="H131" s="341" t="s">
        <v>4604</v>
      </c>
      <c r="I131" s="666" t="str">
        <f>IF(Projets!D26=1,"Décidé",IF(Projets!C26=1,"Sélectionné",""))</f>
        <v/>
      </c>
      <c r="J131" s="423"/>
      <c r="K131" s="481" t="str">
        <f>IF(Projets!G26="","",Projets!G26)</f>
        <v>3A09</v>
      </c>
      <c r="L131" s="481">
        <f>ES3A09</f>
        <v>1</v>
      </c>
      <c r="M131" s="481">
        <f>IF(Projets!I26="","",Projets!I26)</f>
        <v>4</v>
      </c>
      <c r="N131" s="481" t="str">
        <f>IF(Projets!J26="","",Projets!J26)</f>
        <v/>
      </c>
      <c r="O131" s="481" t="str">
        <f>IF(Projets!K26="","",Projets!K26)</f>
        <v/>
      </c>
      <c r="P131" s="481" t="str">
        <f>IF(Projets!L26="","",Projets!L26)</f>
        <v/>
      </c>
      <c r="Q131" s="481" t="str">
        <f>IF(Projets!M26="","",Projets!M26)</f>
        <v/>
      </c>
      <c r="R131" s="481" t="str">
        <f>IF(Projets!N26="","",Projets!N26)</f>
        <v/>
      </c>
      <c r="S131" s="481" t="str">
        <f>IF(Projets!O26="","",Projets!O26)</f>
        <v/>
      </c>
      <c r="T131" s="481" t="str">
        <f>IF(Projets!P26="","",Projets!P26)</f>
        <v/>
      </c>
      <c r="U131" s="481" t="str">
        <f>IF(Projets!Q26="","",Projets!Q26)</f>
        <v/>
      </c>
      <c r="V131" s="481" t="str">
        <f>IF(Projets!R26="","",Projets!R26)</f>
        <v/>
      </c>
      <c r="W131" s="481" t="str">
        <f>IF(Projets!S26="","",Projets!S26)</f>
        <v/>
      </c>
      <c r="X131" s="481" t="str">
        <f>IF(Projets!T26="","",Projets!T26)</f>
        <v/>
      </c>
      <c r="Y131" s="481" t="str">
        <f>IF(Projets!U26="","",Projets!U26)</f>
        <v/>
      </c>
      <c r="Z131" s="481" t="str">
        <f>IF(Projets!V26="","",Projets!V26)</f>
        <v/>
      </c>
      <c r="AA131" s="481" t="str">
        <f>IF(Projets!W26="","",Projets!W26)</f>
        <v/>
      </c>
      <c r="AB131" s="481" t="str">
        <f>IF(Projets!X26="","",Projets!X26)</f>
        <v/>
      </c>
      <c r="AC131" s="481" t="str">
        <f>IF(Projets!Y26="","",Projets!Y26)</f>
        <v/>
      </c>
      <c r="AD131" s="481" t="str">
        <f>IF(Projets!Z26="","",Projets!Z26)</f>
        <v/>
      </c>
      <c r="AE131" s="481" t="str">
        <f>IF(Projets!AA26="","",Projets!AA26)</f>
        <v/>
      </c>
      <c r="AF131" s="481" t="str">
        <f>IF(Projets!AB26="","",Projets!AB26)</f>
        <v/>
      </c>
      <c r="AG131" s="481" t="str">
        <f>IF(Projets!AC26="","",Projets!AC26)</f>
        <v/>
      </c>
      <c r="AH131" s="481" t="str">
        <f>IF(Projets!AD26="","",Projets!AD26)</f>
        <v/>
      </c>
      <c r="AI131" t="str">
        <f>IF(Projets!AE26="","",Projets!AE26)</f>
        <v/>
      </c>
      <c r="AJ131" t="str">
        <f>IF(Projets!AF26="","",Projets!AF26)</f>
        <v/>
      </c>
      <c r="AK131" t="str">
        <f>IF(Projets!AG26="","",Projets!AG26)</f>
        <v/>
      </c>
    </row>
    <row r="132" spans="1:37" ht="12.75" customHeight="1" x14ac:dyDescent="0.25">
      <c r="A132" s="91"/>
      <c r="B132" s="1294"/>
      <c r="C132" s="1294"/>
      <c r="D132" s="1294"/>
      <c r="E132" s="1294"/>
      <c r="F132" s="1294"/>
      <c r="G132" s="314" t="s">
        <v>1993</v>
      </c>
      <c r="H132" s="341" t="s">
        <v>1966</v>
      </c>
      <c r="I132" s="666" t="str">
        <f>IF(Projets!D55=1,"Décidé",IF(Projets!C55=1,"Sélectionné",""))</f>
        <v/>
      </c>
      <c r="J132" s="423"/>
      <c r="K132" s="481" t="str">
        <f>IF(Projets!G55="","",Projets!G55)</f>
        <v>5F01</v>
      </c>
      <c r="L132" s="481">
        <f>ES5F01</f>
        <v>1</v>
      </c>
      <c r="M132" s="481">
        <f>IF(Projets!I55="","",Projets!I55)</f>
        <v>4</v>
      </c>
      <c r="N132" s="481" t="str">
        <f>IF(Projets!J55="","",Projets!J55)</f>
        <v>5G01</v>
      </c>
      <c r="O132" s="481">
        <f>ES5G01</f>
        <v>1</v>
      </c>
      <c r="P132" s="481">
        <f>IF(Projets!L55="","",Projets!L55)</f>
        <v>4</v>
      </c>
      <c r="Q132" s="481" t="str">
        <f>IF(Projets!M55="","",Projets!M55)</f>
        <v/>
      </c>
      <c r="R132" s="481" t="str">
        <f>IF(Projets!N55="","",Projets!N55)</f>
        <v/>
      </c>
      <c r="S132" s="481" t="str">
        <f>IF(Projets!O55="","",Projets!O55)</f>
        <v/>
      </c>
      <c r="T132" s="481" t="str">
        <f>IF(Projets!P55="","",Projets!P55)</f>
        <v/>
      </c>
      <c r="U132" s="481" t="str">
        <f>IF(Projets!Q55="","",Projets!Q55)</f>
        <v/>
      </c>
      <c r="V132" s="481" t="str">
        <f>IF(Projets!R55="","",Projets!R55)</f>
        <v/>
      </c>
      <c r="W132" s="481" t="str">
        <f>IF(Projets!S55="","",Projets!S55)</f>
        <v/>
      </c>
      <c r="X132" s="481" t="str">
        <f>IF(Projets!T55="","",Projets!T55)</f>
        <v/>
      </c>
      <c r="Y132" s="481" t="str">
        <f>IF(Projets!U55="","",Projets!U55)</f>
        <v/>
      </c>
      <c r="Z132" s="481" t="str">
        <f>IF(Projets!V55="","",Projets!V55)</f>
        <v/>
      </c>
      <c r="AA132" s="481" t="str">
        <f>IF(Projets!W55="","",Projets!W55)</f>
        <v/>
      </c>
      <c r="AB132" s="481" t="str">
        <f>IF(Projets!X55="","",Projets!X55)</f>
        <v/>
      </c>
      <c r="AC132" s="481" t="str">
        <f>IF(Projets!Y55="","",Projets!Y55)</f>
        <v/>
      </c>
      <c r="AD132" s="481" t="str">
        <f>IF(Projets!Z55="","",Projets!Z55)</f>
        <v/>
      </c>
      <c r="AE132" s="481" t="str">
        <f>IF(Projets!AA55="","",Projets!AA55)</f>
        <v/>
      </c>
      <c r="AF132" s="481" t="str">
        <f>IF(Projets!AB55="","",Projets!AB55)</f>
        <v/>
      </c>
      <c r="AG132" s="481" t="str">
        <f>IF(Projets!AC55="","",Projets!AC55)</f>
        <v/>
      </c>
      <c r="AH132" s="481" t="str">
        <f>IF(Projets!AD55="","",Projets!AD55)</f>
        <v/>
      </c>
      <c r="AI132" t="str">
        <f>IF(Projets!AE55="","",Projets!AE55)</f>
        <v/>
      </c>
      <c r="AJ132" t="str">
        <f>IF(Projets!AF55="","",Projets!AF55)</f>
        <v/>
      </c>
      <c r="AK132" t="str">
        <f>IF(Projets!AG55="","",Projets!AG55)</f>
        <v/>
      </c>
    </row>
    <row r="133" spans="1:37" ht="12.75" customHeight="1" x14ac:dyDescent="0.25">
      <c r="A133" s="93"/>
      <c r="B133" s="1295"/>
      <c r="C133" s="1295"/>
      <c r="D133" s="1295"/>
      <c r="E133" s="1295"/>
      <c r="F133" s="1295"/>
      <c r="G133" s="314" t="s">
        <v>1990</v>
      </c>
      <c r="H133" s="341" t="s">
        <v>1965</v>
      </c>
      <c r="I133" s="666" t="str">
        <f>IF(Projets!D45=1,"Décidé",IF(Projets!C45=1,"Sélectionné",""))</f>
        <v/>
      </c>
      <c r="J133" s="423"/>
      <c r="K133" s="481" t="str">
        <f>IF(Projets!G45="","",Projets!G45)</f>
        <v>5G02</v>
      </c>
      <c r="L133" s="481">
        <f>ES5G02</f>
        <v>1</v>
      </c>
      <c r="M133" s="481">
        <f>IF(Projets!I45="","",Projets!I45)</f>
        <v>4</v>
      </c>
      <c r="N133" s="481" t="str">
        <f>IF(Projets!J45="","",Projets!J45)</f>
        <v/>
      </c>
      <c r="O133" s="481" t="str">
        <f>IF(Projets!K45="","",Projets!K45)</f>
        <v/>
      </c>
      <c r="P133" s="481" t="str">
        <f>IF(Projets!L45="","",Projets!L45)</f>
        <v/>
      </c>
      <c r="Q133" s="481" t="str">
        <f>IF(Projets!M45="","",Projets!M45)</f>
        <v/>
      </c>
      <c r="R133" s="481" t="str">
        <f>IF(Projets!N45="","",Projets!N45)</f>
        <v/>
      </c>
      <c r="S133" s="481" t="str">
        <f>IF(Projets!O45="","",Projets!O45)</f>
        <v/>
      </c>
      <c r="T133" s="481" t="str">
        <f>IF(Projets!P45="","",Projets!P45)</f>
        <v/>
      </c>
      <c r="U133" s="481" t="str">
        <f>IF(Projets!Q45="","",Projets!Q45)</f>
        <v/>
      </c>
      <c r="V133" s="481" t="str">
        <f>IF(Projets!R45="","",Projets!R45)</f>
        <v/>
      </c>
      <c r="W133" s="481" t="str">
        <f>IF(Projets!S45="","",Projets!S45)</f>
        <v/>
      </c>
      <c r="X133" s="481" t="str">
        <f>IF(Projets!T45="","",Projets!T45)</f>
        <v/>
      </c>
      <c r="Y133" s="481" t="str">
        <f>IF(Projets!U45="","",Projets!U45)</f>
        <v/>
      </c>
      <c r="Z133" s="481" t="str">
        <f>IF(Projets!V45="","",Projets!V45)</f>
        <v/>
      </c>
      <c r="AA133" s="481" t="str">
        <f>IF(Projets!W45="","",Projets!W45)</f>
        <v/>
      </c>
      <c r="AB133" s="481" t="str">
        <f>IF(Projets!X45="","",Projets!X45)</f>
        <v/>
      </c>
      <c r="AC133" s="481" t="str">
        <f>IF(Projets!Y45="","",Projets!Y45)</f>
        <v/>
      </c>
      <c r="AD133" s="481" t="str">
        <f>IF(Projets!Z45="","",Projets!Z45)</f>
        <v/>
      </c>
      <c r="AE133" s="481" t="str">
        <f>IF(Projets!AA45="","",Projets!AA45)</f>
        <v/>
      </c>
      <c r="AF133" s="481" t="str">
        <f>IF(Projets!AB45="","",Projets!AB45)</f>
        <v/>
      </c>
      <c r="AG133" s="481" t="str">
        <f>IF(Projets!AC45="","",Projets!AC45)</f>
        <v/>
      </c>
      <c r="AH133" s="481" t="str">
        <f>IF(Projets!AD45="","",Projets!AD45)</f>
        <v/>
      </c>
      <c r="AI133" t="str">
        <f>IF(Projets!AE45="","",Projets!AE45)</f>
        <v/>
      </c>
      <c r="AJ133" t="str">
        <f>IF(Projets!AF45="","",Projets!AF45)</f>
        <v/>
      </c>
      <c r="AK133" t="str">
        <f>IF(Projets!AG45="","",Projets!AG45)</f>
        <v/>
      </c>
    </row>
    <row r="134" spans="1:37" s="144" customFormat="1" ht="13.5" customHeight="1" x14ac:dyDescent="0.25">
      <c r="A134" s="91"/>
      <c r="B134" s="94"/>
      <c r="C134" s="94"/>
      <c r="D134" s="94"/>
      <c r="E134" s="94"/>
      <c r="F134" s="94"/>
      <c r="G134" s="314" t="s">
        <v>4657</v>
      </c>
      <c r="H134" s="341" t="s">
        <v>4658</v>
      </c>
      <c r="I134" s="666" t="str">
        <f>IF(Projets!D49=1,"Décidé",IF(Projets!C49=1,"Sélectionné",""))</f>
        <v/>
      </c>
      <c r="J134" s="423"/>
      <c r="K134" s="481" t="str">
        <f>IF(Projets!G49="","",Projets!G49)</f>
        <v>2D05</v>
      </c>
      <c r="L134" s="481">
        <f>ES2D05</f>
        <v>1</v>
      </c>
      <c r="M134" s="481">
        <f>IF(Projets!I49="","",Projets!I49)</f>
        <v>4</v>
      </c>
      <c r="N134" s="481" t="str">
        <f>IF(Projets!J49="","",Projets!J49)</f>
        <v/>
      </c>
      <c r="O134" s="481" t="str">
        <f>IF(Projets!K49="","",Projets!K49)</f>
        <v/>
      </c>
      <c r="P134" s="481" t="str">
        <f>IF(Projets!L49="","",Projets!L49)</f>
        <v/>
      </c>
      <c r="Q134" s="481" t="str">
        <f>IF(Projets!M49="","",Projets!M49)</f>
        <v/>
      </c>
      <c r="R134" s="481" t="str">
        <f>IF(Projets!N49="","",Projets!N49)</f>
        <v/>
      </c>
      <c r="S134" s="481" t="str">
        <f>IF(Projets!O49="","",Projets!O49)</f>
        <v/>
      </c>
      <c r="T134" s="481" t="str">
        <f>IF(Projets!P49="","",Projets!P49)</f>
        <v/>
      </c>
      <c r="U134" s="481" t="str">
        <f>IF(Projets!Q49="","",Projets!Q49)</f>
        <v/>
      </c>
      <c r="V134" s="481" t="str">
        <f>IF(Projets!R49="","",Projets!R49)</f>
        <v/>
      </c>
      <c r="W134" s="481" t="str">
        <f>IF(Projets!S49="","",Projets!S49)</f>
        <v/>
      </c>
      <c r="X134" s="481" t="str">
        <f>IF(Projets!T49="","",Projets!T49)</f>
        <v/>
      </c>
      <c r="Y134" s="481" t="str">
        <f>IF(Projets!U49="","",Projets!U49)</f>
        <v/>
      </c>
      <c r="Z134" s="481" t="str">
        <f>IF(Projets!V49="","",Projets!V49)</f>
        <v/>
      </c>
      <c r="AA134" s="481" t="str">
        <f>IF(Projets!W49="","",Projets!W49)</f>
        <v/>
      </c>
      <c r="AB134" s="481" t="str">
        <f>IF(Projets!X49="","",Projets!X49)</f>
        <v/>
      </c>
      <c r="AC134" s="481" t="str">
        <f>IF(Projets!Y49="","",Projets!Y49)</f>
        <v/>
      </c>
      <c r="AD134" s="481" t="str">
        <f>IF(Projets!Z49="","",Projets!Z49)</f>
        <v/>
      </c>
      <c r="AE134" s="481" t="str">
        <f>IF(Projets!AA49="","",Projets!AA49)</f>
        <v/>
      </c>
      <c r="AF134" s="481" t="str">
        <f>IF(Projets!AB49="","",Projets!AB49)</f>
        <v/>
      </c>
      <c r="AG134" s="481" t="str">
        <f>IF(Projets!AC49="","",Projets!AC49)</f>
        <v/>
      </c>
      <c r="AH134" s="481" t="str">
        <f>IF(Projets!AD49="","",Projets!AD49)</f>
        <v/>
      </c>
      <c r="AI134" s="144" t="str">
        <f>IF(Projets!AE49="","",Projets!AE49)</f>
        <v/>
      </c>
      <c r="AJ134" s="144" t="str">
        <f>IF(Projets!AF49="","",Projets!AF49)</f>
        <v/>
      </c>
      <c r="AK134" s="144" t="str">
        <f>IF(Projets!AG49="","",Projets!AG49)</f>
        <v/>
      </c>
    </row>
    <row r="135" spans="1:37" s="144" customFormat="1" ht="16.5" customHeight="1" x14ac:dyDescent="0.25">
      <c r="A135" s="181" t="s">
        <v>6489</v>
      </c>
      <c r="B135" s="143" t="s">
        <v>4458</v>
      </c>
      <c r="C135" s="145"/>
      <c r="D135" s="145"/>
      <c r="E135" s="145"/>
      <c r="F135" s="145"/>
      <c r="G135" s="314"/>
      <c r="H135" s="825"/>
      <c r="I135" s="667"/>
      <c r="J135" s="428"/>
      <c r="K135" s="483"/>
      <c r="L135" s="483"/>
      <c r="M135" s="483"/>
      <c r="N135" s="483"/>
      <c r="O135" s="483"/>
      <c r="P135" s="483"/>
      <c r="Q135" s="483"/>
      <c r="R135" s="483"/>
      <c r="S135" s="483"/>
      <c r="T135" s="483"/>
      <c r="U135" s="483"/>
      <c r="V135" s="483"/>
      <c r="W135" s="483"/>
      <c r="X135" s="483"/>
      <c r="Y135" s="483"/>
      <c r="Z135" s="483"/>
      <c r="AA135" s="483"/>
      <c r="AB135" s="483"/>
      <c r="AC135" s="483"/>
      <c r="AD135" s="483"/>
      <c r="AE135" s="483"/>
      <c r="AF135" s="483"/>
      <c r="AG135" s="483"/>
      <c r="AH135" s="483"/>
    </row>
    <row r="136" spans="1:37" s="144" customFormat="1" ht="13.5" customHeight="1" x14ac:dyDescent="0.25">
      <c r="A136" s="146"/>
      <c r="B136" s="1403">
        <f>COUNTIF(Scénarios!AB148:AB176,1)</f>
        <v>0</v>
      </c>
      <c r="C136" s="1404">
        <f>COUNTIF(Scénarios!AB148:AB176,2)</f>
        <v>28</v>
      </c>
      <c r="D136" s="1399">
        <f>COUNTIF(Scénarios!AB148:AB176,3)</f>
        <v>1</v>
      </c>
      <c r="E136" s="1402">
        <f>COUNTIF(Scénarios!AB148:AB176,4)</f>
        <v>0</v>
      </c>
      <c r="F136" s="1403">
        <f>SUM(B136:E136)</f>
        <v>29</v>
      </c>
      <c r="G136" s="341" t="s">
        <v>1976</v>
      </c>
      <c r="H136" s="341" t="s">
        <v>731</v>
      </c>
      <c r="I136" s="666" t="str">
        <f>IF(Projets!D25=1,"Décidé",IF(Projets!C25=1,"Sélectionné",""))</f>
        <v/>
      </c>
      <c r="J136" s="429"/>
      <c r="K136" s="482" t="str">
        <f>IF(Projets!G25="","",Projets!G25)</f>
        <v>3A02</v>
      </c>
      <c r="L136" s="482">
        <f>ES3A02</f>
        <v>0</v>
      </c>
      <c r="M136" s="482">
        <f>IF(Projets!I25="","",Projets!I25)</f>
        <v>4</v>
      </c>
      <c r="N136" s="482" t="str">
        <f>IF(Projets!J25="","",Projets!J25)</f>
        <v>3A04</v>
      </c>
      <c r="O136" s="482">
        <f>ES3A04</f>
        <v>1</v>
      </c>
      <c r="P136" s="482">
        <f>IF(Projets!L25="","",Projets!L25)</f>
        <v>4</v>
      </c>
      <c r="Q136" s="482" t="str">
        <f>IF(Projets!M25="","",Projets!M25)</f>
        <v>3A06</v>
      </c>
      <c r="R136" s="482">
        <f>ES3A06</f>
        <v>0</v>
      </c>
      <c r="S136" s="482">
        <f>IF(Projets!O25="","",Projets!O25)</f>
        <v>4</v>
      </c>
      <c r="T136" s="482" t="str">
        <f>IF(Projets!P25="","",Projets!P25)</f>
        <v>3A07</v>
      </c>
      <c r="U136" s="482">
        <f>ES3A07</f>
        <v>0</v>
      </c>
      <c r="V136" s="482">
        <f>IF(Projets!R25="","",Projets!R25)</f>
        <v>4</v>
      </c>
      <c r="W136" s="482" t="str">
        <f>IF(Projets!S25="","",Projets!S25)</f>
        <v/>
      </c>
      <c r="X136" s="482" t="str">
        <f>IF(Projets!T25="","",Projets!T25)</f>
        <v/>
      </c>
      <c r="Y136" s="482" t="str">
        <f>IF(Projets!U25="","",Projets!U25)</f>
        <v/>
      </c>
      <c r="Z136" s="482" t="str">
        <f>IF(Projets!V25="","",Projets!V25)</f>
        <v/>
      </c>
      <c r="AA136" s="482" t="str">
        <f>IF(Projets!W25="","",Projets!W25)</f>
        <v/>
      </c>
      <c r="AB136" s="482" t="str">
        <f>IF(Projets!X25="","",Projets!X25)</f>
        <v/>
      </c>
      <c r="AC136" s="482" t="str">
        <f>IF(Projets!Y25="","",Projets!Y25)</f>
        <v/>
      </c>
      <c r="AD136" s="482" t="str">
        <f>IF(Projets!Z25="","",Projets!Z25)</f>
        <v/>
      </c>
      <c r="AE136" s="482" t="str">
        <f>IF(Projets!AA25="","",Projets!AA25)</f>
        <v/>
      </c>
      <c r="AF136" s="482" t="str">
        <f>IF(Projets!AB25="","",Projets!AB25)</f>
        <v/>
      </c>
      <c r="AG136" s="482" t="str">
        <f>IF(Projets!AC25="","",Projets!AC25)</f>
        <v/>
      </c>
      <c r="AH136" s="482" t="str">
        <f>IF(Projets!AD25="","",Projets!AD25)</f>
        <v/>
      </c>
      <c r="AI136" s="144" t="str">
        <f>IF(Projets!AE25="","",Projets!AE25)</f>
        <v/>
      </c>
      <c r="AJ136" s="144" t="str">
        <f>IF(Projets!AF25="","",Projets!AF25)</f>
        <v/>
      </c>
      <c r="AK136" s="144" t="str">
        <f>IF(Projets!AG25="","",Projets!AG25)</f>
        <v/>
      </c>
    </row>
    <row r="137" spans="1:37" s="144" customFormat="1" ht="12.75" customHeight="1" x14ac:dyDescent="0.25">
      <c r="A137" s="147"/>
      <c r="B137" s="1400"/>
      <c r="C137" s="1400"/>
      <c r="D137" s="1400"/>
      <c r="E137" s="1400"/>
      <c r="F137" s="1400"/>
      <c r="G137" s="341" t="s">
        <v>2100</v>
      </c>
      <c r="H137" s="341" t="s">
        <v>360</v>
      </c>
      <c r="I137" s="666" t="str">
        <f>IF(Projets!D22=1,"Décidé",IF(Projets!C22=1,"Sélectionné",""))</f>
        <v/>
      </c>
      <c r="J137" s="429"/>
      <c r="K137" s="482" t="str">
        <f>IF(Projets!G22="","",Projets!G22)</f>
        <v>2B01</v>
      </c>
      <c r="L137" s="482">
        <f>ES2B01</f>
        <v>1</v>
      </c>
      <c r="M137" s="482">
        <f>IF(Projets!I22="","",Projets!I22)</f>
        <v>4</v>
      </c>
      <c r="N137" s="482" t="str">
        <f>IF(Projets!J22="","",Projets!J22)</f>
        <v>2B02</v>
      </c>
      <c r="O137" s="482">
        <f>ES2B02</f>
        <v>1</v>
      </c>
      <c r="P137" s="482">
        <f>IF(Projets!L22="","",Projets!L22)</f>
        <v>4</v>
      </c>
      <c r="Q137" s="482" t="str">
        <f>IF(Projets!M22="","",Projets!M22)</f>
        <v/>
      </c>
      <c r="R137" s="482" t="str">
        <f>IF(Projets!N22="","",Projets!N22)</f>
        <v/>
      </c>
      <c r="S137" s="482" t="str">
        <f>IF(Projets!O22="","",Projets!O22)</f>
        <v/>
      </c>
      <c r="T137" s="482" t="str">
        <f>IF(Projets!P22="","",Projets!P22)</f>
        <v/>
      </c>
      <c r="U137" s="482" t="str">
        <f>IF(Projets!Q22="","",Projets!Q22)</f>
        <v/>
      </c>
      <c r="V137" s="482" t="str">
        <f>IF(Projets!R22="","",Projets!R22)</f>
        <v/>
      </c>
      <c r="W137" s="482" t="str">
        <f>IF(Projets!S22="","",Projets!S22)</f>
        <v/>
      </c>
      <c r="X137" s="482" t="str">
        <f>IF(Projets!T22="","",Projets!T22)</f>
        <v/>
      </c>
      <c r="Y137" s="482" t="str">
        <f>IF(Projets!U22="","",Projets!U22)</f>
        <v/>
      </c>
      <c r="Z137" s="482" t="str">
        <f>IF(Projets!V22="","",Projets!V22)</f>
        <v/>
      </c>
      <c r="AA137" s="482" t="str">
        <f>IF(Projets!W22="","",Projets!W22)</f>
        <v/>
      </c>
      <c r="AB137" s="482" t="str">
        <f>IF(Projets!X22="","",Projets!X22)</f>
        <v/>
      </c>
      <c r="AC137" s="482" t="str">
        <f>IF(Projets!Y22="","",Projets!Y22)</f>
        <v/>
      </c>
      <c r="AD137" s="482" t="str">
        <f>IF(Projets!Z22="","",Projets!Z22)</f>
        <v/>
      </c>
      <c r="AE137" s="482" t="str">
        <f>IF(Projets!AA22="","",Projets!AA22)</f>
        <v/>
      </c>
      <c r="AF137" s="482" t="str">
        <f>IF(Projets!AB22="","",Projets!AB22)</f>
        <v/>
      </c>
      <c r="AG137" s="482" t="str">
        <f>IF(Projets!AC22="","",Projets!AC22)</f>
        <v/>
      </c>
      <c r="AH137" s="482" t="str">
        <f>IF(Projets!AD22="","",Projets!AD22)</f>
        <v/>
      </c>
      <c r="AI137" s="144" t="str">
        <f>IF(Projets!AE22="","",Projets!AE22)</f>
        <v/>
      </c>
      <c r="AJ137" s="144" t="str">
        <f>IF(Projets!AF22="","",Projets!AF22)</f>
        <v/>
      </c>
      <c r="AK137" s="144" t="str">
        <f>IF(Projets!AG22="","",Projets!AG22)</f>
        <v/>
      </c>
    </row>
    <row r="138" spans="1:37" s="144" customFormat="1" ht="12" customHeight="1" x14ac:dyDescent="0.25">
      <c r="A138" s="148"/>
      <c r="B138" s="1401"/>
      <c r="C138" s="1401"/>
      <c r="D138" s="1401"/>
      <c r="E138" s="1401"/>
      <c r="F138" s="1401"/>
      <c r="G138" s="800" t="s">
        <v>1980</v>
      </c>
      <c r="H138" s="341" t="s">
        <v>1958</v>
      </c>
      <c r="I138" s="666" t="str">
        <f>IF(Projets!D59=1,"Décidé",IF(Projets!C59=1,"Sélectionné",""))</f>
        <v/>
      </c>
      <c r="J138" s="429"/>
      <c r="K138" s="482" t="str">
        <f>IF(Projets!G59="","",Projets!G59)</f>
        <v>5A03</v>
      </c>
      <c r="L138" s="482">
        <f>ES5A03</f>
        <v>1</v>
      </c>
      <c r="M138" s="482">
        <f>IF(Projets!I59="","",Projets!I59)</f>
        <v>4</v>
      </c>
      <c r="N138" s="482" t="str">
        <f>IF(Projets!J59="","",Projets!J59)</f>
        <v/>
      </c>
      <c r="O138" s="482" t="str">
        <f>IF(Projets!K59="","",Projets!K59)</f>
        <v/>
      </c>
      <c r="P138" s="482" t="str">
        <f>IF(Projets!L59="","",Projets!L59)</f>
        <v/>
      </c>
      <c r="Q138" s="482" t="str">
        <f>IF(Projets!M59="","",Projets!M59)</f>
        <v/>
      </c>
      <c r="R138" s="482" t="str">
        <f>IF(Projets!N59="","",Projets!N59)</f>
        <v/>
      </c>
      <c r="S138" s="482" t="str">
        <f>IF(Projets!O59="","",Projets!O59)</f>
        <v/>
      </c>
      <c r="T138" s="482" t="str">
        <f>IF(Projets!P59="","",Projets!P59)</f>
        <v/>
      </c>
      <c r="U138" s="482" t="str">
        <f>IF(Projets!Q59="","",Projets!Q59)</f>
        <v/>
      </c>
      <c r="V138" s="482" t="str">
        <f>IF(Projets!R59="","",Projets!R59)</f>
        <v/>
      </c>
      <c r="W138" s="482" t="str">
        <f>IF(Projets!S59="","",Projets!S59)</f>
        <v/>
      </c>
      <c r="X138" s="482" t="str">
        <f>IF(Projets!T59="","",Projets!T59)</f>
        <v/>
      </c>
      <c r="Y138" s="482" t="str">
        <f>IF(Projets!U59="","",Projets!U59)</f>
        <v/>
      </c>
      <c r="Z138" s="482" t="str">
        <f>IF(Projets!V59="","",Projets!V59)</f>
        <v/>
      </c>
      <c r="AA138" s="482" t="str">
        <f>IF(Projets!W59="","",Projets!W59)</f>
        <v/>
      </c>
      <c r="AB138" s="482" t="str">
        <f>IF(Projets!X59="","",Projets!X59)</f>
        <v/>
      </c>
      <c r="AC138" s="482" t="str">
        <f>IF(Projets!Y59="","",Projets!Y59)</f>
        <v/>
      </c>
      <c r="AD138" s="482" t="str">
        <f>IF(Projets!Z59="","",Projets!Z59)</f>
        <v/>
      </c>
      <c r="AE138" s="482" t="str">
        <f>IF(Projets!AA59="","",Projets!AA59)</f>
        <v/>
      </c>
      <c r="AF138" s="482" t="str">
        <f>IF(Projets!AB59="","",Projets!AB59)</f>
        <v/>
      </c>
      <c r="AG138" s="482" t="str">
        <f>IF(Projets!AC59="","",Projets!AC59)</f>
        <v/>
      </c>
      <c r="AH138" s="482" t="str">
        <f>IF(Projets!AD59="","",Projets!AD59)</f>
        <v/>
      </c>
      <c r="AI138" s="144" t="str">
        <f>IF(Projets!AE59="","",Projets!AE59)</f>
        <v/>
      </c>
      <c r="AJ138" s="144" t="str">
        <f>IF(Projets!AF59="","",Projets!AF59)</f>
        <v/>
      </c>
      <c r="AK138" s="144" t="str">
        <f>IF(Projets!AG59="","",Projets!AG59)</f>
        <v/>
      </c>
    </row>
    <row r="139" spans="1:37" s="144" customFormat="1" ht="12" customHeight="1" x14ac:dyDescent="0.25">
      <c r="A139" s="147"/>
      <c r="B139" s="149"/>
      <c r="C139" s="149"/>
      <c r="D139" s="149"/>
      <c r="E139" s="149"/>
      <c r="F139" s="150"/>
      <c r="G139" s="800" t="s">
        <v>6556</v>
      </c>
      <c r="H139" s="341" t="s">
        <v>6557</v>
      </c>
      <c r="I139" s="666" t="str">
        <f>IF(Projets!D33=1,"Décidé",IF(Projets!C33=1,"Sélectionné",""))</f>
        <v/>
      </c>
      <c r="J139" s="429"/>
      <c r="K139" s="481" t="str">
        <f>IF(Projets!G33="","",Projets!G33)</f>
        <v>4A05</v>
      </c>
      <c r="L139" s="481">
        <f>ES4A05</f>
        <v>1</v>
      </c>
      <c r="M139" s="481">
        <f>IF(Projets!I33="","",Projets!I33)</f>
        <v>4</v>
      </c>
      <c r="N139" s="481" t="str">
        <f>IF(Projets!J33="","",Projets!J33)</f>
        <v>4A14</v>
      </c>
      <c r="O139" s="481">
        <f>ES4A14</f>
        <v>1</v>
      </c>
      <c r="P139" s="481">
        <f>IF(Projets!L33="","",Projets!L33)</f>
        <v>4</v>
      </c>
      <c r="Q139" s="481" t="str">
        <f>IF(Projets!M33="","",Projets!M33)</f>
        <v>7B02</v>
      </c>
      <c r="R139" s="481">
        <f>ES7B02</f>
        <v>1</v>
      </c>
      <c r="S139" s="481">
        <f>IF(Projets!O33="","",Projets!O33)</f>
        <v>4</v>
      </c>
      <c r="T139" s="481" t="str">
        <f>IF(Projets!P33="","",Projets!P33)</f>
        <v/>
      </c>
      <c r="U139" s="481" t="str">
        <f>IF(Projets!Q33="","",Projets!Q33)</f>
        <v/>
      </c>
      <c r="V139" s="481" t="str">
        <f>IF(Projets!R33="","",Projets!R33)</f>
        <v/>
      </c>
      <c r="W139" s="481" t="str">
        <f>IF(Projets!S33="","",Projets!S33)</f>
        <v/>
      </c>
      <c r="X139" s="481" t="str">
        <f>IF(Projets!T33="","",Projets!T33)</f>
        <v/>
      </c>
      <c r="Y139" s="481" t="str">
        <f>IF(Projets!U33="","",Projets!U33)</f>
        <v/>
      </c>
      <c r="Z139" s="481" t="str">
        <f>IF(Projets!V33="","",Projets!V33)</f>
        <v/>
      </c>
      <c r="AA139" s="481" t="str">
        <f>IF(Projets!W33="","",Projets!W33)</f>
        <v/>
      </c>
      <c r="AB139" s="481" t="str">
        <f>IF(Projets!X33="","",Projets!X33)</f>
        <v/>
      </c>
      <c r="AC139" s="481" t="str">
        <f>IF(Projets!Y33="","",Projets!Y33)</f>
        <v/>
      </c>
      <c r="AD139" s="481" t="str">
        <f>IF(Projets!Z33="","",Projets!Z33)</f>
        <v/>
      </c>
      <c r="AE139" s="481" t="str">
        <f>IF(Projets!AA33="","",Projets!AA33)</f>
        <v/>
      </c>
      <c r="AF139" s="481" t="str">
        <f>IF(Projets!AB33="","",Projets!AB33)</f>
        <v/>
      </c>
      <c r="AG139" s="481" t="str">
        <f>IF(Projets!AC33="","",Projets!AC33)</f>
        <v/>
      </c>
      <c r="AH139" s="481" t="str">
        <f>IF(Projets!AD33="","",Projets!AD33)</f>
        <v/>
      </c>
      <c r="AI139" s="144" t="str">
        <f>IF(Projets!AE33="","",Projets!AE33)</f>
        <v/>
      </c>
      <c r="AJ139" s="144" t="str">
        <f>IF(Projets!AF33="","",Projets!AF33)</f>
        <v/>
      </c>
      <c r="AK139" s="144" t="str">
        <f>IF(Projets!AG33="","",Projets!AG33)</f>
        <v/>
      </c>
    </row>
    <row r="140" spans="1:37" s="144" customFormat="1" ht="12" customHeight="1" x14ac:dyDescent="0.25">
      <c r="A140" s="799"/>
      <c r="B140" s="151"/>
      <c r="C140" s="151"/>
      <c r="D140" s="151"/>
      <c r="E140" s="151"/>
      <c r="F140" s="376"/>
      <c r="G140" s="344" t="s">
        <v>4621</v>
      </c>
      <c r="H140" s="341" t="s">
        <v>4620</v>
      </c>
      <c r="I140" s="666" t="str">
        <f>IF(Projets!D10=1,"Décidé",IF(Projets!C10=1,"Sélectionné",""))</f>
        <v/>
      </c>
      <c r="J140" s="929"/>
      <c r="K140" s="921" t="str">
        <f>IF(Projets!G10="","",Projets!G10)</f>
        <v>4E01</v>
      </c>
      <c r="L140" s="921">
        <f>ES4E01</f>
        <v>1</v>
      </c>
      <c r="M140" s="921">
        <f>IF(Projets!I10="","",Projets!I10)</f>
        <v>4</v>
      </c>
      <c r="N140" s="921" t="str">
        <f>IF(Projets!J10="","",Projets!J10)</f>
        <v>5C01</v>
      </c>
      <c r="O140" s="921">
        <f>ES5C01</f>
        <v>1</v>
      </c>
      <c r="P140" s="921">
        <f>IF(Projets!L10="","",Projets!L10)</f>
        <v>4</v>
      </c>
      <c r="Q140" s="921" t="str">
        <f>IF(Projets!M10="","",Projets!M10)</f>
        <v>5D04</v>
      </c>
      <c r="R140" s="921">
        <f>ES5D04</f>
        <v>1</v>
      </c>
      <c r="S140" s="921">
        <f>IF(Projets!O10="","",Projets!O10)</f>
        <v>4</v>
      </c>
      <c r="T140" s="921" t="str">
        <f>IF(Projets!P10="","",Projets!P10)</f>
        <v/>
      </c>
      <c r="U140" s="921" t="str">
        <f>IF(Projets!Q10="","",Projets!Q10)</f>
        <v/>
      </c>
      <c r="V140" s="921" t="str">
        <f>IF(Projets!R10="","",Projets!R10)</f>
        <v/>
      </c>
      <c r="W140" s="921" t="str">
        <f>IF(Projets!S10="","",Projets!S10)</f>
        <v/>
      </c>
      <c r="X140" s="921" t="str">
        <f>IF(Projets!T10="","",Projets!T10)</f>
        <v/>
      </c>
      <c r="Y140" s="921" t="str">
        <f>IF(Projets!U10="","",Projets!U10)</f>
        <v/>
      </c>
      <c r="Z140" s="921" t="str">
        <f>IF(Projets!V10="","",Projets!V10)</f>
        <v/>
      </c>
      <c r="AA140" s="921" t="str">
        <f>IF(Projets!W10="","",Projets!W10)</f>
        <v/>
      </c>
      <c r="AB140" s="921" t="str">
        <f>IF(Projets!X10="","",Projets!X10)</f>
        <v/>
      </c>
      <c r="AC140" s="921" t="str">
        <f>IF(Projets!Y10="","",Projets!Y10)</f>
        <v/>
      </c>
      <c r="AD140" s="921" t="str">
        <f>IF(Projets!Z10="","",Projets!Z10)</f>
        <v/>
      </c>
      <c r="AE140" s="921" t="str">
        <f>IF(Projets!AA10="","",Projets!AA10)</f>
        <v/>
      </c>
      <c r="AF140" s="921" t="str">
        <f>IF(Projets!AB10="","",Projets!AB10)</f>
        <v/>
      </c>
      <c r="AG140" s="921" t="str">
        <f>IF(Projets!AC10="","",Projets!AC10)</f>
        <v/>
      </c>
      <c r="AH140" s="921" t="str">
        <f>IF(Projets!AD10="","",Projets!AD10)</f>
        <v/>
      </c>
      <c r="AI140" s="144" t="str">
        <f>IF(Projets!AE10="","",Projets!AE10)</f>
        <v/>
      </c>
      <c r="AJ140" s="144" t="str">
        <f>IF(Projets!AF10="","",Projets!AF10)</f>
        <v/>
      </c>
      <c r="AK140" s="144" t="str">
        <f>IF(Projets!AG10="","",Projets!AG10)</f>
        <v/>
      </c>
    </row>
    <row r="141" spans="1:37" s="144" customFormat="1" ht="12" customHeight="1" x14ac:dyDescent="0.25">
      <c r="A141" s="799"/>
      <c r="B141" s="151"/>
      <c r="C141" s="151"/>
      <c r="D141" s="151"/>
      <c r="E141" s="151"/>
      <c r="F141" s="376"/>
      <c r="G141" s="314" t="s">
        <v>1983</v>
      </c>
      <c r="H141" s="341" t="s">
        <v>1960</v>
      </c>
      <c r="I141" s="666" t="str">
        <f>IF(Projets!D17=1,"Décidé",IF(Projets!C17=1,"Sélectionné",""))</f>
        <v/>
      </c>
      <c r="J141" s="929"/>
      <c r="K141" s="921" t="str">
        <f>IF(Projets!G17="","",Projets!G17)</f>
        <v>1E03</v>
      </c>
      <c r="L141" s="921">
        <f>ES1E03</f>
        <v>0</v>
      </c>
      <c r="M141" s="921">
        <f>IF(Projets!I17="","",Projets!I17)</f>
        <v>3</v>
      </c>
      <c r="N141" s="921" t="str">
        <f>IF(Projets!J17="","",Projets!J17)</f>
        <v/>
      </c>
      <c r="O141" s="921" t="str">
        <f>IF(Projets!K17="","",Projets!K17)</f>
        <v/>
      </c>
      <c r="P141" s="921" t="str">
        <f>IF(Projets!L17="","",Projets!L17)</f>
        <v/>
      </c>
      <c r="Q141" s="921" t="str">
        <f>IF(Projets!M17="","",Projets!M17)</f>
        <v/>
      </c>
      <c r="R141" s="921" t="str">
        <f>IF(Projets!N17="","",Projets!N17)</f>
        <v/>
      </c>
      <c r="S141" s="921" t="str">
        <f>IF(Projets!O17="","",Projets!O17)</f>
        <v/>
      </c>
      <c r="T141" s="921" t="str">
        <f>IF(Projets!P17="","",Projets!P17)</f>
        <v/>
      </c>
      <c r="U141" s="921" t="str">
        <f>IF(Projets!Q17="","",Projets!Q17)</f>
        <v/>
      </c>
      <c r="V141" s="921" t="str">
        <f>IF(Projets!R17="","",Projets!R17)</f>
        <v/>
      </c>
      <c r="W141" s="921" t="str">
        <f>IF(Projets!S17="","",Projets!S17)</f>
        <v/>
      </c>
      <c r="X141" s="921" t="str">
        <f>IF(Projets!T17="","",Projets!T17)</f>
        <v/>
      </c>
      <c r="Y141" s="921" t="str">
        <f>IF(Projets!U17="","",Projets!U17)</f>
        <v/>
      </c>
      <c r="Z141" s="921" t="str">
        <f>IF(Projets!V17="","",Projets!V17)</f>
        <v/>
      </c>
      <c r="AA141" s="921" t="str">
        <f>IF(Projets!W17="","",Projets!W17)</f>
        <v/>
      </c>
      <c r="AB141" s="921" t="str">
        <f>IF(Projets!X17="","",Projets!X17)</f>
        <v/>
      </c>
      <c r="AC141" s="921" t="str">
        <f>IF(Projets!Y17="","",Projets!Y17)</f>
        <v/>
      </c>
      <c r="AD141" s="921" t="str">
        <f>IF(Projets!Z17="","",Projets!Z17)</f>
        <v/>
      </c>
      <c r="AE141" s="921" t="str">
        <f>IF(Projets!AA17="","",Projets!AA17)</f>
        <v/>
      </c>
      <c r="AF141" s="921" t="str">
        <f>IF(Projets!AB17="","",Projets!AB17)</f>
        <v/>
      </c>
      <c r="AG141" s="921" t="str">
        <f>IF(Projets!AC17="","",Projets!AC17)</f>
        <v/>
      </c>
      <c r="AH141" s="921" t="str">
        <f>IF(Projets!AD17="","",Projets!AD17)</f>
        <v/>
      </c>
      <c r="AI141" s="144" t="str">
        <f>IF(Projets!AE17="","",Projets!AE17)</f>
        <v/>
      </c>
      <c r="AJ141" s="144" t="str">
        <f>IF(Projets!AF17="","",Projets!AF17)</f>
        <v/>
      </c>
      <c r="AK141" s="144" t="str">
        <f>IF(Projets!AG17="","",Projets!AG17)</f>
        <v/>
      </c>
    </row>
    <row r="142" spans="1:37" s="144" customFormat="1" ht="12" customHeight="1" x14ac:dyDescent="0.25">
      <c r="A142" s="799"/>
      <c r="B142" s="151"/>
      <c r="C142" s="151"/>
      <c r="D142" s="151"/>
      <c r="E142" s="151"/>
      <c r="F142" s="376"/>
      <c r="G142" s="314" t="s">
        <v>1984</v>
      </c>
      <c r="H142" s="341" t="s">
        <v>1961</v>
      </c>
      <c r="I142" s="666" t="str">
        <f>IF(Projets!D4=1,"Décidé",IF(Projets!C4=1,"Sélectionné",""))</f>
        <v/>
      </c>
      <c r="J142" s="929"/>
      <c r="K142" s="921" t="str">
        <f>IF(Projets!G4="","",Projets!G4)</f>
        <v>4C01</v>
      </c>
      <c r="L142" s="921">
        <f>ES4C01</f>
        <v>1</v>
      </c>
      <c r="M142" s="921">
        <f>IF(Projets!I4="","",Projets!I4)</f>
        <v>3</v>
      </c>
      <c r="N142" s="921" t="str">
        <f>IF(Projets!J4="","",Projets!J4)</f>
        <v/>
      </c>
      <c r="O142" s="921">
        <f>ES4C06</f>
        <v>1</v>
      </c>
      <c r="P142" s="921" t="str">
        <f>IF(Projets!L4="","",Projets!L4)</f>
        <v/>
      </c>
      <c r="Q142" s="921" t="str">
        <f>IF(Projets!M4="","",Projets!M4)</f>
        <v/>
      </c>
      <c r="R142" s="921" t="str">
        <f>IF(Projets!N4="","",Projets!N4)</f>
        <v/>
      </c>
      <c r="S142" s="921" t="str">
        <f>IF(Projets!O4="","",Projets!O4)</f>
        <v/>
      </c>
      <c r="T142" s="921" t="str">
        <f>IF(Projets!P4="","",Projets!P4)</f>
        <v/>
      </c>
      <c r="U142" s="921" t="str">
        <f>IF(Projets!Q4="","",Projets!Q4)</f>
        <v/>
      </c>
      <c r="V142" s="921" t="str">
        <f>IF(Projets!R4="","",Projets!R4)</f>
        <v/>
      </c>
      <c r="W142" s="921" t="str">
        <f>IF(Projets!S4="","",Projets!S4)</f>
        <v/>
      </c>
      <c r="X142" s="921" t="str">
        <f>IF(Projets!T4="","",Projets!T4)</f>
        <v/>
      </c>
      <c r="Y142" s="921" t="str">
        <f>IF(Projets!U4="","",Projets!U4)</f>
        <v/>
      </c>
      <c r="Z142" s="921" t="str">
        <f>IF(Projets!V4="","",Projets!V4)</f>
        <v/>
      </c>
      <c r="AA142" s="921" t="str">
        <f>IF(Projets!W4="","",Projets!W4)</f>
        <v/>
      </c>
      <c r="AB142" s="921" t="str">
        <f>IF(Projets!X4="","",Projets!X4)</f>
        <v/>
      </c>
      <c r="AC142" s="921" t="str">
        <f>IF(Projets!Y4="","",Projets!Y4)</f>
        <v/>
      </c>
      <c r="AD142" s="921" t="str">
        <f>IF(Projets!Z4="","",Projets!Z4)</f>
        <v/>
      </c>
      <c r="AE142" s="921" t="str">
        <f>IF(Projets!AA4="","",Projets!AA4)</f>
        <v/>
      </c>
      <c r="AF142" s="921" t="str">
        <f>IF(Projets!AB4="","",Projets!AB4)</f>
        <v/>
      </c>
      <c r="AG142" s="921" t="str">
        <f>IF(Projets!AC4="","",Projets!AC4)</f>
        <v/>
      </c>
      <c r="AH142" s="921" t="str">
        <f>IF(Projets!AD4="","",Projets!AD4)</f>
        <v/>
      </c>
      <c r="AI142" s="144" t="str">
        <f>IF(Projets!AE4="","",Projets!AE4)</f>
        <v/>
      </c>
      <c r="AJ142" s="144" t="str">
        <f>IF(Projets!AF4="","",Projets!AF4)</f>
        <v/>
      </c>
      <c r="AK142" s="144" t="str">
        <f>IF(Projets!AG4="","",Projets!AG4)</f>
        <v/>
      </c>
    </row>
    <row r="143" spans="1:37" s="144" customFormat="1" ht="12" customHeight="1" x14ac:dyDescent="0.25">
      <c r="A143" s="799"/>
      <c r="B143" s="151"/>
      <c r="C143" s="151"/>
      <c r="D143" s="151"/>
      <c r="E143" s="151"/>
      <c r="F143" s="376"/>
      <c r="G143" s="314" t="s">
        <v>2012</v>
      </c>
      <c r="H143" s="341" t="s">
        <v>2013</v>
      </c>
      <c r="I143" s="666" t="str">
        <f>IF(Projets!D16=1,"Décidé",IF(Projets!C16=1,"Sélectionné",""))</f>
        <v/>
      </c>
      <c r="J143" s="929"/>
      <c r="K143" s="921" t="str">
        <f>IF(Projets!G16="","",Projets!G16)</f>
        <v>1E01</v>
      </c>
      <c r="L143" s="921">
        <f>ES1E01</f>
        <v>0</v>
      </c>
      <c r="M143" s="921">
        <f>IF(Projets!I16="","",Projets!I16)</f>
        <v>3</v>
      </c>
      <c r="N143" s="921" t="str">
        <f>IF(Projets!J16="","",Projets!J16)</f>
        <v/>
      </c>
      <c r="O143" s="921" t="str">
        <f>IF(Projets!K16="","",Projets!K16)</f>
        <v/>
      </c>
      <c r="P143" s="921" t="str">
        <f>IF(Projets!L16="","",Projets!L16)</f>
        <v/>
      </c>
      <c r="Q143" s="921" t="str">
        <f>IF(Projets!M16="","",Projets!M16)</f>
        <v/>
      </c>
      <c r="R143" s="921" t="str">
        <f>IF(Projets!N16="","",Projets!N16)</f>
        <v/>
      </c>
      <c r="S143" s="921" t="str">
        <f>IF(Projets!O16="","",Projets!O16)</f>
        <v/>
      </c>
      <c r="T143" s="921" t="str">
        <f>IF(Projets!P16="","",Projets!P16)</f>
        <v/>
      </c>
      <c r="U143" s="921" t="str">
        <f>IF(Projets!Q16="","",Projets!Q16)</f>
        <v/>
      </c>
      <c r="V143" s="921" t="str">
        <f>IF(Projets!R16="","",Projets!R16)</f>
        <v/>
      </c>
      <c r="W143" s="921" t="str">
        <f>IF(Projets!S16="","",Projets!S16)</f>
        <v/>
      </c>
      <c r="X143" s="921" t="str">
        <f>IF(Projets!T16="","",Projets!T16)</f>
        <v/>
      </c>
      <c r="Y143" s="921" t="str">
        <f>IF(Projets!U16="","",Projets!U16)</f>
        <v/>
      </c>
      <c r="Z143" s="921" t="str">
        <f>IF(Projets!V16="","",Projets!V16)</f>
        <v/>
      </c>
      <c r="AA143" s="921" t="str">
        <f>IF(Projets!W16="","",Projets!W16)</f>
        <v/>
      </c>
      <c r="AB143" s="921" t="str">
        <f>IF(Projets!X16="","",Projets!X16)</f>
        <v/>
      </c>
      <c r="AC143" s="921" t="str">
        <f>IF(Projets!Y16="","",Projets!Y16)</f>
        <v/>
      </c>
      <c r="AD143" s="921" t="str">
        <f>IF(Projets!Z16="","",Projets!Z16)</f>
        <v/>
      </c>
      <c r="AE143" s="921" t="str">
        <f>IF(Projets!AA16="","",Projets!AA16)</f>
        <v/>
      </c>
      <c r="AF143" s="921" t="str">
        <f>IF(Projets!AB16="","",Projets!AB16)</f>
        <v/>
      </c>
      <c r="AG143" s="921" t="str">
        <f>IF(Projets!AC16="","",Projets!AC16)</f>
        <v/>
      </c>
      <c r="AH143" s="921" t="str">
        <f>IF(Projets!AD16="","",Projets!AD16)</f>
        <v/>
      </c>
      <c r="AI143" s="144" t="str">
        <f>IF(Projets!AE16="","",Projets!AE16)</f>
        <v/>
      </c>
      <c r="AJ143" s="144" t="str">
        <f>IF(Projets!AF16="","",Projets!AF16)</f>
        <v/>
      </c>
      <c r="AK143" s="144" t="str">
        <f>IF(Projets!AG16="","",Projets!AG16)</f>
        <v/>
      </c>
    </row>
    <row r="144" spans="1:37" s="144" customFormat="1" ht="12" customHeight="1" x14ac:dyDescent="0.25">
      <c r="A144" s="799"/>
      <c r="B144" s="151"/>
      <c r="C144" s="151"/>
      <c r="D144" s="151"/>
      <c r="E144" s="151"/>
      <c r="F144" s="376"/>
      <c r="G144" s="317" t="s">
        <v>1985</v>
      </c>
      <c r="H144" s="341" t="s">
        <v>1962</v>
      </c>
      <c r="I144" s="666" t="str">
        <f>IF(Projets!D15=1,"Décidé",IF(Projets!C15=1,"Sélectionné",""))</f>
        <v/>
      </c>
      <c r="J144" s="929"/>
      <c r="K144" s="921" t="str">
        <f>IF(Projets!G15="","",Projets!G15)</f>
        <v>1E02</v>
      </c>
      <c r="L144" s="921">
        <f>ES1E02</f>
        <v>1</v>
      </c>
      <c r="M144" s="921">
        <f>IF(Projets!I15="","",Projets!I15)</f>
        <v>3</v>
      </c>
      <c r="N144" s="921" t="str">
        <f>IF(Projets!J15="","",Projets!J15)</f>
        <v/>
      </c>
      <c r="O144" s="921" t="str">
        <f>IF(Projets!K15="","",Projets!K15)</f>
        <v/>
      </c>
      <c r="P144" s="921" t="str">
        <f>IF(Projets!L15="","",Projets!L15)</f>
        <v/>
      </c>
      <c r="Q144" s="921" t="str">
        <f>IF(Projets!M15="","",Projets!M15)</f>
        <v/>
      </c>
      <c r="R144" s="921" t="str">
        <f>IF(Projets!N15="","",Projets!N15)</f>
        <v/>
      </c>
      <c r="S144" s="921" t="str">
        <f>IF(Projets!O15="","",Projets!O15)</f>
        <v/>
      </c>
      <c r="T144" s="921" t="str">
        <f>IF(Projets!P15="","",Projets!P15)</f>
        <v/>
      </c>
      <c r="U144" s="921" t="str">
        <f>IF(Projets!Q15="","",Projets!Q15)</f>
        <v/>
      </c>
      <c r="V144" s="921" t="str">
        <f>IF(Projets!R15="","",Projets!R15)</f>
        <v/>
      </c>
      <c r="W144" s="921" t="str">
        <f>IF(Projets!S15="","",Projets!S15)</f>
        <v/>
      </c>
      <c r="X144" s="921" t="str">
        <f>IF(Projets!T15="","",Projets!T15)</f>
        <v/>
      </c>
      <c r="Y144" s="921" t="str">
        <f>IF(Projets!U15="","",Projets!U15)</f>
        <v/>
      </c>
      <c r="Z144" s="921" t="str">
        <f>IF(Projets!V15="","",Projets!V15)</f>
        <v/>
      </c>
      <c r="AA144" s="921" t="str">
        <f>IF(Projets!W15="","",Projets!W15)</f>
        <v/>
      </c>
      <c r="AB144" s="921" t="str">
        <f>IF(Projets!X15="","",Projets!X15)</f>
        <v/>
      </c>
      <c r="AC144" s="921" t="str">
        <f>IF(Projets!Y15="","",Projets!Y15)</f>
        <v/>
      </c>
      <c r="AD144" s="921" t="str">
        <f>IF(Projets!Z15="","",Projets!Z15)</f>
        <v/>
      </c>
      <c r="AE144" s="921" t="str">
        <f>IF(Projets!AA15="","",Projets!AA15)</f>
        <v/>
      </c>
      <c r="AF144" s="921" t="str">
        <f>IF(Projets!AB15="","",Projets!AB15)</f>
        <v/>
      </c>
      <c r="AG144" s="921" t="str">
        <f>IF(Projets!AC15="","",Projets!AC15)</f>
        <v/>
      </c>
      <c r="AH144" s="921" t="str">
        <f>IF(Projets!AD15="","",Projets!AD15)</f>
        <v/>
      </c>
      <c r="AI144" s="144" t="str">
        <f>IF(Projets!AE15="","",Projets!AE15)</f>
        <v/>
      </c>
      <c r="AJ144" s="144" t="str">
        <f>IF(Projets!AF15="","",Projets!AF15)</f>
        <v/>
      </c>
      <c r="AK144" s="144" t="str">
        <f>IF(Projets!AG15="","",Projets!AG15)</f>
        <v/>
      </c>
    </row>
    <row r="145" spans="1:37" s="144" customFormat="1" ht="12" customHeight="1" x14ac:dyDescent="0.25">
      <c r="A145" s="147"/>
      <c r="B145" s="151"/>
      <c r="C145" s="151"/>
      <c r="D145" s="151"/>
      <c r="E145" s="151"/>
      <c r="F145" s="376"/>
      <c r="G145" s="314" t="s">
        <v>2014</v>
      </c>
      <c r="H145" s="341" t="s">
        <v>4587</v>
      </c>
      <c r="I145" s="666" t="str">
        <f>IF(Projets!D11=1,"Décidé",IF(Projets!C11=1,"Sélectionné",""))</f>
        <v/>
      </c>
      <c r="J145" s="429"/>
      <c r="K145" s="758" t="str">
        <f>IF(Projets!G11="","",Projets!G11)</f>
        <v>1C06</v>
      </c>
      <c r="L145" s="758">
        <f>ES1C06</f>
        <v>0</v>
      </c>
      <c r="M145" s="743">
        <f>IF(Projets!I11="","",Projets!I11)</f>
        <v>4</v>
      </c>
      <c r="N145" s="758" t="str">
        <f>IF(Projets!J11="","",Projets!J11)</f>
        <v>4A02</v>
      </c>
      <c r="O145" s="758">
        <f>ES4A02</f>
        <v>0</v>
      </c>
      <c r="P145" s="743">
        <f>IF(Projets!L11="","",Projets!L11)</f>
        <v>4</v>
      </c>
      <c r="Q145" s="758" t="str">
        <f>IF(Projets!M11="","",Projets!M11)</f>
        <v/>
      </c>
      <c r="R145" s="758" t="str">
        <f>IF(Projets!N11="","",Projets!N11)</f>
        <v/>
      </c>
      <c r="S145" s="743" t="str">
        <f>IF(Projets!O11="","",Projets!O11)</f>
        <v/>
      </c>
      <c r="T145" s="758" t="str">
        <f>IF(Projets!P11="","",Projets!P11)</f>
        <v/>
      </c>
      <c r="U145" s="758" t="str">
        <f>IF(Projets!Q11="","",Projets!Q11)</f>
        <v/>
      </c>
      <c r="V145" s="743" t="str">
        <f>IF(Projets!R11="","",Projets!R11)</f>
        <v/>
      </c>
      <c r="W145" s="481" t="str">
        <f>IF(Projets!S11="","",Projets!S11)</f>
        <v/>
      </c>
      <c r="X145" s="481" t="str">
        <f>IF(Projets!T11="","",Projets!T11)</f>
        <v/>
      </c>
      <c r="Y145" s="481" t="str">
        <f>IF(Projets!U11="","",Projets!U11)</f>
        <v/>
      </c>
      <c r="Z145" s="481" t="str">
        <f>IF(Projets!V11="","",Projets!V11)</f>
        <v/>
      </c>
      <c r="AA145" s="481" t="str">
        <f>IF(Projets!W11="","",Projets!W11)</f>
        <v/>
      </c>
      <c r="AB145" s="481" t="str">
        <f>IF(Projets!X11="","",Projets!X11)</f>
        <v/>
      </c>
      <c r="AC145" s="481" t="str">
        <f>IF(Projets!Y11="","",Projets!Y11)</f>
        <v/>
      </c>
      <c r="AD145" s="481" t="str">
        <f>IF(Projets!Z11="","",Projets!Z11)</f>
        <v/>
      </c>
      <c r="AE145" s="481" t="str">
        <f>IF(Projets!AA11="","",Projets!AA11)</f>
        <v/>
      </c>
      <c r="AF145" s="481" t="str">
        <f>IF(Projets!AB11="","",Projets!AB11)</f>
        <v/>
      </c>
      <c r="AG145" s="481" t="str">
        <f>IF(Projets!AC11="","",Projets!AC11)</f>
        <v/>
      </c>
      <c r="AH145" s="481" t="str">
        <f>IF(Projets!AD11="","",Projets!AD11)</f>
        <v/>
      </c>
      <c r="AI145" s="144" t="str">
        <f>IF(Projets!AE11="","",Projets!AE11)</f>
        <v/>
      </c>
      <c r="AJ145" s="144" t="str">
        <f>IF(Projets!AF11="","",Projets!AF11)</f>
        <v/>
      </c>
      <c r="AK145" s="144" t="str">
        <f>IF(Projets!AG11="","",Projets!AG11)</f>
        <v/>
      </c>
    </row>
    <row r="146" spans="1:37" s="144" customFormat="1" ht="12" customHeight="1" x14ac:dyDescent="0.25">
      <c r="A146" s="147"/>
      <c r="B146" s="151"/>
      <c r="C146" s="151"/>
      <c r="D146" s="151"/>
      <c r="E146" s="151"/>
      <c r="F146" s="376"/>
      <c r="G146" s="314" t="s">
        <v>1986</v>
      </c>
      <c r="H146" s="341" t="s">
        <v>1963</v>
      </c>
      <c r="I146" s="666" t="str">
        <f>IF(Projets!D13=1,"Décidé",IF(Projets!C13=1,"Sélectionné",""))</f>
        <v/>
      </c>
      <c r="J146" s="429"/>
      <c r="K146" s="481" t="str">
        <f>IF(Projets!G13="","",Projets!G13)</f>
        <v>4C03</v>
      </c>
      <c r="L146" s="481">
        <f>ES4C03</f>
        <v>1</v>
      </c>
      <c r="M146" s="481">
        <f>IF(Projets!I13="","",Projets!I13)</f>
        <v>3</v>
      </c>
      <c r="N146" s="481" t="str">
        <f>IF(Projets!J13="","",Projets!J13)</f>
        <v>5D01</v>
      </c>
      <c r="O146" s="481">
        <f>ES5D01</f>
        <v>1</v>
      </c>
      <c r="P146" s="481">
        <f>IF(Projets!L13="","",Projets!L13)</f>
        <v>3</v>
      </c>
      <c r="Q146" s="481" t="str">
        <f>IF(Projets!M13="","",Projets!M13)</f>
        <v/>
      </c>
      <c r="R146" s="481" t="str">
        <f>IF(Projets!N13="","",Projets!N13)</f>
        <v/>
      </c>
      <c r="S146" s="481" t="str">
        <f>IF(Projets!O13="","",Projets!O13)</f>
        <v/>
      </c>
      <c r="T146" s="481" t="str">
        <f>IF(Projets!P13="","",Projets!P13)</f>
        <v/>
      </c>
      <c r="U146" s="481" t="str">
        <f>IF(Projets!Q13="","",Projets!Q13)</f>
        <v/>
      </c>
      <c r="V146" s="481" t="str">
        <f>IF(Projets!R13="","",Projets!R13)</f>
        <v/>
      </c>
      <c r="W146" s="481" t="str">
        <f>IF(Projets!S13="","",Projets!S13)</f>
        <v/>
      </c>
      <c r="X146" s="481" t="str">
        <f>IF(Projets!T13="","",Projets!T13)</f>
        <v/>
      </c>
      <c r="Y146" s="481" t="str">
        <f>IF(Projets!U13="","",Projets!U13)</f>
        <v/>
      </c>
      <c r="Z146" s="481" t="str">
        <f>IF(Projets!V13="","",Projets!V13)</f>
        <v/>
      </c>
      <c r="AA146" s="481" t="str">
        <f>IF(Projets!W13="","",Projets!W13)</f>
        <v/>
      </c>
      <c r="AB146" s="481" t="str">
        <f>IF(Projets!X13="","",Projets!X13)</f>
        <v/>
      </c>
      <c r="AC146" s="481" t="str">
        <f>IF(Projets!Y13="","",Projets!Y13)</f>
        <v/>
      </c>
      <c r="AD146" s="481" t="str">
        <f>IF(Projets!Z13="","",Projets!Z13)</f>
        <v/>
      </c>
      <c r="AE146" s="481" t="str">
        <f>IF(Projets!AA13="","",Projets!AA13)</f>
        <v/>
      </c>
      <c r="AF146" s="481" t="str">
        <f>IF(Projets!AB13="","",Projets!AB13)</f>
        <v/>
      </c>
      <c r="AG146" s="481" t="str">
        <f>IF(Projets!AC13="","",Projets!AC13)</f>
        <v/>
      </c>
      <c r="AH146" s="481" t="str">
        <f>IF(Projets!AD13="","",Projets!AD13)</f>
        <v/>
      </c>
      <c r="AI146" s="144" t="str">
        <f>IF(Projets!AE13="","",Projets!AE13)</f>
        <v/>
      </c>
      <c r="AJ146" s="144" t="str">
        <f>IF(Projets!AF13="","",Projets!AF13)</f>
        <v/>
      </c>
      <c r="AK146" s="144" t="str">
        <f>IF(Projets!AG13="","",Projets!AG13)</f>
        <v/>
      </c>
    </row>
    <row r="147" spans="1:37" s="144" customFormat="1" ht="12" customHeight="1" x14ac:dyDescent="0.25">
      <c r="A147" s="799"/>
      <c r="B147" s="151"/>
      <c r="C147" s="151"/>
      <c r="D147" s="151"/>
      <c r="E147" s="151"/>
      <c r="F147" s="376"/>
      <c r="G147" s="801" t="s">
        <v>2003</v>
      </c>
      <c r="H147" s="341" t="s">
        <v>1972</v>
      </c>
      <c r="I147" s="666" t="str">
        <f>IF(Projets!D8=1,"Décidé",IF(Projets!C8=1,"Sélectionné",""))</f>
        <v/>
      </c>
      <c r="J147" s="750"/>
      <c r="K147" s="758" t="str">
        <f>IF(Projets!G8="","",Projets!G8)</f>
        <v>4A03</v>
      </c>
      <c r="L147" s="758">
        <f>ES4A03</f>
        <v>0</v>
      </c>
      <c r="M147" s="758">
        <f>IF(Projets!I8="","",Projets!I8)</f>
        <v>3</v>
      </c>
      <c r="N147" s="758" t="str">
        <f>IF(Projets!J8="","",Projets!J8)</f>
        <v>6B04</v>
      </c>
      <c r="O147" s="758">
        <f>ES6B04</f>
        <v>1</v>
      </c>
      <c r="P147" s="758">
        <f>IF(Projets!L8="","",Projets!L8)</f>
        <v>3</v>
      </c>
      <c r="Q147" s="758" t="str">
        <f>IF(Projets!M8="","",Projets!M8)</f>
        <v>6B06</v>
      </c>
      <c r="R147" s="758">
        <f>ES6B06</f>
        <v>1</v>
      </c>
      <c r="S147" s="758">
        <f>IF(Projets!O8="","",Projets!O8)</f>
        <v>3</v>
      </c>
      <c r="T147" s="758" t="str">
        <f>IF(Projets!P8="","",Projets!P8)</f>
        <v>6B07</v>
      </c>
      <c r="U147" s="758">
        <f>ES6B07</f>
        <v>1</v>
      </c>
      <c r="V147" s="758">
        <f>IF(Projets!R8="","",Projets!R8)</f>
        <v>3</v>
      </c>
      <c r="W147" s="758" t="str">
        <f>IF(Projets!S8="","",Projets!S8)</f>
        <v/>
      </c>
      <c r="X147" s="758" t="str">
        <f>IF(Projets!T8="","",Projets!T8)</f>
        <v/>
      </c>
      <c r="Y147" s="758" t="str">
        <f>IF(Projets!U8="","",Projets!U8)</f>
        <v/>
      </c>
      <c r="Z147" s="758" t="str">
        <f>IF(Projets!V8="","",Projets!V8)</f>
        <v/>
      </c>
      <c r="AA147" s="758" t="str">
        <f>IF(Projets!W8="","",Projets!W8)</f>
        <v/>
      </c>
      <c r="AB147" s="758" t="str">
        <f>IF(Projets!X8="","",Projets!X8)</f>
        <v/>
      </c>
      <c r="AC147" s="758" t="str">
        <f>IF(Projets!Y8="","",Projets!Y8)</f>
        <v/>
      </c>
      <c r="AD147" s="758" t="str">
        <f>IF(Projets!Z8="","",Projets!Z8)</f>
        <v/>
      </c>
      <c r="AE147" s="758" t="str">
        <f>IF(Projets!AA8="","",Projets!AA8)</f>
        <v/>
      </c>
      <c r="AF147" s="758" t="str">
        <f>IF(Projets!AB8="","",Projets!AB8)</f>
        <v/>
      </c>
      <c r="AG147" s="758" t="str">
        <f>IF(Projets!AC8="","",Projets!AC8)</f>
        <v/>
      </c>
      <c r="AH147" s="758" t="str">
        <f>IF(Projets!AD8="","",Projets!AD8)</f>
        <v/>
      </c>
      <c r="AI147" s="144" t="str">
        <f>IF(Projets!AE8="","",Projets!AE8)</f>
        <v/>
      </c>
      <c r="AJ147" s="144" t="str">
        <f>IF(Projets!AF8="","",Projets!AF8)</f>
        <v/>
      </c>
      <c r="AK147" s="144" t="str">
        <f>IF(Projets!AG8="","",Projets!AG8)</f>
        <v/>
      </c>
    </row>
    <row r="148" spans="1:37" s="144" customFormat="1" ht="12" customHeight="1" x14ac:dyDescent="0.25">
      <c r="A148" s="799"/>
      <c r="B148" s="151"/>
      <c r="C148" s="151"/>
      <c r="D148" s="151"/>
      <c r="E148" s="151"/>
      <c r="F148" s="376"/>
      <c r="G148" s="341" t="s">
        <v>2104</v>
      </c>
      <c r="H148" s="341" t="s">
        <v>2103</v>
      </c>
      <c r="I148" s="666" t="str">
        <f>IF(Projets!D5=1,"Décidé",IF(Projets!C5=1,"Sélectionné",""))</f>
        <v/>
      </c>
      <c r="J148" s="750"/>
      <c r="K148" s="758" t="str">
        <f>IF(Projets!G5="","",Projets!G5)</f>
        <v>2C02</v>
      </c>
      <c r="L148" s="758">
        <f>ES2C02</f>
        <v>1</v>
      </c>
      <c r="M148" s="758">
        <f>IF(Projets!I5="","",Projets!I5)</f>
        <v>3</v>
      </c>
      <c r="N148" s="758" t="str">
        <f>IF(Projets!J5="","",Projets!J5)</f>
        <v>2C04</v>
      </c>
      <c r="O148" s="758">
        <f>ES2C04</f>
        <v>1</v>
      </c>
      <c r="P148" s="758">
        <f>IF(Projets!L5="","",Projets!L5)</f>
        <v>3</v>
      </c>
      <c r="Q148" s="758" t="str">
        <f>IF(Projets!M5="","",Projets!M5)</f>
        <v>3B01</v>
      </c>
      <c r="R148" s="758">
        <f>ES3B01</f>
        <v>1</v>
      </c>
      <c r="S148" s="758">
        <f>IF(Projets!O5="","",Projets!O5)</f>
        <v>3</v>
      </c>
      <c r="T148" s="758" t="str">
        <f>IF(Projets!P5="","",Projets!P5)</f>
        <v/>
      </c>
      <c r="U148" s="758" t="str">
        <f>IF(Projets!Q5="","",Projets!Q5)</f>
        <v/>
      </c>
      <c r="V148" s="758" t="str">
        <f>IF(Projets!R5="","",Projets!R5)</f>
        <v/>
      </c>
      <c r="W148" s="758" t="str">
        <f>IF(Projets!S5="","",Projets!S5)</f>
        <v/>
      </c>
      <c r="X148" s="758" t="str">
        <f>IF(Projets!T5="","",Projets!T5)</f>
        <v/>
      </c>
      <c r="Y148" s="758" t="str">
        <f>IF(Projets!U5="","",Projets!U5)</f>
        <v/>
      </c>
      <c r="Z148" s="758" t="str">
        <f>IF(Projets!V5="","",Projets!V5)</f>
        <v/>
      </c>
      <c r="AA148" s="758" t="str">
        <f>IF(Projets!W5="","",Projets!W5)</f>
        <v/>
      </c>
      <c r="AB148" s="758" t="str">
        <f>IF(Projets!X5="","",Projets!X5)</f>
        <v/>
      </c>
      <c r="AC148" s="758" t="str">
        <f>IF(Projets!Y5="","",Projets!Y5)</f>
        <v/>
      </c>
      <c r="AD148" s="758" t="str">
        <f>IF(Projets!Z5="","",Projets!Z5)</f>
        <v/>
      </c>
      <c r="AE148" s="758" t="str">
        <f>IF(Projets!AA5="","",Projets!AA5)</f>
        <v/>
      </c>
      <c r="AF148" s="758" t="str">
        <f>IF(Projets!AB5="","",Projets!AB5)</f>
        <v/>
      </c>
      <c r="AG148" s="758" t="str">
        <f>IF(Projets!AC5="","",Projets!AC5)</f>
        <v/>
      </c>
      <c r="AH148" s="758" t="str">
        <f>IF(Projets!AD5="","",Projets!AD5)</f>
        <v/>
      </c>
      <c r="AI148" s="144" t="str">
        <f>IF(Projets!AE5="","",Projets!AE5)</f>
        <v/>
      </c>
      <c r="AJ148" s="144" t="str">
        <f>IF(Projets!AF5="","",Projets!AF5)</f>
        <v/>
      </c>
      <c r="AK148" s="144" t="str">
        <f>IF(Projets!AG5="","",Projets!AG5)</f>
        <v/>
      </c>
    </row>
    <row r="149" spans="1:37" s="144" customFormat="1" ht="12" customHeight="1" x14ac:dyDescent="0.25">
      <c r="A149" s="799"/>
      <c r="B149" s="151"/>
      <c r="C149" s="151"/>
      <c r="D149" s="151"/>
      <c r="E149" s="151"/>
      <c r="F149" s="376"/>
      <c r="G149" s="344" t="s">
        <v>2007</v>
      </c>
      <c r="H149" s="341" t="s">
        <v>2327</v>
      </c>
      <c r="I149" s="666" t="str">
        <f>IF(Projets!D66=1,"Décidé",IF(Projets!C66=1,"Sélectionné",""))</f>
        <v/>
      </c>
      <c r="J149" s="750"/>
      <c r="K149" s="758" t="str">
        <f>IF(Projets!G66="","",Projets!G66)</f>
        <v>4E02</v>
      </c>
      <c r="L149" s="758">
        <f>ES4E02</f>
        <v>1</v>
      </c>
      <c r="M149" s="758">
        <f>IF(Projets!I66="","",Projets!I66)</f>
        <v>4</v>
      </c>
      <c r="N149" s="758" t="str">
        <f>IF(Projets!J66="","",Projets!J66)</f>
        <v>4E04</v>
      </c>
      <c r="O149" s="758">
        <f>ES4E04</f>
        <v>1</v>
      </c>
      <c r="P149" s="758">
        <f>IF(Projets!L66="","",Projets!L66)</f>
        <v>4</v>
      </c>
      <c r="Q149" s="758" t="str">
        <f>IF(Projets!M66="","",Projets!M66)</f>
        <v/>
      </c>
      <c r="R149" s="758" t="str">
        <f>IF(Projets!N66="","",Projets!N66)</f>
        <v/>
      </c>
      <c r="S149" s="758" t="str">
        <f>IF(Projets!O66="","",Projets!O66)</f>
        <v/>
      </c>
      <c r="T149" s="758" t="str">
        <f>IF(Projets!P66="","",Projets!P66)</f>
        <v/>
      </c>
      <c r="U149" s="758" t="str">
        <f>IF(Projets!Q66="","",Projets!Q66)</f>
        <v/>
      </c>
      <c r="V149" s="758" t="str">
        <f>IF(Projets!R66="","",Projets!R66)</f>
        <v/>
      </c>
      <c r="W149" s="758" t="str">
        <f>IF(Projets!S66="","",Projets!S66)</f>
        <v/>
      </c>
      <c r="X149" s="758" t="str">
        <f>IF(Projets!T66="","",Projets!T66)</f>
        <v/>
      </c>
      <c r="Y149" s="758" t="str">
        <f>IF(Projets!U66="","",Projets!U66)</f>
        <v/>
      </c>
      <c r="Z149" s="758" t="str">
        <f>IF(Projets!V66="","",Projets!V66)</f>
        <v/>
      </c>
      <c r="AA149" s="758" t="str">
        <f>IF(Projets!W66="","",Projets!W66)</f>
        <v/>
      </c>
      <c r="AB149" s="758" t="str">
        <f>IF(Projets!X66="","",Projets!X66)</f>
        <v/>
      </c>
      <c r="AC149" s="758" t="str">
        <f>IF(Projets!Y66="","",Projets!Y66)</f>
        <v/>
      </c>
      <c r="AD149" s="758" t="str">
        <f>IF(Projets!Z66="","",Projets!Z66)</f>
        <v/>
      </c>
      <c r="AE149" s="758" t="str">
        <f>IF(Projets!AA66="","",Projets!AA66)</f>
        <v/>
      </c>
      <c r="AF149" s="758" t="str">
        <f>IF(Projets!AB66="","",Projets!AB66)</f>
        <v/>
      </c>
      <c r="AG149" s="758" t="str">
        <f>IF(Projets!AC66="","",Projets!AC66)</f>
        <v/>
      </c>
      <c r="AH149" s="758" t="str">
        <f>IF(Projets!AD66="","",Projets!AD66)</f>
        <v/>
      </c>
      <c r="AI149" s="144" t="str">
        <f>IF(Projets!AE66="","",Projets!AE66)</f>
        <v/>
      </c>
      <c r="AJ149" s="144" t="str">
        <f>IF(Projets!AF66="","",Projets!AF66)</f>
        <v/>
      </c>
      <c r="AK149" s="144" t="str">
        <f>IF(Projets!AG66="","",Projets!AG66)</f>
        <v/>
      </c>
    </row>
    <row r="150" spans="1:37" s="144" customFormat="1" ht="12" customHeight="1" x14ac:dyDescent="0.25">
      <c r="A150" s="799"/>
      <c r="B150" s="151"/>
      <c r="C150" s="151"/>
      <c r="D150" s="151"/>
      <c r="E150" s="151"/>
      <c r="F150" s="376"/>
      <c r="G150" s="314" t="s">
        <v>6558</v>
      </c>
      <c r="H150" s="341" t="s">
        <v>6560</v>
      </c>
      <c r="I150" s="666" t="str">
        <f>IF(Projets!D36=1,"Décidé",IF(Projets!C36=1,"Sélectionné",""))</f>
        <v/>
      </c>
      <c r="J150" s="750"/>
      <c r="K150" s="758" t="str">
        <f>IF(Projets!G36="","",Projets!G36)</f>
        <v>3A08</v>
      </c>
      <c r="L150" s="758">
        <f>ES3A08</f>
        <v>0</v>
      </c>
      <c r="M150" s="758">
        <f>IF(Projets!I36="","",Projets!I36)</f>
        <v>4</v>
      </c>
      <c r="N150" s="758" t="str">
        <f>IF(Projets!J36="","",Projets!J36)</f>
        <v>4A11</v>
      </c>
      <c r="O150" s="758">
        <f>ES4A11</f>
        <v>1</v>
      </c>
      <c r="P150" s="758">
        <f>IF(Projets!L36="","",Projets!L36)</f>
        <v>4</v>
      </c>
      <c r="Q150" s="758" t="str">
        <f>IF(Projets!M36="","",Projets!M36)</f>
        <v/>
      </c>
      <c r="R150" s="758" t="str">
        <f>IF(Projets!N36="","",Projets!N36)</f>
        <v/>
      </c>
      <c r="S150" s="758" t="str">
        <f>IF(Projets!O36="","",Projets!O36)</f>
        <v/>
      </c>
      <c r="T150" s="758" t="str">
        <f>IF(Projets!P36="","",Projets!P36)</f>
        <v/>
      </c>
      <c r="U150" s="758" t="str">
        <f>IF(Projets!Q36="","",Projets!Q36)</f>
        <v/>
      </c>
      <c r="V150" s="758" t="str">
        <f>IF(Projets!R36="","",Projets!R36)</f>
        <v/>
      </c>
      <c r="W150" s="758" t="str">
        <f>IF(Projets!S36="","",Projets!S36)</f>
        <v/>
      </c>
      <c r="X150" s="758" t="str">
        <f>IF(Projets!T36="","",Projets!T36)</f>
        <v/>
      </c>
      <c r="Y150" s="758" t="str">
        <f>IF(Projets!U36="","",Projets!U36)</f>
        <v/>
      </c>
      <c r="Z150" s="758" t="str">
        <f>IF(Projets!V36="","",Projets!V36)</f>
        <v/>
      </c>
      <c r="AA150" s="758" t="str">
        <f>IF(Projets!W36="","",Projets!W36)</f>
        <v/>
      </c>
      <c r="AB150" s="758" t="str">
        <f>IF(Projets!X36="","",Projets!X36)</f>
        <v/>
      </c>
      <c r="AC150" s="758" t="str">
        <f>IF(Projets!Y36="","",Projets!Y36)</f>
        <v/>
      </c>
      <c r="AD150" s="758" t="str">
        <f>IF(Projets!Z36="","",Projets!Z36)</f>
        <v/>
      </c>
      <c r="AE150" s="758" t="str">
        <f>IF(Projets!AA36="","",Projets!AA36)</f>
        <v/>
      </c>
      <c r="AF150" s="758" t="str">
        <f>IF(Projets!AB36="","",Projets!AB36)</f>
        <v/>
      </c>
      <c r="AG150" s="758" t="str">
        <f>IF(Projets!AC36="","",Projets!AC36)</f>
        <v/>
      </c>
      <c r="AH150" s="758" t="str">
        <f>IF(Projets!AD36="","",Projets!AD36)</f>
        <v/>
      </c>
      <c r="AI150" s="144" t="str">
        <f>IF(Projets!AE36="","",Projets!AE36)</f>
        <v/>
      </c>
      <c r="AJ150" s="144" t="str">
        <f>IF(Projets!AF36="","",Projets!AF36)</f>
        <v/>
      </c>
      <c r="AK150" s="144" t="str">
        <f>IF(Projets!AG36="","",Projets!AG36)</f>
        <v/>
      </c>
    </row>
    <row r="151" spans="1:37" s="144" customFormat="1" ht="14.25" customHeight="1" x14ac:dyDescent="0.25">
      <c r="A151" s="147"/>
      <c r="B151" s="151"/>
      <c r="C151" s="151"/>
      <c r="D151" s="151"/>
      <c r="E151" s="151"/>
      <c r="F151" s="376"/>
      <c r="G151" s="344" t="s">
        <v>6550</v>
      </c>
      <c r="H151" s="341" t="s">
        <v>6561</v>
      </c>
      <c r="I151" s="666" t="str">
        <f>IF(Projets!D38=1,"Décidé",IF(Projets!C38=1,"Sélectionné",""))</f>
        <v/>
      </c>
      <c r="J151" s="429"/>
      <c r="K151" s="481" t="str">
        <f>IF(Projets!G38="","",Projets!G38)</f>
        <v>4A10</v>
      </c>
      <c r="L151" s="481">
        <f>ES4A10</f>
        <v>1</v>
      </c>
      <c r="M151" s="481">
        <f>IF(Projets!I38="","",Projets!I38)</f>
        <v>3</v>
      </c>
      <c r="N151" s="481" t="str">
        <f>IF(Projets!J38="","",Projets!J38)</f>
        <v>4C05</v>
      </c>
      <c r="O151" s="481">
        <f>ES4C05</f>
        <v>1</v>
      </c>
      <c r="P151" s="481">
        <f>IF(Projets!L38="","",Projets!L38)</f>
        <v>3</v>
      </c>
      <c r="Q151" s="481" t="str">
        <f>IF(Projets!M38="","",Projets!M38)</f>
        <v>5C03</v>
      </c>
      <c r="R151" s="481">
        <f>ES5C03</f>
        <v>1</v>
      </c>
      <c r="S151" s="481">
        <f>IF(Projets!O38="","",Projets!O38)</f>
        <v>3</v>
      </c>
      <c r="T151" s="481" t="str">
        <f>IF(Projets!P38="","",Projets!P38)</f>
        <v/>
      </c>
      <c r="U151" s="481" t="str">
        <f>IF(Projets!Q38="","",Projets!Q38)</f>
        <v/>
      </c>
      <c r="V151" s="481" t="str">
        <f>IF(Projets!R38="","",Projets!R38)</f>
        <v/>
      </c>
      <c r="W151" s="481" t="str">
        <f>IF(Projets!S38="","",Projets!S38)</f>
        <v/>
      </c>
      <c r="X151" s="481" t="str">
        <f>IF(Projets!T38="","",Projets!T38)</f>
        <v/>
      </c>
      <c r="Y151" s="481" t="str">
        <f>IF(Projets!U38="","",Projets!U38)</f>
        <v/>
      </c>
      <c r="Z151" s="481" t="str">
        <f>IF(Projets!V38="","",Projets!V38)</f>
        <v/>
      </c>
      <c r="AA151" s="481" t="str">
        <f>IF(Projets!W38="","",Projets!W38)</f>
        <v/>
      </c>
      <c r="AB151" s="481" t="str">
        <f>IF(Projets!X38="","",Projets!X38)</f>
        <v/>
      </c>
      <c r="AC151" s="481" t="str">
        <f>IF(Projets!Y38="","",Projets!Y38)</f>
        <v/>
      </c>
      <c r="AD151" s="481" t="str">
        <f>IF(Projets!Z38="","",Projets!Z38)</f>
        <v/>
      </c>
      <c r="AE151" s="481" t="str">
        <f>IF(Projets!AA38="","",Projets!AA38)</f>
        <v/>
      </c>
      <c r="AF151" s="481" t="str">
        <f>IF(Projets!AB38="","",Projets!AB38)</f>
        <v/>
      </c>
      <c r="AG151" s="481" t="str">
        <f>IF(Projets!AC38="","",Projets!AC38)</f>
        <v/>
      </c>
      <c r="AH151" s="481" t="str">
        <f>IF(Projets!AD38="","",Projets!AD38)</f>
        <v/>
      </c>
      <c r="AI151" s="144" t="str">
        <f>IF(Projets!AE38="","",Projets!AE38)</f>
        <v/>
      </c>
      <c r="AJ151" s="144" t="str">
        <f>IF(Projets!AF38="","",Projets!AF38)</f>
        <v/>
      </c>
      <c r="AK151" s="144" t="str">
        <f>IF(Projets!AG38="","",Projets!AG38)</f>
        <v/>
      </c>
    </row>
    <row r="152" spans="1:37" s="144" customFormat="1" ht="14.25" customHeight="1" x14ac:dyDescent="0.25">
      <c r="A152" s="147"/>
      <c r="B152" s="151"/>
      <c r="C152" s="151"/>
      <c r="D152" s="151"/>
      <c r="E152" s="318"/>
      <c r="F152" s="319"/>
      <c r="G152" s="314" t="s">
        <v>6555</v>
      </c>
      <c r="H152" s="341" t="s">
        <v>547</v>
      </c>
      <c r="I152" s="666" t="str">
        <f>IF(Projets!D23=1,"Décidé",IF(Projets!C23=1,"Sélectionné",""))</f>
        <v/>
      </c>
      <c r="J152" s="429"/>
      <c r="K152" s="482" t="str">
        <f>IF(Projets!G23="","",Projets!G23)</f>
        <v>2B03</v>
      </c>
      <c r="L152" s="482">
        <f>ES2B03</f>
        <v>1</v>
      </c>
      <c r="M152" s="482">
        <f>IF(Projets!I23="","",Projets!I23)</f>
        <v>4</v>
      </c>
      <c r="N152" s="482" t="str">
        <f>IF(Projets!J23="","",Projets!J23)</f>
        <v/>
      </c>
      <c r="O152" s="482" t="str">
        <f>IF(Projets!K23="","",Projets!K23)</f>
        <v/>
      </c>
      <c r="P152" s="482" t="str">
        <f>IF(Projets!L23="","",Projets!L23)</f>
        <v/>
      </c>
      <c r="Q152" s="482" t="str">
        <f>IF(Projets!M23="","",Projets!M23)</f>
        <v/>
      </c>
      <c r="R152" s="482" t="str">
        <f>IF(Projets!N23="","",Projets!N23)</f>
        <v/>
      </c>
      <c r="S152" s="482" t="str">
        <f>IF(Projets!O23="","",Projets!O23)</f>
        <v/>
      </c>
      <c r="T152" s="482" t="str">
        <f>IF(Projets!P23="","",Projets!P23)</f>
        <v/>
      </c>
      <c r="U152" s="482" t="str">
        <f>IF(Projets!Q23="","",Projets!Q23)</f>
        <v/>
      </c>
      <c r="V152" s="482" t="str">
        <f>IF(Projets!R23="","",Projets!R23)</f>
        <v/>
      </c>
      <c r="W152" s="482" t="str">
        <f>IF(Projets!S23="","",Projets!S23)</f>
        <v/>
      </c>
      <c r="X152" s="482" t="str">
        <f>IF(Projets!T23="","",Projets!T23)</f>
        <v/>
      </c>
      <c r="Y152" s="482" t="str">
        <f>IF(Projets!U23="","",Projets!U23)</f>
        <v/>
      </c>
      <c r="Z152" s="482" t="str">
        <f>IF(Projets!V23="","",Projets!V23)</f>
        <v/>
      </c>
      <c r="AA152" s="482" t="str">
        <f>IF(Projets!W23="","",Projets!W23)</f>
        <v/>
      </c>
      <c r="AB152" s="482" t="str">
        <f>IF(Projets!X23="","",Projets!X23)</f>
        <v/>
      </c>
      <c r="AC152" s="482" t="str">
        <f>IF(Projets!Y23="","",Projets!Y23)</f>
        <v/>
      </c>
      <c r="AD152" s="482" t="str">
        <f>IF(Projets!Z23="","",Projets!Z23)</f>
        <v/>
      </c>
      <c r="AE152" s="482" t="str">
        <f>IF(Projets!AA23="","",Projets!AA23)</f>
        <v/>
      </c>
      <c r="AF152" s="482" t="str">
        <f>IF(Projets!AB23="","",Projets!AB23)</f>
        <v/>
      </c>
      <c r="AG152" s="482" t="str">
        <f>IF(Projets!AC23="","",Projets!AC23)</f>
        <v/>
      </c>
      <c r="AH152" s="482" t="str">
        <f>IF(Projets!AD23="","",Projets!AD23)</f>
        <v/>
      </c>
      <c r="AI152" s="144" t="str">
        <f>IF(Projets!AE23="","",Projets!AE23)</f>
        <v/>
      </c>
      <c r="AJ152" s="144" t="str">
        <f>IF(Projets!AF23="","",Projets!AF23)</f>
        <v/>
      </c>
      <c r="AK152" s="144" t="str">
        <f>IF(Projets!AG23="","",Projets!AG23)</f>
        <v/>
      </c>
    </row>
    <row r="153" spans="1:37" s="144" customFormat="1" ht="16.5" customHeight="1" x14ac:dyDescent="0.25">
      <c r="A153" s="181" t="s">
        <v>6504</v>
      </c>
      <c r="B153" s="802" t="s">
        <v>4509</v>
      </c>
      <c r="C153" s="803"/>
      <c r="D153" s="803"/>
      <c r="E153" s="145"/>
      <c r="F153" s="145"/>
      <c r="G153" s="314"/>
      <c r="H153" s="825"/>
      <c r="I153" s="667"/>
      <c r="J153" s="428"/>
      <c r="K153" s="483"/>
      <c r="L153" s="483"/>
      <c r="M153" s="483"/>
      <c r="N153" s="483"/>
      <c r="O153" s="483"/>
      <c r="P153" s="483"/>
      <c r="Q153" s="483"/>
      <c r="R153" s="483"/>
      <c r="S153" s="483"/>
      <c r="T153" s="483"/>
      <c r="U153" s="483"/>
      <c r="V153" s="483"/>
      <c r="W153" s="483"/>
      <c r="X153" s="483"/>
      <c r="Y153" s="483"/>
      <c r="Z153" s="483"/>
      <c r="AA153" s="483"/>
      <c r="AB153" s="483"/>
      <c r="AC153" s="483"/>
      <c r="AD153" s="483"/>
      <c r="AE153" s="483"/>
      <c r="AF153" s="483"/>
      <c r="AG153" s="483"/>
      <c r="AH153" s="483"/>
    </row>
    <row r="154" spans="1:37" s="144" customFormat="1" ht="13.5" customHeight="1" x14ac:dyDescent="0.25">
      <c r="A154" s="146"/>
      <c r="B154" s="1403">
        <f>COUNTIF(Scénarios!AB178:AB189,1)</f>
        <v>0</v>
      </c>
      <c r="C154" s="1404">
        <f>COUNTIF(Scénarios!AB178:AB189,2)</f>
        <v>12</v>
      </c>
      <c r="D154" s="1399">
        <f>COUNTIF(Scénarios!AB178:AB189,3)</f>
        <v>0</v>
      </c>
      <c r="E154" s="1402">
        <f>COUNTIF(Scénarios!AB178:AB189,4)</f>
        <v>0</v>
      </c>
      <c r="F154" s="1403">
        <f>SUM(B154:E154)</f>
        <v>12</v>
      </c>
      <c r="G154" s="341" t="s">
        <v>2100</v>
      </c>
      <c r="H154" s="341" t="s">
        <v>360</v>
      </c>
      <c r="I154" s="666" t="str">
        <f>IF(Projets!D22=1,"Décidé",IF(Projets!C22=1,"Sélectionné",""))</f>
        <v/>
      </c>
      <c r="J154" s="429"/>
      <c r="K154" s="758" t="str">
        <f>IF(Projets!G22="","",Projets!G22)</f>
        <v>2B01</v>
      </c>
      <c r="L154" s="758">
        <f>ES2B01</f>
        <v>1</v>
      </c>
      <c r="M154" s="743">
        <f>IF(Projets!I22="","",Projets!I22)</f>
        <v>4</v>
      </c>
      <c r="N154" s="758" t="str">
        <f>IF(Projets!J22="","",Projets!J22)</f>
        <v>2B02</v>
      </c>
      <c r="O154" s="758">
        <f>ES2B02</f>
        <v>1</v>
      </c>
      <c r="P154" s="743">
        <f>IF(Projets!L22="","",Projets!L22)</f>
        <v>4</v>
      </c>
      <c r="Q154" s="758" t="str">
        <f>IF(Projets!M22="","",Projets!M22)</f>
        <v/>
      </c>
      <c r="R154" s="758" t="str">
        <f>IF(Projets!N22="","",Projets!N22)</f>
        <v/>
      </c>
      <c r="S154" s="743" t="str">
        <f>IF(Projets!O22="","",Projets!O22)</f>
        <v/>
      </c>
      <c r="T154" s="758" t="str">
        <f>IF(Projets!P22="","",Projets!P22)</f>
        <v/>
      </c>
      <c r="U154" s="758" t="str">
        <f>IF(Projets!Q22="","",Projets!Q22)</f>
        <v/>
      </c>
      <c r="V154" s="743" t="str">
        <f>IF(Projets!R22="","",Projets!R22)</f>
        <v/>
      </c>
      <c r="W154" s="482" t="str">
        <f>IF(Projets!S22="","",Projets!S22)</f>
        <v/>
      </c>
      <c r="X154" s="482" t="str">
        <f>IF(Projets!T22="","",Projets!T22)</f>
        <v/>
      </c>
      <c r="Y154" s="482" t="str">
        <f>IF(Projets!U22="","",Projets!U22)</f>
        <v/>
      </c>
      <c r="Z154" s="482" t="str">
        <f>IF(Projets!V22="","",Projets!V22)</f>
        <v/>
      </c>
      <c r="AA154" s="482" t="str">
        <f>IF(Projets!W22="","",Projets!W22)</f>
        <v/>
      </c>
      <c r="AB154" s="482" t="str">
        <f>IF(Projets!X22="","",Projets!X22)</f>
        <v/>
      </c>
      <c r="AC154" s="482" t="str">
        <f>IF(Projets!Y22="","",Projets!Y22)</f>
        <v/>
      </c>
      <c r="AD154" s="482" t="str">
        <f>IF(Projets!Z22="","",Projets!Z22)</f>
        <v/>
      </c>
      <c r="AE154" s="482" t="str">
        <f>IF(Projets!AA22="","",Projets!AA22)</f>
        <v/>
      </c>
      <c r="AF154" s="482" t="str">
        <f>IF(Projets!AB22="","",Projets!AB22)</f>
        <v/>
      </c>
      <c r="AG154" s="482" t="str">
        <f>IF(Projets!AC22="","",Projets!AC22)</f>
        <v/>
      </c>
      <c r="AH154" s="482" t="str">
        <f>IF(Projets!AD22="","",Projets!AD22)</f>
        <v/>
      </c>
      <c r="AI154" s="144" t="str">
        <f>IF(Projets!AE22="","",Projets!AE22)</f>
        <v/>
      </c>
      <c r="AJ154" s="144" t="str">
        <f>IF(Projets!AF22="","",Projets!AF22)</f>
        <v/>
      </c>
      <c r="AK154" s="144" t="str">
        <f>IF(Projets!AG22="","",Projets!AG22)</f>
        <v/>
      </c>
    </row>
    <row r="155" spans="1:37" s="144" customFormat="1" ht="12.75" customHeight="1" x14ac:dyDescent="0.25">
      <c r="A155" s="147"/>
      <c r="B155" s="1400"/>
      <c r="C155" s="1400"/>
      <c r="D155" s="1400"/>
      <c r="E155" s="1400"/>
      <c r="F155" s="1400"/>
      <c r="G155" s="341" t="s">
        <v>1976</v>
      </c>
      <c r="H155" s="341" t="s">
        <v>731</v>
      </c>
      <c r="I155" s="666" t="str">
        <f>IF(Projets!D25=1,"Décidé",IF(Projets!C25=1,"Sélectionné",""))</f>
        <v/>
      </c>
      <c r="J155" s="429"/>
      <c r="K155" s="482" t="str">
        <f>IF(Projets!G25="","",Projets!G25)</f>
        <v>3A02</v>
      </c>
      <c r="L155" s="482">
        <f>ES3A02</f>
        <v>0</v>
      </c>
      <c r="M155" s="482">
        <f>IF(Projets!I25="","",Projets!I25)</f>
        <v>4</v>
      </c>
      <c r="N155" s="482" t="str">
        <f>IF(Projets!J25="","",Projets!J25)</f>
        <v>3A04</v>
      </c>
      <c r="O155" s="482">
        <f>ES3A04</f>
        <v>1</v>
      </c>
      <c r="P155" s="482">
        <f>IF(Projets!L25="","",Projets!L25)</f>
        <v>4</v>
      </c>
      <c r="Q155" s="482" t="str">
        <f>IF(Projets!M25="","",Projets!M25)</f>
        <v>3A06</v>
      </c>
      <c r="R155" s="482">
        <f>ES3A06</f>
        <v>0</v>
      </c>
      <c r="S155" s="482">
        <f>IF(Projets!O25="","",Projets!O25)</f>
        <v>4</v>
      </c>
      <c r="T155" s="482" t="str">
        <f>IF(Projets!P25="","",Projets!P25)</f>
        <v>3A07</v>
      </c>
      <c r="U155" s="482">
        <f>ES3A07</f>
        <v>0</v>
      </c>
      <c r="V155" s="482">
        <f>IF(Projets!R25="","",Projets!R25)</f>
        <v>4</v>
      </c>
      <c r="W155" s="482" t="str">
        <f>IF(Projets!S25="","",Projets!S25)</f>
        <v/>
      </c>
      <c r="X155" s="482" t="str">
        <f>IF(Projets!T25="","",Projets!T25)</f>
        <v/>
      </c>
      <c r="Y155" s="482" t="str">
        <f>IF(Projets!U25="","",Projets!U25)</f>
        <v/>
      </c>
      <c r="Z155" s="482" t="str">
        <f>IF(Projets!V25="","",Projets!V25)</f>
        <v/>
      </c>
      <c r="AA155" s="482" t="str">
        <f>IF(Projets!W25="","",Projets!W25)</f>
        <v/>
      </c>
      <c r="AB155" s="482" t="str">
        <f>IF(Projets!X25="","",Projets!X25)</f>
        <v/>
      </c>
      <c r="AC155" s="482" t="str">
        <f>IF(Projets!Y25="","",Projets!Y25)</f>
        <v/>
      </c>
      <c r="AD155" s="482" t="str">
        <f>IF(Projets!Z25="","",Projets!Z25)</f>
        <v/>
      </c>
      <c r="AE155" s="482" t="str">
        <f>IF(Projets!AA25="","",Projets!AA25)</f>
        <v/>
      </c>
      <c r="AF155" s="482" t="str">
        <f>IF(Projets!AB25="","",Projets!AB25)</f>
        <v/>
      </c>
      <c r="AG155" s="482" t="str">
        <f>IF(Projets!AC25="","",Projets!AC25)</f>
        <v/>
      </c>
      <c r="AH155" s="482" t="str">
        <f>IF(Projets!AD25="","",Projets!AD25)</f>
        <v/>
      </c>
      <c r="AI155" s="144" t="str">
        <f>IF(Projets!AE25="","",Projets!AE25)</f>
        <v/>
      </c>
      <c r="AJ155" s="144" t="str">
        <f>IF(Projets!AF25="","",Projets!AF25)</f>
        <v/>
      </c>
      <c r="AK155" s="144" t="str">
        <f>IF(Projets!AG25="","",Projets!AG25)</f>
        <v/>
      </c>
    </row>
    <row r="156" spans="1:37" s="144" customFormat="1" ht="12" customHeight="1" x14ac:dyDescent="0.25">
      <c r="A156" s="148"/>
      <c r="B156" s="1401"/>
      <c r="C156" s="1401"/>
      <c r="D156" s="1401"/>
      <c r="E156" s="1401"/>
      <c r="F156" s="1401"/>
      <c r="G156" s="317" t="s">
        <v>1978</v>
      </c>
      <c r="H156" s="341" t="s">
        <v>1957</v>
      </c>
      <c r="I156" s="666" t="str">
        <f>IF(Projets!D61=1,"Décidé",IF(Projets!C61=1,"Sélectionné",""))</f>
        <v/>
      </c>
      <c r="J156" s="429"/>
      <c r="K156" s="482" t="str">
        <f>IF(Projets!G61="","",Projets!G61)</f>
        <v>5E01</v>
      </c>
      <c r="L156" s="482">
        <f>ES5E01</f>
        <v>1</v>
      </c>
      <c r="M156" s="482">
        <f>IF(Projets!I61="","",Projets!I61)</f>
        <v>4</v>
      </c>
      <c r="N156" s="482" t="str">
        <f>IF(Projets!J61="","",Projets!J61)</f>
        <v>5E02</v>
      </c>
      <c r="O156" s="482">
        <f>ES5E02</f>
        <v>1</v>
      </c>
      <c r="P156" s="482">
        <f>IF(Projets!L61="","",Projets!L61)</f>
        <v>4</v>
      </c>
      <c r="Q156" s="482" t="str">
        <f>IF(Projets!M61="","",Projets!M61)</f>
        <v>5E03</v>
      </c>
      <c r="R156" s="482">
        <f>ES5E03</f>
        <v>1</v>
      </c>
      <c r="S156" s="482">
        <f>IF(Projets!O61="","",Projets!O61)</f>
        <v>4</v>
      </c>
      <c r="T156" s="482" t="str">
        <f>IF(Projets!P61="","",Projets!P61)</f>
        <v>5E04</v>
      </c>
      <c r="U156" s="482">
        <f>ES5E04</f>
        <v>1</v>
      </c>
      <c r="V156" s="482">
        <f>IF(Projets!R61="","",Projets!R61)</f>
        <v>4</v>
      </c>
      <c r="W156" s="482" t="str">
        <f>IF(Projets!S61="","",Projets!S61)</f>
        <v/>
      </c>
      <c r="X156" s="482" t="str">
        <f>IF(Projets!T61="","",Projets!T61)</f>
        <v/>
      </c>
      <c r="Y156" s="482" t="str">
        <f>IF(Projets!U61="","",Projets!U61)</f>
        <v/>
      </c>
      <c r="Z156" s="482" t="str">
        <f>IF(Projets!V61="","",Projets!V61)</f>
        <v/>
      </c>
      <c r="AA156" s="482" t="str">
        <f>IF(Projets!W61="","",Projets!W61)</f>
        <v/>
      </c>
      <c r="AB156" s="482" t="str">
        <f>IF(Projets!X61="","",Projets!X61)</f>
        <v/>
      </c>
      <c r="AC156" s="482" t="str">
        <f>IF(Projets!Y61="","",Projets!Y61)</f>
        <v/>
      </c>
      <c r="AD156" s="482" t="str">
        <f>IF(Projets!Z61="","",Projets!Z61)</f>
        <v/>
      </c>
      <c r="AE156" s="482" t="str">
        <f>IF(Projets!AA61="","",Projets!AA61)</f>
        <v/>
      </c>
      <c r="AF156" s="482" t="str">
        <f>IF(Projets!AB61="","",Projets!AB61)</f>
        <v/>
      </c>
      <c r="AG156" s="482" t="str">
        <f>IF(Projets!AC61="","",Projets!AC61)</f>
        <v/>
      </c>
      <c r="AH156" s="482" t="str">
        <f>IF(Projets!AD61="","",Projets!AD61)</f>
        <v/>
      </c>
      <c r="AI156" s="144" t="str">
        <f>IF(Projets!AE61="","",Projets!AE61)</f>
        <v/>
      </c>
      <c r="AJ156" s="144" t="str">
        <f>IF(Projets!AF61="","",Projets!AF61)</f>
        <v/>
      </c>
      <c r="AK156" s="144" t="str">
        <f>IF(Projets!AG61="","",Projets!AG61)</f>
        <v/>
      </c>
    </row>
    <row r="157" spans="1:37" s="144" customFormat="1" ht="12" customHeight="1" x14ac:dyDescent="0.25">
      <c r="A157" s="147"/>
      <c r="B157" s="149"/>
      <c r="C157" s="149"/>
      <c r="D157" s="149"/>
      <c r="E157" s="149"/>
      <c r="F157" s="150"/>
      <c r="G157" s="314" t="s">
        <v>1979</v>
      </c>
      <c r="H157" s="341" t="s">
        <v>4672</v>
      </c>
      <c r="I157" s="666" t="str">
        <f>IF(Projets!D32=1,"Décidé",IF(Projets!C32=1,"Sélectionné",""))</f>
        <v/>
      </c>
      <c r="J157" s="429"/>
      <c r="K157" s="481" t="str">
        <f>IF(Projets!G32="","",Projets!G32)</f>
        <v>4B01</v>
      </c>
      <c r="L157" s="481">
        <f>ES4B01</f>
        <v>1</v>
      </c>
      <c r="M157" s="481">
        <f>IF(Projets!I32="","",Projets!I32)</f>
        <v>4</v>
      </c>
      <c r="N157" s="481" t="str">
        <f>IF(Projets!J32="","",Projets!J32)</f>
        <v>5A06</v>
      </c>
      <c r="O157" s="481">
        <f>ES5A06</f>
        <v>1</v>
      </c>
      <c r="P157" s="481">
        <f>IF(Projets!L32="","",Projets!L32)</f>
        <v>4</v>
      </c>
      <c r="Q157" s="481" t="str">
        <f>IF(Projets!M32="","",Projets!M32)</f>
        <v/>
      </c>
      <c r="R157" s="481" t="str">
        <f>IF(Projets!N32="","",Projets!N32)</f>
        <v/>
      </c>
      <c r="S157" s="481" t="str">
        <f>IF(Projets!O32="","",Projets!O32)</f>
        <v/>
      </c>
      <c r="T157" s="481" t="str">
        <f>IF(Projets!P32="","",Projets!P32)</f>
        <v/>
      </c>
      <c r="U157" s="481" t="str">
        <f>IF(Projets!Q32="","",Projets!Q32)</f>
        <v/>
      </c>
      <c r="V157" s="481" t="str">
        <f>IF(Projets!R32="","",Projets!R32)</f>
        <v/>
      </c>
      <c r="W157" s="481" t="str">
        <f>IF(Projets!S32="","",Projets!S32)</f>
        <v/>
      </c>
      <c r="X157" s="481" t="str">
        <f>IF(Projets!T32="","",Projets!T32)</f>
        <v/>
      </c>
      <c r="Y157" s="481" t="str">
        <f>IF(Projets!U32="","",Projets!U32)</f>
        <v/>
      </c>
      <c r="Z157" s="481" t="str">
        <f>IF(Projets!V32="","",Projets!V32)</f>
        <v/>
      </c>
      <c r="AA157" s="481" t="str">
        <f>IF(Projets!W32="","",Projets!W32)</f>
        <v/>
      </c>
      <c r="AB157" s="481" t="str">
        <f>IF(Projets!X32="","",Projets!X32)</f>
        <v/>
      </c>
      <c r="AC157" s="481" t="str">
        <f>IF(Projets!Y32="","",Projets!Y32)</f>
        <v/>
      </c>
      <c r="AD157" s="481" t="str">
        <f>IF(Projets!Z32="","",Projets!Z32)</f>
        <v/>
      </c>
      <c r="AE157" s="481" t="str">
        <f>IF(Projets!AA32="","",Projets!AA32)</f>
        <v/>
      </c>
      <c r="AF157" s="481" t="str">
        <f>IF(Projets!AB32="","",Projets!AB32)</f>
        <v/>
      </c>
      <c r="AG157" s="481" t="str">
        <f>IF(Projets!AC32="","",Projets!AC32)</f>
        <v/>
      </c>
      <c r="AH157" s="481" t="str">
        <f>IF(Projets!AD32="","",Projets!AD32)</f>
        <v/>
      </c>
      <c r="AI157" s="144" t="str">
        <f>IF(Projets!AE32="","",Projets!AE32)</f>
        <v/>
      </c>
      <c r="AJ157" s="144" t="str">
        <f>IF(Projets!AF32="","",Projets!AF32)</f>
        <v/>
      </c>
      <c r="AK157" s="144" t="str">
        <f>IF(Projets!AG32="","",Projets!AG32)</f>
        <v/>
      </c>
    </row>
    <row r="158" spans="1:37" s="144" customFormat="1" ht="12" customHeight="1" x14ac:dyDescent="0.25">
      <c r="A158" s="799"/>
      <c r="B158" s="151"/>
      <c r="C158" s="151"/>
      <c r="D158" s="151"/>
      <c r="E158" s="151"/>
      <c r="F158" s="376"/>
      <c r="G158" s="317" t="s">
        <v>6290</v>
      </c>
      <c r="H158" s="341" t="s">
        <v>6291</v>
      </c>
      <c r="I158" s="666" t="str">
        <f>IF(Projets!D39=1,"Décidé",IF(Projets!C39=1,"Sélectionné",""))</f>
        <v/>
      </c>
      <c r="J158" s="929"/>
      <c r="K158" s="921" t="str">
        <f>IF(Projets!G39="","",Projets!G39)</f>
        <v>4A09</v>
      </c>
      <c r="L158" s="921">
        <f>ES4A09</f>
        <v>1</v>
      </c>
      <c r="M158" s="921">
        <f>IF(Projets!I39="","",Projets!I39)</f>
        <v>4</v>
      </c>
      <c r="N158" s="921" t="str">
        <f>IF(Projets!J39="","",Projets!J39)</f>
        <v>7B09</v>
      </c>
      <c r="O158" s="921">
        <f>ES7B09</f>
        <v>1</v>
      </c>
      <c r="P158" s="921">
        <f>IF(Projets!L39="","",Projets!L39)</f>
        <v>4</v>
      </c>
      <c r="Q158" s="921" t="str">
        <f>IF(Projets!M39="","",Projets!M39)</f>
        <v/>
      </c>
      <c r="R158" s="921" t="str">
        <f>IF(Projets!N39="","",Projets!N39)</f>
        <v/>
      </c>
      <c r="S158" s="921" t="str">
        <f>IF(Projets!O39="","",Projets!O39)</f>
        <v/>
      </c>
      <c r="T158" s="921" t="str">
        <f>IF(Projets!P39="","",Projets!P39)</f>
        <v/>
      </c>
      <c r="U158" s="921" t="str">
        <f>IF(Projets!Q39="","",Projets!Q39)</f>
        <v/>
      </c>
      <c r="V158" s="921" t="str">
        <f>IF(Projets!R39="","",Projets!R39)</f>
        <v/>
      </c>
      <c r="W158" s="921" t="str">
        <f>IF(Projets!S39="","",Projets!S39)</f>
        <v/>
      </c>
      <c r="X158" s="921" t="str">
        <f>IF(Projets!T39="","",Projets!T39)</f>
        <v/>
      </c>
      <c r="Y158" s="921" t="str">
        <f>IF(Projets!U39="","",Projets!U39)</f>
        <v/>
      </c>
      <c r="Z158" s="921" t="str">
        <f>IF(Projets!V39="","",Projets!V39)</f>
        <v/>
      </c>
      <c r="AA158" s="921" t="str">
        <f>IF(Projets!W39="","",Projets!W39)</f>
        <v/>
      </c>
      <c r="AB158" s="921" t="str">
        <f>IF(Projets!X39="","",Projets!X39)</f>
        <v/>
      </c>
      <c r="AC158" s="921" t="str">
        <f>IF(Projets!Y39="","",Projets!Y39)</f>
        <v/>
      </c>
      <c r="AD158" s="921" t="str">
        <f>IF(Projets!Z39="","",Projets!Z39)</f>
        <v/>
      </c>
      <c r="AE158" s="921" t="str">
        <f>IF(Projets!AA39="","",Projets!AA39)</f>
        <v/>
      </c>
      <c r="AF158" s="921" t="str">
        <f>IF(Projets!AB39="","",Projets!AB39)</f>
        <v/>
      </c>
      <c r="AG158" s="921" t="str">
        <f>IF(Projets!AC39="","",Projets!AC39)</f>
        <v/>
      </c>
      <c r="AH158" s="921" t="str">
        <f>IF(Projets!AD39="","",Projets!AD39)</f>
        <v/>
      </c>
      <c r="AI158" s="144" t="str">
        <f>IF(Projets!AE39="","",Projets!AE39)</f>
        <v/>
      </c>
      <c r="AJ158" s="144" t="str">
        <f>IF(Projets!AF39="","",Projets!AF39)</f>
        <v/>
      </c>
      <c r="AK158" s="144" t="str">
        <f>IF(Projets!AG39="","",Projets!AG39)</f>
        <v/>
      </c>
    </row>
    <row r="159" spans="1:37" s="144" customFormat="1" ht="12" customHeight="1" x14ac:dyDescent="0.25">
      <c r="A159" s="799"/>
      <c r="B159" s="151"/>
      <c r="C159" s="151"/>
      <c r="D159" s="151"/>
      <c r="E159" s="151"/>
      <c r="F159" s="376"/>
      <c r="G159" s="341" t="s">
        <v>2109</v>
      </c>
      <c r="H159" s="341" t="s">
        <v>1404</v>
      </c>
      <c r="I159" s="666" t="str">
        <f>IF(Projets!D28=1,"Décidé",IF(Projets!C28=1,"Sélectionné",""))</f>
        <v/>
      </c>
      <c r="J159" s="929"/>
      <c r="K159" s="921" t="str">
        <f>IF(Projets!G28="","",Projets!G28)</f>
        <v>6A01</v>
      </c>
      <c r="L159" s="921">
        <f>ES6A01</f>
        <v>1</v>
      </c>
      <c r="M159" s="921">
        <f>IF(Projets!I28="","",Projets!I28)</f>
        <v>4</v>
      </c>
      <c r="N159" s="921" t="str">
        <f>IF(Projets!J28="","",Projets!J28)</f>
        <v/>
      </c>
      <c r="O159" s="921" t="str">
        <f>IF(Projets!K28="","",Projets!K28)</f>
        <v/>
      </c>
      <c r="P159" s="921" t="str">
        <f>IF(Projets!L28="","",Projets!L28)</f>
        <v/>
      </c>
      <c r="Q159" s="921" t="str">
        <f>IF(Projets!M28="","",Projets!M28)</f>
        <v/>
      </c>
      <c r="R159" s="921" t="str">
        <f>IF(Projets!N28="","",Projets!N28)</f>
        <v/>
      </c>
      <c r="S159" s="921" t="str">
        <f>IF(Projets!O28="","",Projets!O28)</f>
        <v/>
      </c>
      <c r="T159" s="921" t="str">
        <f>IF(Projets!P28="","",Projets!P28)</f>
        <v/>
      </c>
      <c r="U159" s="921" t="str">
        <f>IF(Projets!Q28="","",Projets!Q28)</f>
        <v/>
      </c>
      <c r="V159" s="921" t="str">
        <f>IF(Projets!R28="","",Projets!R28)</f>
        <v/>
      </c>
      <c r="W159" s="921" t="str">
        <f>IF(Projets!S28="","",Projets!S28)</f>
        <v/>
      </c>
      <c r="X159" s="921" t="str">
        <f>IF(Projets!T28="","",Projets!T28)</f>
        <v/>
      </c>
      <c r="Y159" s="921" t="str">
        <f>IF(Projets!U28="","",Projets!U28)</f>
        <v/>
      </c>
      <c r="Z159" s="921" t="str">
        <f>IF(Projets!V28="","",Projets!V28)</f>
        <v/>
      </c>
      <c r="AA159" s="921" t="str">
        <f>IF(Projets!W28="","",Projets!W28)</f>
        <v/>
      </c>
      <c r="AB159" s="921" t="str">
        <f>IF(Projets!X28="","",Projets!X28)</f>
        <v/>
      </c>
      <c r="AC159" s="921" t="str">
        <f>IF(Projets!Y28="","",Projets!Y28)</f>
        <v/>
      </c>
      <c r="AD159" s="921" t="str">
        <f>IF(Projets!Z28="","",Projets!Z28)</f>
        <v/>
      </c>
      <c r="AE159" s="921" t="str">
        <f>IF(Projets!AA28="","",Projets!AA28)</f>
        <v/>
      </c>
      <c r="AF159" s="921" t="str">
        <f>IF(Projets!AB28="","",Projets!AB28)</f>
        <v/>
      </c>
      <c r="AG159" s="921" t="str">
        <f>IF(Projets!AC28="","",Projets!AC28)</f>
        <v/>
      </c>
      <c r="AH159" s="921" t="str">
        <f>IF(Projets!AD28="","",Projets!AD28)</f>
        <v/>
      </c>
      <c r="AI159" s="144" t="str">
        <f>IF(Projets!AE28="","",Projets!AE28)</f>
        <v/>
      </c>
      <c r="AJ159" s="144" t="str">
        <f>IF(Projets!AF28="","",Projets!AF28)</f>
        <v/>
      </c>
      <c r="AK159" s="144" t="str">
        <f>IF(Projets!AG28="","",Projets!AG28)</f>
        <v/>
      </c>
    </row>
    <row r="160" spans="1:37" s="144" customFormat="1" ht="12" customHeight="1" x14ac:dyDescent="0.25">
      <c r="A160" s="147"/>
      <c r="B160" s="151"/>
      <c r="C160" s="151"/>
      <c r="D160" s="151"/>
      <c r="E160" s="151"/>
      <c r="F160" s="376"/>
      <c r="G160" s="341" t="s">
        <v>2097</v>
      </c>
      <c r="H160" s="341" t="s">
        <v>2098</v>
      </c>
      <c r="I160" s="666" t="str">
        <f>IF(Projets!D20=1,"Décidé",IF(Projets!C20=1,"Sélectionné",""))</f>
        <v/>
      </c>
      <c r="J160" s="429"/>
      <c r="K160" s="481" t="str">
        <f>IF(Projets!G20="","",Projets!G20)</f>
        <v>2D01</v>
      </c>
      <c r="L160" s="481">
        <f>ES2D01</f>
        <v>1</v>
      </c>
      <c r="M160" s="481">
        <f>IF(Projets!I20="","",Projets!I20)</f>
        <v>3</v>
      </c>
      <c r="N160" s="481" t="str">
        <f>IF(Projets!J20="","",Projets!J20)</f>
        <v>2D02</v>
      </c>
      <c r="O160" s="481">
        <f>ES2D02</f>
        <v>1</v>
      </c>
      <c r="P160" s="481">
        <f>IF(Projets!L20="","",Projets!L20)</f>
        <v>3</v>
      </c>
      <c r="Q160" s="481" t="str">
        <f>IF(Projets!M20="","",Projets!M20)</f>
        <v>2D04</v>
      </c>
      <c r="R160" s="481">
        <f>ES2D04</f>
        <v>1</v>
      </c>
      <c r="S160" s="481">
        <f>IF(Projets!O20="","",Projets!O20)</f>
        <v>3</v>
      </c>
      <c r="T160" s="481" t="str">
        <f>IF(Projets!P20="","",Projets!P20)</f>
        <v/>
      </c>
      <c r="U160" s="481" t="str">
        <f>IF(Projets!Q20="","",Projets!Q20)</f>
        <v/>
      </c>
      <c r="V160" s="481" t="str">
        <f>IF(Projets!R20="","",Projets!R20)</f>
        <v/>
      </c>
      <c r="W160" s="481" t="str">
        <f>IF(Projets!S20="","",Projets!S20)</f>
        <v/>
      </c>
      <c r="X160" s="481" t="str">
        <f>IF(Projets!T20="","",Projets!T20)</f>
        <v/>
      </c>
      <c r="Y160" s="481" t="str">
        <f>IF(Projets!U20="","",Projets!U20)</f>
        <v/>
      </c>
      <c r="Z160" s="481" t="str">
        <f>IF(Projets!V20="","",Projets!V20)</f>
        <v/>
      </c>
      <c r="AA160" s="481" t="str">
        <f>IF(Projets!W20="","",Projets!W20)</f>
        <v/>
      </c>
      <c r="AB160" s="481" t="str">
        <f>IF(Projets!X20="","",Projets!X20)</f>
        <v/>
      </c>
      <c r="AC160" s="481" t="str">
        <f>IF(Projets!Y20="","",Projets!Y20)</f>
        <v/>
      </c>
      <c r="AD160" s="481" t="str">
        <f>IF(Projets!Z20="","",Projets!Z20)</f>
        <v/>
      </c>
      <c r="AE160" s="481" t="str">
        <f>IF(Projets!AA20="","",Projets!AA20)</f>
        <v/>
      </c>
      <c r="AF160" s="481" t="str">
        <f>IF(Projets!AB20="","",Projets!AB20)</f>
        <v/>
      </c>
      <c r="AG160" s="481" t="str">
        <f>IF(Projets!AC20="","",Projets!AC20)</f>
        <v/>
      </c>
      <c r="AH160" s="481" t="str">
        <f>IF(Projets!AD20="","",Projets!AD20)</f>
        <v/>
      </c>
      <c r="AI160" s="144" t="str">
        <f>IF(Projets!AE20="","",Projets!AE20)</f>
        <v/>
      </c>
      <c r="AJ160" s="144" t="str">
        <f>IF(Projets!AF20="","",Projets!AF20)</f>
        <v/>
      </c>
      <c r="AK160" s="144" t="str">
        <f>IF(Projets!AG20="","",Projets!AG20)</f>
        <v/>
      </c>
    </row>
    <row r="161" spans="1:37" s="144" customFormat="1" ht="12" customHeight="1" x14ac:dyDescent="0.25">
      <c r="A161" s="147"/>
      <c r="B161" s="151"/>
      <c r="C161" s="151"/>
      <c r="D161" s="151"/>
      <c r="E161" s="151"/>
      <c r="F161" s="376"/>
      <c r="G161" s="801" t="s">
        <v>2005</v>
      </c>
      <c r="H161" s="341" t="s">
        <v>2108</v>
      </c>
      <c r="I161" s="666" t="str">
        <f>IF(Projets!D34=1,"Décidé",IF(Projets!C34=1,"Sélectionné",""))</f>
        <v/>
      </c>
      <c r="J161" s="429"/>
      <c r="K161" s="481" t="str">
        <f>IF(Projets!G34="","",Projets!G34)</f>
        <v>7B08</v>
      </c>
      <c r="L161" s="481">
        <f>ES7B08</f>
        <v>1</v>
      </c>
      <c r="M161" s="481">
        <f>IF(Projets!I34="","",Projets!I34)</f>
        <v>4</v>
      </c>
      <c r="N161" s="481" t="str">
        <f>IF(Projets!J34="","",Projets!J34)</f>
        <v/>
      </c>
      <c r="O161" s="481" t="str">
        <f>IF(Projets!K34="","",Projets!K34)</f>
        <v/>
      </c>
      <c r="P161" s="481" t="str">
        <f>IF(Projets!L34="","",Projets!L34)</f>
        <v/>
      </c>
      <c r="Q161" s="481" t="str">
        <f>IF(Projets!M34="","",Projets!M34)</f>
        <v/>
      </c>
      <c r="R161" s="481" t="str">
        <f>IF(Projets!N34="","",Projets!N34)</f>
        <v/>
      </c>
      <c r="S161" s="481" t="str">
        <f>IF(Projets!O34="","",Projets!O34)</f>
        <v/>
      </c>
      <c r="T161" s="481" t="str">
        <f>IF(Projets!P34="","",Projets!P34)</f>
        <v/>
      </c>
      <c r="U161" s="481" t="str">
        <f>IF(Projets!Q34="","",Projets!Q34)</f>
        <v/>
      </c>
      <c r="V161" s="481" t="str">
        <f>IF(Projets!R34="","",Projets!R34)</f>
        <v/>
      </c>
      <c r="W161" s="481" t="str">
        <f>IF(Projets!S34="","",Projets!S34)</f>
        <v/>
      </c>
      <c r="X161" s="481" t="str">
        <f>IF(Projets!T34="","",Projets!T34)</f>
        <v/>
      </c>
      <c r="Y161" s="481" t="str">
        <f>IF(Projets!U34="","",Projets!U34)</f>
        <v/>
      </c>
      <c r="Z161" s="481" t="str">
        <f>IF(Projets!V34="","",Projets!V34)</f>
        <v/>
      </c>
      <c r="AA161" s="481" t="str">
        <f>IF(Projets!W34="","",Projets!W34)</f>
        <v/>
      </c>
      <c r="AB161" s="481" t="str">
        <f>IF(Projets!X34="","",Projets!X34)</f>
        <v/>
      </c>
      <c r="AC161" s="481" t="str">
        <f>IF(Projets!Y34="","",Projets!Y34)</f>
        <v/>
      </c>
      <c r="AD161" s="481" t="str">
        <f>IF(Projets!Z34="","",Projets!Z34)</f>
        <v/>
      </c>
      <c r="AE161" s="481" t="str">
        <f>IF(Projets!AA34="","",Projets!AA34)</f>
        <v/>
      </c>
      <c r="AF161" s="481" t="str">
        <f>IF(Projets!AB34="","",Projets!AB34)</f>
        <v/>
      </c>
      <c r="AG161" s="481" t="str">
        <f>IF(Projets!AC34="","",Projets!AC34)</f>
        <v/>
      </c>
      <c r="AH161" s="481" t="str">
        <f>IF(Projets!AD34="","",Projets!AD34)</f>
        <v/>
      </c>
      <c r="AI161" s="144" t="str">
        <f>IF(Projets!AE34="","",Projets!AE34)</f>
        <v/>
      </c>
      <c r="AJ161" s="144" t="str">
        <f>IF(Projets!AF34="","",Projets!AF34)</f>
        <v/>
      </c>
      <c r="AK161" s="144" t="str">
        <f>IF(Projets!AG34="","",Projets!AG34)</f>
        <v/>
      </c>
    </row>
    <row r="162" spans="1:37" s="144" customFormat="1" ht="12" customHeight="1" x14ac:dyDescent="0.25">
      <c r="A162" s="147"/>
      <c r="B162" s="151"/>
      <c r="C162" s="151"/>
      <c r="D162" s="151"/>
      <c r="E162" s="151"/>
      <c r="F162" s="376"/>
      <c r="G162" s="801" t="s">
        <v>6558</v>
      </c>
      <c r="H162" s="341" t="s">
        <v>6560</v>
      </c>
      <c r="I162" s="666" t="str">
        <f>IF(Projets!D36=1,"Décidé",IF(Projets!C36=1,"Sélectionné",""))</f>
        <v/>
      </c>
      <c r="J162" s="429"/>
      <c r="K162" s="481" t="str">
        <f>IF(Projets!G36="","",Projets!G36)</f>
        <v>3A08</v>
      </c>
      <c r="L162" s="481">
        <f>ES3A08</f>
        <v>0</v>
      </c>
      <c r="M162" s="481">
        <f>IF(Projets!I36="","",Projets!I36)</f>
        <v>4</v>
      </c>
      <c r="N162" s="481" t="str">
        <f>IF(Projets!J36="","",Projets!J36)</f>
        <v>4A11</v>
      </c>
      <c r="O162" s="481">
        <f>ES4A11</f>
        <v>1</v>
      </c>
      <c r="P162" s="481">
        <f>IF(Projets!L36="","",Projets!L36)</f>
        <v>4</v>
      </c>
      <c r="Q162" s="481" t="str">
        <f>IF(Projets!M36="","",Projets!M36)</f>
        <v/>
      </c>
      <c r="R162" s="481" t="str">
        <f>IF(Projets!N36="","",Projets!N36)</f>
        <v/>
      </c>
      <c r="S162" s="481" t="str">
        <f>IF(Projets!O36="","",Projets!O36)</f>
        <v/>
      </c>
      <c r="T162" s="481" t="str">
        <f>IF(Projets!P36="","",Projets!P36)</f>
        <v/>
      </c>
      <c r="U162" s="481" t="str">
        <f>IF(Projets!Q36="","",Projets!Q36)</f>
        <v/>
      </c>
      <c r="V162" s="481" t="str">
        <f>IF(Projets!R36="","",Projets!R36)</f>
        <v/>
      </c>
      <c r="W162" s="481" t="str">
        <f>IF(Projets!S36="","",Projets!S36)</f>
        <v/>
      </c>
      <c r="X162" s="481" t="str">
        <f>IF(Projets!T36="","",Projets!T36)</f>
        <v/>
      </c>
      <c r="Y162" s="481" t="str">
        <f>IF(Projets!U36="","",Projets!U36)</f>
        <v/>
      </c>
      <c r="Z162" s="481" t="str">
        <f>IF(Projets!V36="","",Projets!V36)</f>
        <v/>
      </c>
      <c r="AA162" s="481" t="str">
        <f>IF(Projets!W36="","",Projets!W36)</f>
        <v/>
      </c>
      <c r="AB162" s="481" t="str">
        <f>IF(Projets!X36="","",Projets!X36)</f>
        <v/>
      </c>
      <c r="AC162" s="481" t="str">
        <f>IF(Projets!Y36="","",Projets!Y36)</f>
        <v/>
      </c>
      <c r="AD162" s="481" t="str">
        <f>IF(Projets!Z36="","",Projets!Z36)</f>
        <v/>
      </c>
      <c r="AE162" s="481" t="str">
        <f>IF(Projets!AA36="","",Projets!AA36)</f>
        <v/>
      </c>
      <c r="AF162" s="481" t="str">
        <f>IF(Projets!AB36="","",Projets!AB36)</f>
        <v/>
      </c>
      <c r="AG162" s="481" t="str">
        <f>IF(Projets!AC36="","",Projets!AC36)</f>
        <v/>
      </c>
      <c r="AH162" s="481" t="str">
        <f>IF(Projets!AD36="","",Projets!AD36)</f>
        <v/>
      </c>
      <c r="AI162" s="144" t="str">
        <f>IF(Projets!AE36="","",Projets!AE36)</f>
        <v/>
      </c>
      <c r="AJ162" s="144" t="str">
        <f>IF(Projets!AF36="","",Projets!AF36)</f>
        <v/>
      </c>
      <c r="AK162" s="144" t="str">
        <f>IF(Projets!AG36="","",Projets!AG36)</f>
        <v/>
      </c>
    </row>
    <row r="163" spans="1:37" s="144" customFormat="1" ht="12" customHeight="1" x14ac:dyDescent="0.25">
      <c r="A163" s="799"/>
      <c r="B163" s="151"/>
      <c r="C163" s="151"/>
      <c r="D163" s="151"/>
      <c r="E163" s="151"/>
      <c r="F163" s="376"/>
      <c r="G163" s="344" t="s">
        <v>6555</v>
      </c>
      <c r="H163" s="341" t="s">
        <v>547</v>
      </c>
      <c r="I163" s="666" t="str">
        <f>IF(Projets!D23=1,"Décidé",IF(Projets!C23=1,"Sélectionné",""))</f>
        <v/>
      </c>
      <c r="J163" s="750"/>
      <c r="K163" s="758" t="str">
        <f>IF(Projets!G23="","",Projets!G23)</f>
        <v>2B03</v>
      </c>
      <c r="L163" s="758">
        <f>ES2B03</f>
        <v>1</v>
      </c>
      <c r="M163" s="758">
        <f>IF(Projets!I23="","",Projets!I23)</f>
        <v>4</v>
      </c>
      <c r="N163" s="758" t="str">
        <f>IF(Projets!J23="","",Projets!J23)</f>
        <v/>
      </c>
      <c r="O163" s="758" t="str">
        <f>IF(Projets!K23="","",Projets!K23)</f>
        <v/>
      </c>
      <c r="P163" s="758" t="str">
        <f>IF(Projets!L23="","",Projets!L23)</f>
        <v/>
      </c>
      <c r="Q163" s="758" t="str">
        <f>IF(Projets!M23="","",Projets!M23)</f>
        <v/>
      </c>
      <c r="R163" s="758" t="str">
        <f>IF(Projets!N23="","",Projets!N23)</f>
        <v/>
      </c>
      <c r="S163" s="758" t="str">
        <f>IF(Projets!O23="","",Projets!O23)</f>
        <v/>
      </c>
      <c r="T163" s="758" t="str">
        <f>IF(Projets!P23="","",Projets!P23)</f>
        <v/>
      </c>
      <c r="U163" s="758" t="str">
        <f>IF(Projets!Q23="","",Projets!Q23)</f>
        <v/>
      </c>
      <c r="V163" s="758" t="str">
        <f>IF(Projets!R23="","",Projets!R23)</f>
        <v/>
      </c>
      <c r="W163" s="758" t="str">
        <f>IF(Projets!S23="","",Projets!S23)</f>
        <v/>
      </c>
      <c r="X163" s="758" t="str">
        <f>IF(Projets!T23="","",Projets!T23)</f>
        <v/>
      </c>
      <c r="Y163" s="758" t="str">
        <f>IF(Projets!U23="","",Projets!U23)</f>
        <v/>
      </c>
      <c r="Z163" s="758" t="str">
        <f>IF(Projets!V23="","",Projets!V23)</f>
        <v/>
      </c>
      <c r="AA163" s="758" t="str">
        <f>IF(Projets!W23="","",Projets!W23)</f>
        <v/>
      </c>
      <c r="AB163" s="758" t="str">
        <f>IF(Projets!X23="","",Projets!X23)</f>
        <v/>
      </c>
      <c r="AC163" s="758" t="str">
        <f>IF(Projets!Y23="","",Projets!Y23)</f>
        <v/>
      </c>
      <c r="AD163" s="758" t="str">
        <f>IF(Projets!Z23="","",Projets!Z23)</f>
        <v/>
      </c>
      <c r="AE163" s="758" t="str">
        <f>IF(Projets!AA23="","",Projets!AA23)</f>
        <v/>
      </c>
      <c r="AF163" s="758" t="str">
        <f>IF(Projets!AB23="","",Projets!AB23)</f>
        <v/>
      </c>
      <c r="AG163" s="758" t="str">
        <f>IF(Projets!AC23="","",Projets!AC23)</f>
        <v/>
      </c>
      <c r="AH163" s="758" t="str">
        <f>IF(Projets!AD23="","",Projets!AD23)</f>
        <v/>
      </c>
      <c r="AI163" s="144" t="str">
        <f>IF(Projets!AE23="","",Projets!AE23)</f>
        <v/>
      </c>
      <c r="AJ163" s="144" t="str">
        <f>IF(Projets!AF23="","",Projets!AF23)</f>
        <v/>
      </c>
      <c r="AK163" s="144" t="str">
        <f>IF(Projets!AG23="","",Projets!AG23)</f>
        <v/>
      </c>
    </row>
    <row r="164" spans="1:37" s="144" customFormat="1" ht="16.5" customHeight="1" x14ac:dyDescent="0.25">
      <c r="A164" s="181" t="s">
        <v>6508</v>
      </c>
      <c r="B164" s="802" t="s">
        <v>4518</v>
      </c>
      <c r="C164" s="803"/>
      <c r="D164" s="803"/>
      <c r="E164" s="803"/>
      <c r="F164" s="804"/>
      <c r="G164" s="314"/>
      <c r="H164" s="825"/>
      <c r="I164" s="667"/>
      <c r="J164" s="428"/>
      <c r="K164" s="483"/>
      <c r="L164" s="483"/>
      <c r="M164" s="483"/>
      <c r="N164" s="483"/>
      <c r="O164" s="483"/>
      <c r="P164" s="483"/>
      <c r="Q164" s="483"/>
      <c r="R164" s="483"/>
      <c r="S164" s="483"/>
      <c r="T164" s="483"/>
      <c r="U164" s="483"/>
      <c r="V164" s="483"/>
      <c r="W164" s="483"/>
      <c r="X164" s="483"/>
      <c r="Y164" s="483"/>
      <c r="Z164" s="483"/>
      <c r="AA164" s="483"/>
      <c r="AB164" s="483"/>
      <c r="AC164" s="483"/>
      <c r="AD164" s="483"/>
      <c r="AE164" s="483"/>
      <c r="AF164" s="483"/>
      <c r="AG164" s="483"/>
      <c r="AH164" s="483"/>
    </row>
    <row r="165" spans="1:37" s="144" customFormat="1" ht="13.5" customHeight="1" x14ac:dyDescent="0.25">
      <c r="A165" s="146"/>
      <c r="B165" s="1403">
        <f>COUNTIF(Scénarios!AB191:AB196,1)</f>
        <v>0</v>
      </c>
      <c r="C165" s="1404">
        <f>COUNTIF(Scénarios!AB191:AB196,2)</f>
        <v>0</v>
      </c>
      <c r="D165" s="1399">
        <f>COUNTIF(Scénarios!AB191:AB196,3)</f>
        <v>0</v>
      </c>
      <c r="E165" s="1402">
        <f>COUNTIF(Scénarios!AB191:AB196,4)</f>
        <v>0</v>
      </c>
      <c r="F165" s="1403">
        <f>SUM(B165:E165)</f>
        <v>0</v>
      </c>
      <c r="G165" s="341" t="s">
        <v>2100</v>
      </c>
      <c r="H165" s="341" t="s">
        <v>360</v>
      </c>
      <c r="I165" s="666" t="str">
        <f>IF(Projets!D22=1,"Décidé",IF(Projets!C22=1,"Sélectionné",""))</f>
        <v/>
      </c>
      <c r="J165" s="429"/>
      <c r="K165" s="758" t="str">
        <f>IF(Projets!G22="","",Projets!G22)</f>
        <v>2B01</v>
      </c>
      <c r="L165" s="758">
        <f>ES2B01</f>
        <v>1</v>
      </c>
      <c r="M165" s="743">
        <f>IF(Projets!I22="","",Projets!I22)</f>
        <v>4</v>
      </c>
      <c r="N165" s="758" t="str">
        <f>IF(Projets!J22="","",Projets!J22)</f>
        <v>2B02</v>
      </c>
      <c r="O165" s="758">
        <f>ES2B02</f>
        <v>1</v>
      </c>
      <c r="P165" s="743">
        <f>IF(Projets!L22="","",Projets!L22)</f>
        <v>4</v>
      </c>
      <c r="Q165" s="758" t="str">
        <f>IF(Projets!M22="","",Projets!M22)</f>
        <v/>
      </c>
      <c r="R165" s="758" t="str">
        <f>IF(Projets!N22="","",Projets!N22)</f>
        <v/>
      </c>
      <c r="S165" s="743" t="str">
        <f>IF(Projets!O22="","",Projets!O22)</f>
        <v/>
      </c>
      <c r="T165" s="758" t="str">
        <f>IF(Projets!P22="","",Projets!P22)</f>
        <v/>
      </c>
      <c r="U165" s="758" t="str">
        <f>IF(Projets!Q22="","",Projets!Q22)</f>
        <v/>
      </c>
      <c r="V165" s="743" t="str">
        <f>IF(Projets!R22="","",Projets!R22)</f>
        <v/>
      </c>
      <c r="W165" s="482" t="str">
        <f>IF(Projets!S22="","",Projets!S22)</f>
        <v/>
      </c>
      <c r="X165" s="482" t="str">
        <f>IF(Projets!T22="","",Projets!T22)</f>
        <v/>
      </c>
      <c r="Y165" s="482" t="str">
        <f>IF(Projets!U22="","",Projets!U22)</f>
        <v/>
      </c>
      <c r="Z165" s="482" t="str">
        <f>IF(Projets!V22="","",Projets!V22)</f>
        <v/>
      </c>
      <c r="AA165" s="482" t="str">
        <f>IF(Projets!W22="","",Projets!W22)</f>
        <v/>
      </c>
      <c r="AB165" s="482" t="str">
        <f>IF(Projets!X22="","",Projets!X22)</f>
        <v/>
      </c>
      <c r="AC165" s="482" t="str">
        <f>IF(Projets!Y22="","",Projets!Y22)</f>
        <v/>
      </c>
      <c r="AD165" s="482" t="str">
        <f>IF(Projets!Z22="","",Projets!Z22)</f>
        <v/>
      </c>
      <c r="AE165" s="482" t="str">
        <f>IF(Projets!AA22="","",Projets!AA22)</f>
        <v/>
      </c>
      <c r="AF165" s="482" t="str">
        <f>IF(Projets!AB22="","",Projets!AB22)</f>
        <v/>
      </c>
      <c r="AG165" s="482" t="str">
        <f>IF(Projets!AC22="","",Projets!AC22)</f>
        <v/>
      </c>
      <c r="AH165" s="482" t="str">
        <f>IF(Projets!AD22="","",Projets!AD22)</f>
        <v/>
      </c>
      <c r="AI165" s="144" t="str">
        <f>IF(Projets!AE22="","",Projets!AE22)</f>
        <v/>
      </c>
      <c r="AJ165" s="144" t="str">
        <f>IF(Projets!AF22="","",Projets!AF22)</f>
        <v/>
      </c>
      <c r="AK165" s="144" t="str">
        <f>IF(Projets!AG22="","",Projets!AG22)</f>
        <v/>
      </c>
    </row>
    <row r="166" spans="1:37" s="144" customFormat="1" ht="12.75" customHeight="1" x14ac:dyDescent="0.25">
      <c r="A166" s="147"/>
      <c r="B166" s="1400"/>
      <c r="C166" s="1400"/>
      <c r="D166" s="1400"/>
      <c r="E166" s="1400"/>
      <c r="F166" s="1400"/>
      <c r="G166" s="341" t="s">
        <v>1976</v>
      </c>
      <c r="H166" s="341" t="s">
        <v>731</v>
      </c>
      <c r="I166" s="666" t="str">
        <f>IF(Projets!D25=1,"Décidé",IF(Projets!C25=1,"Sélectionné",""))</f>
        <v/>
      </c>
      <c r="J166" s="429"/>
      <c r="K166" s="482" t="str">
        <f>IF(Projets!G25="","",Projets!G25)</f>
        <v>3A02</v>
      </c>
      <c r="L166" s="482">
        <f>ES3A02</f>
        <v>0</v>
      </c>
      <c r="M166" s="482">
        <f>IF(Projets!I25="","",Projets!I25)</f>
        <v>4</v>
      </c>
      <c r="N166" s="482" t="str">
        <f>IF(Projets!J25="","",Projets!J25)</f>
        <v>3A04</v>
      </c>
      <c r="O166" s="482">
        <f>ES3A04</f>
        <v>1</v>
      </c>
      <c r="P166" s="482">
        <f>IF(Projets!L25="","",Projets!L25)</f>
        <v>4</v>
      </c>
      <c r="Q166" s="482" t="str">
        <f>IF(Projets!M25="","",Projets!M25)</f>
        <v>3A06</v>
      </c>
      <c r="R166" s="482">
        <f>ES3A06</f>
        <v>0</v>
      </c>
      <c r="S166" s="482">
        <f>IF(Projets!O25="","",Projets!O25)</f>
        <v>4</v>
      </c>
      <c r="T166" s="482" t="str">
        <f>IF(Projets!P25="","",Projets!P25)</f>
        <v>3A07</v>
      </c>
      <c r="U166" s="482">
        <f>ES3A07</f>
        <v>0</v>
      </c>
      <c r="V166" s="482">
        <f>IF(Projets!R25="","",Projets!R25)</f>
        <v>4</v>
      </c>
      <c r="W166" s="482" t="str">
        <f>IF(Projets!S25="","",Projets!S25)</f>
        <v/>
      </c>
      <c r="X166" s="482" t="str">
        <f>IF(Projets!T25="","",Projets!T25)</f>
        <v/>
      </c>
      <c r="Y166" s="482" t="str">
        <f>IF(Projets!U25="","",Projets!U25)</f>
        <v/>
      </c>
      <c r="Z166" s="482" t="str">
        <f>IF(Projets!V25="","",Projets!V25)</f>
        <v/>
      </c>
      <c r="AA166" s="482" t="str">
        <f>IF(Projets!W25="","",Projets!W25)</f>
        <v/>
      </c>
      <c r="AB166" s="482" t="str">
        <f>IF(Projets!X25="","",Projets!X25)</f>
        <v/>
      </c>
      <c r="AC166" s="482" t="str">
        <f>IF(Projets!Y25="","",Projets!Y25)</f>
        <v/>
      </c>
      <c r="AD166" s="482" t="str">
        <f>IF(Projets!Z25="","",Projets!Z25)</f>
        <v/>
      </c>
      <c r="AE166" s="482" t="str">
        <f>IF(Projets!AA25="","",Projets!AA25)</f>
        <v/>
      </c>
      <c r="AF166" s="482" t="str">
        <f>IF(Projets!AB25="","",Projets!AB25)</f>
        <v/>
      </c>
      <c r="AG166" s="482" t="str">
        <f>IF(Projets!AC25="","",Projets!AC25)</f>
        <v/>
      </c>
      <c r="AH166" s="482" t="str">
        <f>IF(Projets!AD25="","",Projets!AD25)</f>
        <v/>
      </c>
      <c r="AI166" s="144" t="str">
        <f>IF(Projets!AE25="","",Projets!AE25)</f>
        <v/>
      </c>
      <c r="AJ166" s="144" t="str">
        <f>IF(Projets!AF25="","",Projets!AF25)</f>
        <v/>
      </c>
      <c r="AK166" s="144" t="str">
        <f>IF(Projets!AG25="","",Projets!AG25)</f>
        <v/>
      </c>
    </row>
    <row r="167" spans="1:37" s="144" customFormat="1" ht="14.25" customHeight="1" x14ac:dyDescent="0.25">
      <c r="A167" s="148"/>
      <c r="B167" s="1401"/>
      <c r="C167" s="1401"/>
      <c r="D167" s="1401"/>
      <c r="E167" s="1401"/>
      <c r="F167" s="1401"/>
      <c r="G167" s="317" t="s">
        <v>1973</v>
      </c>
      <c r="H167" s="341" t="s">
        <v>1618</v>
      </c>
      <c r="I167" s="666" t="str">
        <f>IF(Projets!D42=1,"Décidé",IF(Projets!C42=1,"Sélectionné",""))</f>
        <v/>
      </c>
      <c r="J167" s="429"/>
      <c r="K167" s="482" t="str">
        <f>IF(Projets!G42="","",Projets!G42)</f>
        <v>5B02</v>
      </c>
      <c r="L167" s="482">
        <f>ES5B02</f>
        <v>1</v>
      </c>
      <c r="M167" s="482">
        <f>IF(Projets!I42="","",Projets!I42)</f>
        <v>4</v>
      </c>
      <c r="N167" s="482" t="str">
        <f>IF(Projets!J42="","",Projets!J42)</f>
        <v/>
      </c>
      <c r="O167" s="482" t="str">
        <f>IF(Projets!K42="","",Projets!K42)</f>
        <v/>
      </c>
      <c r="P167" s="482" t="str">
        <f>IF(Projets!L42="","",Projets!L42)</f>
        <v/>
      </c>
      <c r="Q167" s="482" t="str">
        <f>IF(Projets!M42="","",Projets!M42)</f>
        <v/>
      </c>
      <c r="R167" s="482" t="str">
        <f>IF(Projets!N42="","",Projets!N42)</f>
        <v/>
      </c>
      <c r="S167" s="482" t="str">
        <f>IF(Projets!O42="","",Projets!O42)</f>
        <v/>
      </c>
      <c r="T167" s="482" t="str">
        <f>IF(Projets!P42="","",Projets!P42)</f>
        <v/>
      </c>
      <c r="U167" s="482" t="str">
        <f>IF(Projets!Q42="","",Projets!Q42)</f>
        <v/>
      </c>
      <c r="V167" s="482" t="str">
        <f>IF(Projets!R42="","",Projets!R42)</f>
        <v/>
      </c>
      <c r="W167" s="482" t="str">
        <f>IF(Projets!S42="","",Projets!S42)</f>
        <v/>
      </c>
      <c r="X167" s="482" t="str">
        <f>IF(Projets!T42="","",Projets!T42)</f>
        <v/>
      </c>
      <c r="Y167" s="482" t="str">
        <f>IF(Projets!U42="","",Projets!U42)</f>
        <v/>
      </c>
      <c r="Z167" s="482" t="str">
        <f>IF(Projets!V42="","",Projets!V42)</f>
        <v/>
      </c>
      <c r="AA167" s="482" t="str">
        <f>IF(Projets!W42="","",Projets!W42)</f>
        <v/>
      </c>
      <c r="AB167" s="482" t="str">
        <f>IF(Projets!X42="","",Projets!X42)</f>
        <v/>
      </c>
      <c r="AC167" s="482" t="str">
        <f>IF(Projets!Y42="","",Projets!Y42)</f>
        <v/>
      </c>
      <c r="AD167" s="482" t="str">
        <f>IF(Projets!Z42="","",Projets!Z42)</f>
        <v/>
      </c>
      <c r="AE167" s="482" t="str">
        <f>IF(Projets!AA42="","",Projets!AA42)</f>
        <v/>
      </c>
      <c r="AF167" s="482" t="str">
        <f>IF(Projets!AB42="","",Projets!AB42)</f>
        <v/>
      </c>
      <c r="AG167" s="482" t="str">
        <f>IF(Projets!AC42="","",Projets!AC42)</f>
        <v/>
      </c>
      <c r="AH167" s="482" t="str">
        <f>IF(Projets!AD42="","",Projets!AD42)</f>
        <v/>
      </c>
      <c r="AI167" s="144" t="str">
        <f>IF(Projets!AE42="","",Projets!AE42)</f>
        <v/>
      </c>
      <c r="AJ167" s="144" t="str">
        <f>IF(Projets!AF42="","",Projets!AF42)</f>
        <v/>
      </c>
      <c r="AK167" s="144" t="str">
        <f>IF(Projets!AG42="","",Projets!AG42)</f>
        <v/>
      </c>
    </row>
    <row r="168" spans="1:37" s="144" customFormat="1" ht="14.25" customHeight="1" x14ac:dyDescent="0.25">
      <c r="A168" s="930"/>
      <c r="B168" s="932"/>
      <c r="C168" s="932"/>
      <c r="D168" s="932"/>
      <c r="E168" s="932"/>
      <c r="F168" s="932"/>
      <c r="G168" s="341" t="s">
        <v>6288</v>
      </c>
      <c r="H168" s="341" t="s">
        <v>6289</v>
      </c>
      <c r="I168" s="666" t="str">
        <f>IF(Projets!D47=1,"Décidé",IF(Projets!C47=1,"Sélectionné",""))</f>
        <v/>
      </c>
      <c r="J168" s="929"/>
      <c r="K168" s="931" t="str">
        <f>IF(Projets!G47="","",Projets!G47)</f>
        <v>4E03</v>
      </c>
      <c r="L168" s="931">
        <f>ES4E03</f>
        <v>1</v>
      </c>
      <c r="M168" s="931">
        <f>IF(Projets!I47="","",Projets!I47)</f>
        <v>4</v>
      </c>
      <c r="N168" s="931" t="str">
        <f>IF(Projets!J47="","",Projets!J47)</f>
        <v/>
      </c>
      <c r="O168" s="931" t="str">
        <f>IF(Projets!K47="","",Projets!K47)</f>
        <v/>
      </c>
      <c r="P168" s="931" t="str">
        <f>IF(Projets!L47="","",Projets!L47)</f>
        <v/>
      </c>
      <c r="Q168" s="931" t="str">
        <f>IF(Projets!M47="","",Projets!M47)</f>
        <v/>
      </c>
      <c r="R168" s="931" t="str">
        <f>IF(Projets!N47="","",Projets!N47)</f>
        <v/>
      </c>
      <c r="S168" s="931" t="str">
        <f>IF(Projets!O47="","",Projets!O47)</f>
        <v/>
      </c>
      <c r="T168" s="931" t="str">
        <f>IF(Projets!P47="","",Projets!P47)</f>
        <v/>
      </c>
      <c r="U168" s="931" t="str">
        <f>IF(Projets!Q47="","",Projets!Q47)</f>
        <v/>
      </c>
      <c r="V168" s="931" t="str">
        <f>IF(Projets!R47="","",Projets!R47)</f>
        <v/>
      </c>
      <c r="W168" s="931" t="str">
        <f>IF(Projets!S47="","",Projets!S47)</f>
        <v/>
      </c>
      <c r="X168" s="931" t="str">
        <f>IF(Projets!T47="","",Projets!T47)</f>
        <v/>
      </c>
      <c r="Y168" s="931" t="str">
        <f>IF(Projets!U47="","",Projets!U47)</f>
        <v/>
      </c>
      <c r="Z168" s="931" t="str">
        <f>IF(Projets!V47="","",Projets!V47)</f>
        <v/>
      </c>
      <c r="AA168" s="931" t="str">
        <f>IF(Projets!W47="","",Projets!W47)</f>
        <v/>
      </c>
      <c r="AB168" s="931" t="str">
        <f>IF(Projets!X47="","",Projets!X47)</f>
        <v/>
      </c>
      <c r="AC168" s="931" t="str">
        <f>IF(Projets!Y47="","",Projets!Y47)</f>
        <v/>
      </c>
      <c r="AD168" s="931" t="str">
        <f>IF(Projets!Z47="","",Projets!Z47)</f>
        <v/>
      </c>
      <c r="AE168" s="931" t="str">
        <f>IF(Projets!AA47="","",Projets!AA47)</f>
        <v/>
      </c>
      <c r="AF168" s="931" t="str">
        <f>IF(Projets!AB47="","",Projets!AB47)</f>
        <v/>
      </c>
      <c r="AG168" s="931" t="str">
        <f>IF(Projets!AC47="","",Projets!AC47)</f>
        <v/>
      </c>
      <c r="AH168" s="931" t="str">
        <f>IF(Projets!AD47="","",Projets!AD47)</f>
        <v/>
      </c>
      <c r="AI168" s="144" t="str">
        <f>IF(Projets!AE47="","",Projets!AE47)</f>
        <v/>
      </c>
      <c r="AJ168" s="144" t="str">
        <f>IF(Projets!AF47="","",Projets!AF47)</f>
        <v/>
      </c>
      <c r="AK168" s="144" t="str">
        <f>IF(Projets!AG47="","",Projets!AG47)</f>
        <v/>
      </c>
    </row>
    <row r="169" spans="1:37" s="144" customFormat="1" ht="14.25" customHeight="1" x14ac:dyDescent="0.25">
      <c r="A169" s="930"/>
      <c r="B169" s="932"/>
      <c r="C169" s="932"/>
      <c r="D169" s="932"/>
      <c r="E169" s="932"/>
      <c r="F169" s="932"/>
      <c r="G169" s="805" t="s">
        <v>6558</v>
      </c>
      <c r="H169" s="341" t="s">
        <v>6560</v>
      </c>
      <c r="I169" s="666" t="str">
        <f>IF(Projets!D36=1,"Décidé",IF(Projets!C36=1,"Sélectionné",""))</f>
        <v/>
      </c>
      <c r="J169" s="929"/>
      <c r="K169" s="931" t="str">
        <f>IF(Projets!G36="","",Projets!G36)</f>
        <v>3A08</v>
      </c>
      <c r="L169" s="931">
        <f>ES3A08</f>
        <v>0</v>
      </c>
      <c r="M169" s="931">
        <f>IF(Projets!I36="","",Projets!I36)</f>
        <v>4</v>
      </c>
      <c r="N169" s="931" t="str">
        <f>IF(Projets!J36="","",Projets!J36)</f>
        <v>4A11</v>
      </c>
      <c r="O169" s="931">
        <f>ES4A11</f>
        <v>1</v>
      </c>
      <c r="P169" s="931">
        <f>IF(Projets!L36="","",Projets!L36)</f>
        <v>4</v>
      </c>
      <c r="Q169" s="931" t="str">
        <f>IF(Projets!M36="","",Projets!M36)</f>
        <v/>
      </c>
      <c r="R169" s="931" t="str">
        <f>IF(Projets!N36="","",Projets!N36)</f>
        <v/>
      </c>
      <c r="S169" s="931" t="str">
        <f>IF(Projets!O36="","",Projets!O36)</f>
        <v/>
      </c>
      <c r="T169" s="931" t="str">
        <f>IF(Projets!P36="","",Projets!P36)</f>
        <v/>
      </c>
      <c r="U169" s="931" t="str">
        <f>IF(Projets!Q36="","",Projets!Q36)</f>
        <v/>
      </c>
      <c r="V169" s="931" t="str">
        <f>IF(Projets!R36="","",Projets!R36)</f>
        <v/>
      </c>
      <c r="W169" s="931" t="str">
        <f>IF(Projets!S36="","",Projets!S36)</f>
        <v/>
      </c>
      <c r="X169" s="931" t="str">
        <f>IF(Projets!T36="","",Projets!T36)</f>
        <v/>
      </c>
      <c r="Y169" s="931" t="str">
        <f>IF(Projets!U36="","",Projets!U36)</f>
        <v/>
      </c>
      <c r="Z169" s="931" t="str">
        <f>IF(Projets!V36="","",Projets!V36)</f>
        <v/>
      </c>
      <c r="AA169" s="931" t="str">
        <f>IF(Projets!W36="","",Projets!W36)</f>
        <v/>
      </c>
      <c r="AB169" s="931" t="str">
        <f>IF(Projets!X36="","",Projets!X36)</f>
        <v/>
      </c>
      <c r="AC169" s="931" t="str">
        <f>IF(Projets!Y36="","",Projets!Y36)</f>
        <v/>
      </c>
      <c r="AD169" s="931" t="str">
        <f>IF(Projets!Z36="","",Projets!Z36)</f>
        <v/>
      </c>
      <c r="AE169" s="931" t="str">
        <f>IF(Projets!AA36="","",Projets!AA36)</f>
        <v/>
      </c>
      <c r="AF169" s="931" t="str">
        <f>IF(Projets!AB36="","",Projets!AB36)</f>
        <v/>
      </c>
      <c r="AG169" s="931" t="str">
        <f>IF(Projets!AC36="","",Projets!AC36)</f>
        <v/>
      </c>
      <c r="AH169" s="931" t="str">
        <f>IF(Projets!AD36="","",Projets!AD36)</f>
        <v/>
      </c>
      <c r="AI169" s="144" t="str">
        <f>IF(Projets!AE36="","",Projets!AE36)</f>
        <v/>
      </c>
      <c r="AJ169" s="144" t="str">
        <f>IF(Projets!AF36="","",Projets!AF36)</f>
        <v/>
      </c>
      <c r="AK169" s="144" t="str">
        <f>IF(Projets!AG36="","",Projets!AG36)</f>
        <v/>
      </c>
    </row>
    <row r="170" spans="1:37" s="144" customFormat="1" ht="15" customHeight="1" x14ac:dyDescent="0.25">
      <c r="A170" s="799"/>
      <c r="B170" s="151"/>
      <c r="C170" s="151"/>
      <c r="D170" s="151"/>
      <c r="E170" s="151"/>
      <c r="F170" s="376"/>
      <c r="G170" s="317" t="s">
        <v>6555</v>
      </c>
      <c r="H170" s="341" t="s">
        <v>547</v>
      </c>
      <c r="I170" s="666" t="str">
        <f>IF(Projets!D23=1,"Décidé",IF(Projets!C23=1,"Sélectionné",""))</f>
        <v/>
      </c>
      <c r="J170" s="429"/>
      <c r="K170" s="481" t="str">
        <f>IF(Projets!G23="","",Projets!G23)</f>
        <v>2B03</v>
      </c>
      <c r="L170" s="481">
        <f>ES2B03</f>
        <v>1</v>
      </c>
      <c r="M170" s="481">
        <f>IF(Projets!I23="","",Projets!I23)</f>
        <v>4</v>
      </c>
      <c r="N170" s="481" t="str">
        <f>IF(Projets!J23="","",Projets!J23)</f>
        <v/>
      </c>
      <c r="O170" s="481" t="str">
        <f>IF(Projets!K23="","",Projets!K23)</f>
        <v/>
      </c>
      <c r="P170" s="481" t="str">
        <f>IF(Projets!L23="","",Projets!L23)</f>
        <v/>
      </c>
      <c r="Q170" s="481" t="str">
        <f>IF(Projets!M23="","",Projets!M23)</f>
        <v/>
      </c>
      <c r="R170" s="481" t="str">
        <f>IF(Projets!N23="","",Projets!N23)</f>
        <v/>
      </c>
      <c r="S170" s="481" t="str">
        <f>IF(Projets!O23="","",Projets!O23)</f>
        <v/>
      </c>
      <c r="T170" s="481" t="str">
        <f>IF(Projets!P23="","",Projets!P23)</f>
        <v/>
      </c>
      <c r="U170" s="481" t="str">
        <f>IF(Projets!Q23="","",Projets!Q23)</f>
        <v/>
      </c>
      <c r="V170" s="481" t="str">
        <f>IF(Projets!R23="","",Projets!R23)</f>
        <v/>
      </c>
      <c r="W170" s="481" t="str">
        <f>IF(Projets!S23="","",Projets!S23)</f>
        <v/>
      </c>
      <c r="X170" s="481" t="str">
        <f>IF(Projets!T23="","",Projets!T23)</f>
        <v/>
      </c>
      <c r="Y170" s="481" t="str">
        <f>IF(Projets!U23="","",Projets!U23)</f>
        <v/>
      </c>
      <c r="Z170" s="481" t="str">
        <f>IF(Projets!V23="","",Projets!V23)</f>
        <v/>
      </c>
      <c r="AA170" s="481" t="str">
        <f>IF(Projets!W23="","",Projets!W23)</f>
        <v/>
      </c>
      <c r="AB170" s="481" t="str">
        <f>IF(Projets!X23="","",Projets!X23)</f>
        <v/>
      </c>
      <c r="AC170" s="481" t="str">
        <f>IF(Projets!Y23="","",Projets!Y23)</f>
        <v/>
      </c>
      <c r="AD170" s="481" t="str">
        <f>IF(Projets!Z23="","",Projets!Z23)</f>
        <v/>
      </c>
      <c r="AE170" s="481" t="str">
        <f>IF(Projets!AA23="","",Projets!AA23)</f>
        <v/>
      </c>
      <c r="AF170" s="481" t="str">
        <f>IF(Projets!AB23="","",Projets!AB23)</f>
        <v/>
      </c>
      <c r="AG170" s="481" t="str">
        <f>IF(Projets!AC23="","",Projets!AC23)</f>
        <v/>
      </c>
      <c r="AH170" s="481" t="str">
        <f>IF(Projets!AD23="","",Projets!AD23)</f>
        <v/>
      </c>
      <c r="AI170" s="144" t="str">
        <f>IF(Projets!AE23="","",Projets!AE23)</f>
        <v/>
      </c>
      <c r="AJ170" s="144" t="str">
        <f>IF(Projets!AF23="","",Projets!AF23)</f>
        <v/>
      </c>
      <c r="AK170" s="144" t="str">
        <f>IF(Projets!AG23="","",Projets!AG23)</f>
        <v/>
      </c>
    </row>
    <row r="171" spans="1:37" s="144" customFormat="1" ht="15" customHeight="1" x14ac:dyDescent="0.25">
      <c r="A171" s="799"/>
      <c r="B171" s="151"/>
      <c r="C171" s="151"/>
      <c r="D171" s="151"/>
      <c r="E171" s="151"/>
      <c r="F171" s="376"/>
      <c r="G171" s="1073" t="s">
        <v>6784</v>
      </c>
      <c r="H171" s="341" t="s">
        <v>6737</v>
      </c>
      <c r="I171" s="666" t="str">
        <f>IF(Projets!D69=1,"Décidé",IF(Projets!C69=1,"Sélectionné",""))</f>
        <v/>
      </c>
      <c r="J171" s="429"/>
      <c r="K171" s="481" t="str">
        <f>IF(Projets!G69="","",Projets!G69)</f>
        <v>7B10</v>
      </c>
      <c r="L171" s="481">
        <f>ES7B10</f>
        <v>1</v>
      </c>
      <c r="M171" s="481">
        <f>IF(Projets!I69="","",Projets!I69)</f>
        <v>4</v>
      </c>
      <c r="N171" s="481" t="str">
        <f>IF(Projets!J69="","",Projets!J69)</f>
        <v/>
      </c>
      <c r="O171" s="481" t="str">
        <f>IF(Projets!K69="","",Projets!K69)</f>
        <v/>
      </c>
      <c r="P171" s="481" t="str">
        <f>IF(Projets!L69="","",Projets!L69)</f>
        <v/>
      </c>
      <c r="Q171" s="481" t="str">
        <f>IF(Projets!M69="","",Projets!M69)</f>
        <v/>
      </c>
      <c r="R171" s="481" t="str">
        <f>IF(Projets!N69="","",Projets!N69)</f>
        <v/>
      </c>
      <c r="S171" s="481" t="str">
        <f>IF(Projets!O69="","",Projets!O69)</f>
        <v/>
      </c>
      <c r="T171" s="481" t="str">
        <f>IF(Projets!P69="","",Projets!P69)</f>
        <v/>
      </c>
      <c r="U171" s="481" t="str">
        <f>IF(Projets!Q69="","",Projets!Q69)</f>
        <v/>
      </c>
      <c r="V171" s="481" t="str">
        <f>IF(Projets!R69="","",Projets!R69)</f>
        <v/>
      </c>
      <c r="W171" s="481" t="str">
        <f>IF(Projets!S69="","",Projets!S69)</f>
        <v/>
      </c>
      <c r="X171" s="481" t="str">
        <f>IF(Projets!T69="","",Projets!T69)</f>
        <v/>
      </c>
      <c r="Y171" s="481" t="str">
        <f>IF(Projets!U69="","",Projets!U69)</f>
        <v/>
      </c>
      <c r="Z171" s="481" t="str">
        <f>IF(Projets!V69="","",Projets!V69)</f>
        <v/>
      </c>
      <c r="AA171" s="481" t="str">
        <f>IF(Projets!W69="","",Projets!W69)</f>
        <v/>
      </c>
      <c r="AB171" s="481" t="str">
        <f>IF(Projets!X69="","",Projets!X69)</f>
        <v/>
      </c>
      <c r="AC171" s="481" t="str">
        <f>IF(Projets!Y69="","",Projets!Y69)</f>
        <v/>
      </c>
      <c r="AD171" s="481" t="str">
        <f>IF(Projets!Z69="","",Projets!Z69)</f>
        <v/>
      </c>
      <c r="AE171" s="481" t="str">
        <f>IF(Projets!AA69="","",Projets!AA69)</f>
        <v/>
      </c>
      <c r="AF171" s="481" t="str">
        <f>IF(Projets!AB69="","",Projets!AB69)</f>
        <v/>
      </c>
      <c r="AG171" s="481" t="str">
        <f>IF(Projets!AC69="","",Projets!AC69)</f>
        <v/>
      </c>
      <c r="AH171" s="481" t="str">
        <f>IF(Projets!AD69="","",Projets!AD69)</f>
        <v/>
      </c>
      <c r="AI171" s="144" t="str">
        <f>IF(Projets!AE69="","",Projets!AE69)</f>
        <v/>
      </c>
      <c r="AJ171" s="144" t="str">
        <f>IF(Projets!AF69="","",Projets!AF69)</f>
        <v/>
      </c>
      <c r="AK171" s="144" t="str">
        <f>IF(Projets!AG69="","",Projets!AG69)</f>
        <v/>
      </c>
    </row>
    <row r="172" spans="1:37" s="144" customFormat="1" ht="16.5" customHeight="1" x14ac:dyDescent="0.25">
      <c r="A172" s="181" t="s">
        <v>6514</v>
      </c>
      <c r="B172" s="802" t="s">
        <v>4520</v>
      </c>
      <c r="C172" s="806"/>
      <c r="D172" s="806"/>
      <c r="E172" s="806"/>
      <c r="F172" s="806"/>
      <c r="G172" s="749"/>
      <c r="H172" s="825"/>
      <c r="I172" s="667"/>
      <c r="J172" s="428"/>
      <c r="K172" s="483"/>
      <c r="L172" s="483"/>
      <c r="M172" s="483"/>
      <c r="N172" s="483"/>
      <c r="O172" s="483"/>
      <c r="P172" s="483"/>
      <c r="Q172" s="483"/>
      <c r="R172" s="483"/>
      <c r="S172" s="483"/>
      <c r="T172" s="483"/>
      <c r="U172" s="483"/>
      <c r="V172" s="483"/>
      <c r="W172" s="483"/>
      <c r="X172" s="483"/>
      <c r="Y172" s="483"/>
      <c r="Z172" s="483"/>
      <c r="AA172" s="483"/>
      <c r="AB172" s="483"/>
      <c r="AC172" s="483"/>
      <c r="AD172" s="483"/>
      <c r="AE172" s="483"/>
      <c r="AF172" s="483"/>
      <c r="AG172" s="483"/>
      <c r="AH172" s="483"/>
    </row>
    <row r="173" spans="1:37" s="144" customFormat="1" ht="13.5" customHeight="1" x14ac:dyDescent="0.25">
      <c r="A173" s="146"/>
      <c r="B173" s="1403">
        <f>COUNTIF(Scénarios!AB198:AB199,1)</f>
        <v>0</v>
      </c>
      <c r="C173" s="1404">
        <f>COUNTIF(Scénarios!AB198:AB199,2)</f>
        <v>0</v>
      </c>
      <c r="D173" s="1399">
        <f>COUNTIF(Scénarios!AB198:AB199,3)</f>
        <v>2</v>
      </c>
      <c r="E173" s="1402">
        <f>COUNTIF(Scénarios!AB198:AB199,4)</f>
        <v>0</v>
      </c>
      <c r="F173" s="1403">
        <f>SUM(B173:E173)</f>
        <v>2</v>
      </c>
      <c r="G173" s="314" t="s">
        <v>1983</v>
      </c>
      <c r="H173" s="317" t="s">
        <v>1960</v>
      </c>
      <c r="I173" s="341" t="str">
        <f>IF(Projets!D17=1,"Décidé",IF(Projets!C17=1,"Sélectionné",""))</f>
        <v/>
      </c>
      <c r="J173" s="666"/>
      <c r="K173" s="482" t="str">
        <f>IF(Projets!G17="","",Projets!G17)</f>
        <v>1E03</v>
      </c>
      <c r="L173" s="482">
        <f>ES1E03</f>
        <v>0</v>
      </c>
      <c r="M173" s="482">
        <f>IF(Projets!I17="","",Projets!I17)</f>
        <v>3</v>
      </c>
      <c r="N173" s="482" t="str">
        <f>IF(Projets!J17="","",Projets!J17)</f>
        <v/>
      </c>
      <c r="O173" s="482" t="str">
        <f>IF(Projets!K17="","",Projets!K17)</f>
        <v/>
      </c>
      <c r="P173" s="482" t="str">
        <f>IF(Projets!L17="","",Projets!L17)</f>
        <v/>
      </c>
      <c r="Q173" s="482" t="str">
        <f>IF(Projets!M17="","",Projets!M17)</f>
        <v/>
      </c>
      <c r="R173" s="482" t="str">
        <f>IF(Projets!N17="","",Projets!N17)</f>
        <v/>
      </c>
      <c r="S173" s="482" t="str">
        <f>IF(Projets!O17="","",Projets!O17)</f>
        <v/>
      </c>
      <c r="T173" s="482" t="str">
        <f>IF(Projets!P17="","",Projets!P17)</f>
        <v/>
      </c>
      <c r="U173" s="482" t="str">
        <f>IF(Projets!Q17="","",Projets!Q17)</f>
        <v/>
      </c>
      <c r="V173" s="482" t="str">
        <f>IF(Projets!R17="","",Projets!R17)</f>
        <v/>
      </c>
      <c r="W173" s="482" t="str">
        <f>IF(Projets!S17="","",Projets!S17)</f>
        <v/>
      </c>
      <c r="X173" s="482" t="str">
        <f>IF(Projets!T17="","",Projets!T17)</f>
        <v/>
      </c>
      <c r="Y173" s="482" t="str">
        <f>IF(Projets!U17="","",Projets!U17)</f>
        <v/>
      </c>
      <c r="Z173" s="482" t="str">
        <f>IF(Projets!V17="","",Projets!V17)</f>
        <v/>
      </c>
      <c r="AA173" s="482" t="str">
        <f>IF(Projets!W17="","",Projets!W17)</f>
        <v/>
      </c>
      <c r="AB173" s="482" t="str">
        <f>IF(Projets!X17="","",Projets!X17)</f>
        <v/>
      </c>
      <c r="AC173" s="482" t="str">
        <f>IF(Projets!Y17="","",Projets!Y17)</f>
        <v/>
      </c>
      <c r="AD173" s="482" t="str">
        <f>IF(Projets!Z17="","",Projets!Z17)</f>
        <v/>
      </c>
      <c r="AE173" s="482" t="str">
        <f>IF(Projets!AA17="","",Projets!AA17)</f>
        <v/>
      </c>
      <c r="AF173" s="482" t="str">
        <f>IF(Projets!AB17="","",Projets!AB17)</f>
        <v/>
      </c>
      <c r="AG173" s="482" t="str">
        <f>IF(Projets!AC17="","",Projets!AC17)</f>
        <v/>
      </c>
      <c r="AH173" s="482" t="str">
        <f>IF(Projets!AD17="","",Projets!AD17)</f>
        <v/>
      </c>
      <c r="AI173" s="144" t="str">
        <f>IF(Projets!AE17="","",Projets!AE17)</f>
        <v/>
      </c>
      <c r="AJ173" s="144" t="str">
        <f>IF(Projets!AF17="","",Projets!AF17)</f>
        <v/>
      </c>
      <c r="AK173" s="144" t="str">
        <f>IF(Projets!AG17="","",Projets!AG17)</f>
        <v/>
      </c>
    </row>
    <row r="174" spans="1:37" s="144" customFormat="1" ht="12.75" customHeight="1" x14ac:dyDescent="0.25">
      <c r="A174" s="147"/>
      <c r="B174" s="1400"/>
      <c r="C174" s="1400"/>
      <c r="D174" s="1400"/>
      <c r="E174" s="1400"/>
      <c r="F174" s="1400"/>
      <c r="G174" s="314" t="s">
        <v>1987</v>
      </c>
      <c r="H174" s="317" t="s">
        <v>1964</v>
      </c>
      <c r="I174" s="341" t="str">
        <f>IF(Projets!D14=1,"Décidé",IF(Projets!C14=1,"Sélectionné",""))</f>
        <v/>
      </c>
      <c r="J174" s="666"/>
      <c r="K174" s="482" t="str">
        <f>IF(Projets!G14="","",Projets!G14)</f>
        <v>4C04</v>
      </c>
      <c r="L174" s="482">
        <f>ES4C04</f>
        <v>1</v>
      </c>
      <c r="M174" s="482">
        <f>IF(Projets!I14="","",Projets!I14)</f>
        <v>3</v>
      </c>
      <c r="N174" s="482" t="str">
        <f>IF(Projets!J14="","",Projets!J14)</f>
        <v>5D02</v>
      </c>
      <c r="O174" s="482">
        <f>ES5D02</f>
        <v>0</v>
      </c>
      <c r="P174" s="482">
        <f>IF(Projets!L14="","",Projets!L14)</f>
        <v>3</v>
      </c>
      <c r="Q174" s="482" t="str">
        <f>IF(Projets!M14="","",Projets!M14)</f>
        <v/>
      </c>
      <c r="R174" s="482" t="str">
        <f>IF(Projets!N14="","",Projets!N14)</f>
        <v/>
      </c>
      <c r="S174" s="482" t="str">
        <f>IF(Projets!O14="","",Projets!O14)</f>
        <v/>
      </c>
      <c r="T174" s="482" t="str">
        <f>IF(Projets!P14="","",Projets!P14)</f>
        <v/>
      </c>
      <c r="U174" s="482" t="str">
        <f>IF(Projets!Q14="","",Projets!Q14)</f>
        <v/>
      </c>
      <c r="V174" s="482" t="str">
        <f>IF(Projets!R14="","",Projets!R14)</f>
        <v/>
      </c>
      <c r="W174" s="482" t="str">
        <f>IF(Projets!S14="","",Projets!S14)</f>
        <v/>
      </c>
      <c r="X174" s="482" t="str">
        <f>IF(Projets!T14="","",Projets!T14)</f>
        <v/>
      </c>
      <c r="Y174" s="482" t="str">
        <f>IF(Projets!U14="","",Projets!U14)</f>
        <v/>
      </c>
      <c r="Z174" s="482" t="str">
        <f>IF(Projets!V14="","",Projets!V14)</f>
        <v/>
      </c>
      <c r="AA174" s="482" t="str">
        <f>IF(Projets!W14="","",Projets!W14)</f>
        <v/>
      </c>
      <c r="AB174" s="482" t="str">
        <f>IF(Projets!X14="","",Projets!X14)</f>
        <v/>
      </c>
      <c r="AC174" s="482" t="str">
        <f>IF(Projets!Y14="","",Projets!Y14)</f>
        <v/>
      </c>
      <c r="AD174" s="482" t="str">
        <f>IF(Projets!Z14="","",Projets!Z14)</f>
        <v/>
      </c>
      <c r="AE174" s="482" t="str">
        <f>IF(Projets!AA14="","",Projets!AA14)</f>
        <v/>
      </c>
      <c r="AF174" s="482" t="str">
        <f>IF(Projets!AB14="","",Projets!AB14)</f>
        <v/>
      </c>
      <c r="AG174" s="482" t="str">
        <f>IF(Projets!AC14="","",Projets!AC14)</f>
        <v/>
      </c>
      <c r="AH174" s="482" t="str">
        <f>IF(Projets!AD14="","",Projets!AD14)</f>
        <v/>
      </c>
      <c r="AI174" s="144" t="str">
        <f>IF(Projets!AE14="","",Projets!AE14)</f>
        <v/>
      </c>
      <c r="AJ174" s="144" t="str">
        <f>IF(Projets!AF14="","",Projets!AF14)</f>
        <v/>
      </c>
      <c r="AK174" s="144" t="str">
        <f>IF(Projets!AG14="","",Projets!AG14)</f>
        <v/>
      </c>
    </row>
    <row r="175" spans="1:37" s="144" customFormat="1" ht="12" customHeight="1" x14ac:dyDescent="0.25">
      <c r="A175" s="148"/>
      <c r="B175" s="1401"/>
      <c r="C175" s="1401"/>
      <c r="D175" s="1401"/>
      <c r="E175" s="1401"/>
      <c r="F175" s="1401"/>
      <c r="G175" s="341"/>
      <c r="H175" s="349"/>
      <c r="I175" s="666"/>
      <c r="J175" s="429"/>
      <c r="K175" s="482"/>
      <c r="L175" s="482"/>
      <c r="M175" s="482"/>
      <c r="N175" s="482"/>
      <c r="O175" s="482"/>
      <c r="P175" s="482"/>
      <c r="Q175" s="482"/>
      <c r="R175" s="482"/>
      <c r="S175" s="482"/>
      <c r="T175" s="482"/>
      <c r="U175" s="482"/>
      <c r="V175" s="482"/>
      <c r="W175" s="482"/>
      <c r="X175" s="482"/>
      <c r="Y175" s="482"/>
      <c r="Z175" s="482"/>
      <c r="AA175" s="482"/>
      <c r="AB175" s="482"/>
      <c r="AC175" s="482"/>
      <c r="AD175" s="482"/>
      <c r="AE175" s="482"/>
      <c r="AF175" s="482"/>
      <c r="AG175" s="482"/>
      <c r="AH175" s="482"/>
    </row>
    <row r="176" spans="1:37" s="144" customFormat="1" ht="12" customHeight="1" x14ac:dyDescent="0.25">
      <c r="A176" s="147"/>
      <c r="B176" s="149"/>
      <c r="C176" s="149"/>
      <c r="D176" s="149"/>
      <c r="E176" s="149"/>
      <c r="F176" s="150"/>
      <c r="G176" s="314"/>
      <c r="H176" s="317"/>
      <c r="I176" s="666"/>
      <c r="J176" s="429"/>
      <c r="K176" s="481"/>
      <c r="L176" s="481"/>
      <c r="M176" s="481"/>
      <c r="N176" s="481"/>
      <c r="O176" s="481"/>
      <c r="P176" s="481"/>
      <c r="Q176" s="481"/>
      <c r="R176" s="481"/>
      <c r="S176" s="481"/>
      <c r="T176" s="481"/>
      <c r="U176" s="481"/>
      <c r="V176" s="481"/>
      <c r="W176" s="481"/>
      <c r="X176" s="481"/>
      <c r="Y176" s="481"/>
      <c r="Z176" s="481"/>
      <c r="AA176" s="481"/>
      <c r="AB176" s="481"/>
      <c r="AC176" s="481"/>
      <c r="AD176" s="481"/>
      <c r="AE176" s="481"/>
      <c r="AF176" s="481"/>
      <c r="AG176" s="481"/>
      <c r="AH176" s="481"/>
    </row>
    <row r="177" spans="1:37" s="144" customFormat="1" ht="16.5" customHeight="1" x14ac:dyDescent="0.25">
      <c r="A177" s="181" t="s">
        <v>6515</v>
      </c>
      <c r="B177" s="802" t="s">
        <v>4535</v>
      </c>
      <c r="C177" s="806"/>
      <c r="D177" s="806"/>
      <c r="E177" s="806"/>
      <c r="F177" s="806"/>
      <c r="G177" s="749"/>
      <c r="H177" s="825"/>
      <c r="I177" s="667"/>
      <c r="J177" s="428"/>
      <c r="K177" s="483"/>
      <c r="L177" s="483"/>
      <c r="M177" s="483"/>
      <c r="N177" s="483"/>
      <c r="O177" s="483"/>
      <c r="P177" s="483"/>
      <c r="Q177" s="483"/>
      <c r="R177" s="483"/>
      <c r="S177" s="483"/>
      <c r="T177" s="483"/>
      <c r="U177" s="483"/>
      <c r="V177" s="483"/>
      <c r="W177" s="483"/>
      <c r="X177" s="483"/>
      <c r="Y177" s="483"/>
      <c r="Z177" s="483"/>
      <c r="AA177" s="483"/>
      <c r="AB177" s="483"/>
      <c r="AC177" s="483"/>
      <c r="AD177" s="483"/>
      <c r="AE177" s="483"/>
      <c r="AF177" s="483"/>
      <c r="AG177" s="483"/>
      <c r="AH177" s="483"/>
    </row>
    <row r="178" spans="1:37" s="144" customFormat="1" ht="13.5" customHeight="1" x14ac:dyDescent="0.25">
      <c r="A178" s="146"/>
      <c r="B178" s="1403">
        <f>COUNTIF(Scénarios!AB201:AB201,1)</f>
        <v>0</v>
      </c>
      <c r="C178" s="1404">
        <f>COUNTIF(Scénarios!AB201:AB201,2)</f>
        <v>1</v>
      </c>
      <c r="D178" s="1399">
        <f>COUNTIF(Scénarios!AB201:AB201,3)</f>
        <v>0</v>
      </c>
      <c r="E178" s="1402">
        <f>COUNTIF(Scénarios!AB201:AB201,4)</f>
        <v>0</v>
      </c>
      <c r="F178" s="1403">
        <f>SUM(B178:E178)</f>
        <v>1</v>
      </c>
      <c r="G178" s="314" t="s">
        <v>3100</v>
      </c>
      <c r="H178" s="317" t="s">
        <v>3101</v>
      </c>
      <c r="I178" s="341" t="str">
        <f>IF(Projets!D56=1,"Décidé",IF(Projets!C56=1,"Sélectionné",""))</f>
        <v/>
      </c>
      <c r="J178" s="429"/>
      <c r="K178" s="482" t="str">
        <f>IF(Projets!G56="","",Projets!G56)</f>
        <v>5F03</v>
      </c>
      <c r="L178" s="482">
        <f>IF(Projets!H56="","",Projets!H56)</f>
        <v>1</v>
      </c>
      <c r="M178" s="482">
        <f>IF(Projets!I56="","",Projets!I56)</f>
        <v>4</v>
      </c>
      <c r="N178" s="482" t="str">
        <f>IF(Projets!J56="","",Projets!J56)</f>
        <v/>
      </c>
      <c r="O178" s="482" t="str">
        <f>IF(Projets!K56="","",Projets!K56)</f>
        <v/>
      </c>
      <c r="P178" s="482" t="str">
        <f>IF(Projets!L56="","",Projets!L56)</f>
        <v/>
      </c>
      <c r="Q178" s="482" t="str">
        <f>IF(Projets!M56="","",Projets!M56)</f>
        <v/>
      </c>
      <c r="R178" s="482" t="str">
        <f>IF(Projets!N56="","",Projets!N56)</f>
        <v/>
      </c>
      <c r="S178" s="482" t="str">
        <f>IF(Projets!O56="","",Projets!O56)</f>
        <v/>
      </c>
      <c r="T178" s="482" t="str">
        <f>IF(Projets!P56="","",Projets!P56)</f>
        <v/>
      </c>
      <c r="U178" s="482" t="str">
        <f>IF(Projets!Q56="","",Projets!Q56)</f>
        <v/>
      </c>
      <c r="V178" s="482" t="str">
        <f>IF(Projets!R56="","",Projets!R56)</f>
        <v/>
      </c>
      <c r="W178" s="482" t="str">
        <f>IF(Projets!S56="","",Projets!S56)</f>
        <v/>
      </c>
      <c r="X178" s="482" t="str">
        <f>IF(Projets!T56="","",Projets!T56)</f>
        <v/>
      </c>
      <c r="Y178" s="482" t="str">
        <f>IF(Projets!U56="","",Projets!U56)</f>
        <v/>
      </c>
      <c r="Z178" s="482" t="str">
        <f>IF(Projets!V56="","",Projets!V56)</f>
        <v/>
      </c>
      <c r="AA178" s="482" t="str">
        <f>IF(Projets!W56="","",Projets!W56)</f>
        <v/>
      </c>
      <c r="AB178" s="482" t="str">
        <f>IF(Projets!X56="","",Projets!X56)</f>
        <v/>
      </c>
      <c r="AC178" s="482" t="str">
        <f>IF(Projets!Y56="","",Projets!Y56)</f>
        <v/>
      </c>
      <c r="AD178" s="482" t="str">
        <f>IF(Projets!Z56="","",Projets!Z56)</f>
        <v/>
      </c>
      <c r="AE178" s="482" t="str">
        <f>IF(Projets!AA56="","",Projets!AA56)</f>
        <v/>
      </c>
      <c r="AF178" s="482" t="str">
        <f>IF(Projets!AB56="","",Projets!AB56)</f>
        <v/>
      </c>
      <c r="AG178" s="482" t="str">
        <f>IF(Projets!AC56="","",Projets!AC56)</f>
        <v/>
      </c>
      <c r="AH178" s="482" t="str">
        <f>IF(Projets!AD56="","",Projets!AD56)</f>
        <v/>
      </c>
      <c r="AI178" s="144" t="str">
        <f>IF(Projets!AE56="","",Projets!AE56)</f>
        <v/>
      </c>
      <c r="AJ178" s="144" t="str">
        <f>IF(Projets!AF56="","",Projets!AF56)</f>
        <v/>
      </c>
      <c r="AK178" s="144" t="str">
        <f>IF(Projets!AG56="","",Projets!AG56)</f>
        <v/>
      </c>
    </row>
    <row r="179" spans="1:37" s="144" customFormat="1" ht="12.75" customHeight="1" x14ac:dyDescent="0.25">
      <c r="A179" s="147"/>
      <c r="B179" s="1400"/>
      <c r="C179" s="1400"/>
      <c r="D179" s="1400"/>
      <c r="E179" s="1400"/>
      <c r="F179" s="1400"/>
      <c r="G179" s="314"/>
      <c r="H179" s="317"/>
      <c r="I179" s="666"/>
      <c r="J179" s="429"/>
      <c r="K179" s="482"/>
      <c r="L179" s="482"/>
      <c r="M179" s="482"/>
      <c r="N179" s="482"/>
      <c r="O179" s="482"/>
      <c r="P179" s="482"/>
      <c r="Q179" s="482"/>
      <c r="R179" s="482"/>
      <c r="S179" s="482"/>
      <c r="T179" s="482"/>
      <c r="U179" s="482"/>
      <c r="V179" s="482"/>
      <c r="W179" s="482"/>
      <c r="X179" s="482"/>
      <c r="Y179" s="482"/>
      <c r="Z179" s="482"/>
      <c r="AA179" s="482"/>
      <c r="AB179" s="482"/>
      <c r="AC179" s="482"/>
      <c r="AD179" s="482"/>
      <c r="AE179" s="482"/>
      <c r="AF179" s="482"/>
      <c r="AG179" s="482"/>
      <c r="AH179" s="482"/>
    </row>
    <row r="180" spans="1:37" s="144" customFormat="1" ht="12" customHeight="1" x14ac:dyDescent="0.25">
      <c r="A180" s="148"/>
      <c r="B180" s="1401"/>
      <c r="C180" s="1401"/>
      <c r="D180" s="1401"/>
      <c r="E180" s="1401"/>
      <c r="F180" s="1401"/>
      <c r="G180" s="341"/>
      <c r="H180" s="349"/>
      <c r="I180" s="666"/>
      <c r="J180" s="429"/>
      <c r="K180" s="482"/>
      <c r="L180" s="482"/>
      <c r="M180" s="482"/>
      <c r="N180" s="482"/>
      <c r="O180" s="482"/>
      <c r="P180" s="482"/>
      <c r="Q180" s="482"/>
      <c r="R180" s="482"/>
      <c r="S180" s="482"/>
      <c r="T180" s="482"/>
      <c r="U180" s="482"/>
      <c r="V180" s="482"/>
      <c r="W180" s="482"/>
      <c r="X180" s="482"/>
      <c r="Y180" s="482"/>
      <c r="Z180" s="482"/>
      <c r="AA180" s="482"/>
      <c r="AB180" s="482"/>
      <c r="AC180" s="482"/>
      <c r="AD180" s="482"/>
      <c r="AE180" s="482"/>
      <c r="AF180" s="482"/>
      <c r="AG180" s="482"/>
      <c r="AH180" s="482"/>
    </row>
    <row r="181" spans="1:37" s="144" customFormat="1" ht="12" customHeight="1" x14ac:dyDescent="0.25">
      <c r="A181" s="147"/>
      <c r="B181" s="149"/>
      <c r="C181" s="149"/>
      <c r="D181" s="149"/>
      <c r="E181" s="149"/>
      <c r="F181" s="150"/>
      <c r="G181" s="314"/>
      <c r="H181" s="317"/>
      <c r="I181" s="666"/>
      <c r="J181" s="429"/>
      <c r="K181" s="481"/>
      <c r="L181" s="481"/>
      <c r="M181" s="481"/>
      <c r="N181" s="481"/>
      <c r="O181" s="481"/>
      <c r="P181" s="481"/>
      <c r="Q181" s="481"/>
      <c r="R181" s="481"/>
      <c r="S181" s="481"/>
      <c r="T181" s="481"/>
      <c r="U181" s="481"/>
      <c r="V181" s="481"/>
      <c r="W181" s="481"/>
      <c r="X181" s="481"/>
      <c r="Y181" s="481"/>
      <c r="Z181" s="481"/>
      <c r="AA181" s="481"/>
      <c r="AB181" s="481"/>
      <c r="AC181" s="481"/>
      <c r="AD181" s="481"/>
      <c r="AE181" s="481"/>
      <c r="AF181" s="481"/>
      <c r="AG181" s="481"/>
      <c r="AH181" s="481"/>
    </row>
    <row r="182" spans="1:37" s="144" customFormat="1" ht="16.5" customHeight="1" x14ac:dyDescent="0.25">
      <c r="A182" s="181" t="s">
        <v>6517</v>
      </c>
      <c r="B182" s="802" t="s">
        <v>4536</v>
      </c>
      <c r="C182" s="806"/>
      <c r="D182" s="806"/>
      <c r="E182" s="806"/>
      <c r="F182" s="806"/>
      <c r="G182" s="749"/>
      <c r="H182" s="825"/>
      <c r="I182" s="667"/>
      <c r="J182" s="428"/>
      <c r="K182" s="483"/>
      <c r="L182" s="483"/>
      <c r="M182" s="483"/>
      <c r="N182" s="483"/>
      <c r="O182" s="483"/>
      <c r="P182" s="483"/>
      <c r="Q182" s="483"/>
      <c r="R182" s="483"/>
      <c r="S182" s="483"/>
      <c r="T182" s="483"/>
      <c r="U182" s="483"/>
      <c r="V182" s="483"/>
      <c r="W182" s="483"/>
      <c r="X182" s="483"/>
      <c r="Y182" s="483"/>
      <c r="Z182" s="483"/>
      <c r="AA182" s="483"/>
      <c r="AB182" s="483"/>
      <c r="AC182" s="483"/>
      <c r="AD182" s="483"/>
      <c r="AE182" s="483"/>
      <c r="AF182" s="483"/>
      <c r="AG182" s="483"/>
      <c r="AH182" s="483"/>
    </row>
    <row r="183" spans="1:37" s="144" customFormat="1" ht="13.5" customHeight="1" x14ac:dyDescent="0.25">
      <c r="A183" s="146"/>
      <c r="B183" s="1403">
        <f>COUNTIF(Scénarios!AB203:AB203,1)</f>
        <v>0</v>
      </c>
      <c r="C183" s="1404">
        <f>COUNTIF(Scénarios!AB203:AB203,2)</f>
        <v>1</v>
      </c>
      <c r="D183" s="1399">
        <f>COUNTIF(Scénarios!AB203:AB203,3)</f>
        <v>0</v>
      </c>
      <c r="E183" s="1402">
        <f>COUNTIF(Scénarios!AB203:AB203,4)</f>
        <v>0</v>
      </c>
      <c r="F183" s="1403">
        <f>SUM(B183:E183)</f>
        <v>1</v>
      </c>
      <c r="G183" s="314" t="s">
        <v>6550</v>
      </c>
      <c r="H183" s="317" t="s">
        <v>6561</v>
      </c>
      <c r="I183" s="341" t="str">
        <f>IF(Projets!D38=1,"Décidé",IF(Projets!C38=1,"Sélectionné",""))</f>
        <v/>
      </c>
      <c r="J183" s="429"/>
      <c r="K183" s="482" t="str">
        <f>IF(Projets!G38="","",Projets!G38)</f>
        <v>4A10</v>
      </c>
      <c r="L183" s="482">
        <f>IF(Projets!H38="","",Projets!H38)</f>
        <v>1</v>
      </c>
      <c r="M183" s="482">
        <f>IF(Projets!I38="","",Projets!I38)</f>
        <v>3</v>
      </c>
      <c r="N183" s="482" t="str">
        <f>IF(Projets!J38="","",Projets!J38)</f>
        <v>4C05</v>
      </c>
      <c r="O183" s="482">
        <f>IF(Projets!K38="","",Projets!K38)</f>
        <v>1</v>
      </c>
      <c r="P183" s="482">
        <f>IF(Projets!L38="","",Projets!L38)</f>
        <v>3</v>
      </c>
      <c r="Q183" s="482" t="str">
        <f>IF(Projets!M38="","",Projets!M38)</f>
        <v>5C03</v>
      </c>
      <c r="R183" s="482">
        <f>IF(Projets!N38="","",Projets!N38)</f>
        <v>1</v>
      </c>
      <c r="S183" s="482">
        <f>IF(Projets!O38="","",Projets!O38)</f>
        <v>3</v>
      </c>
      <c r="T183" s="482" t="str">
        <f>IF(Projets!P38="","",Projets!P38)</f>
        <v/>
      </c>
      <c r="U183" s="482" t="str">
        <f>IF(Projets!Q38="","",Projets!Q38)</f>
        <v/>
      </c>
      <c r="V183" s="482" t="str">
        <f>IF(Projets!R38="","",Projets!R38)</f>
        <v/>
      </c>
      <c r="W183" s="482" t="str">
        <f>IF(Projets!S38="","",Projets!S38)</f>
        <v/>
      </c>
      <c r="X183" s="482" t="str">
        <f>IF(Projets!T38="","",Projets!T38)</f>
        <v/>
      </c>
      <c r="Y183" s="482" t="str">
        <f>IF(Projets!U38="","",Projets!U38)</f>
        <v/>
      </c>
      <c r="Z183" s="482" t="str">
        <f>IF(Projets!V38="","",Projets!V38)</f>
        <v/>
      </c>
      <c r="AA183" s="482" t="str">
        <f>IF(Projets!W38="","",Projets!W38)</f>
        <v/>
      </c>
      <c r="AB183" s="482" t="str">
        <f>IF(Projets!X38="","",Projets!X38)</f>
        <v/>
      </c>
      <c r="AC183" s="482" t="str">
        <f>IF(Projets!Y38="","",Projets!Y38)</f>
        <v/>
      </c>
      <c r="AD183" s="482" t="str">
        <f>IF(Projets!Z38="","",Projets!Z38)</f>
        <v/>
      </c>
      <c r="AE183" s="482" t="str">
        <f>IF(Projets!AA38="","",Projets!AA38)</f>
        <v/>
      </c>
      <c r="AF183" s="482" t="str">
        <f>IF(Projets!AB38="","",Projets!AB38)</f>
        <v/>
      </c>
      <c r="AG183" s="482" t="str">
        <f>IF(Projets!AC38="","",Projets!AC38)</f>
        <v/>
      </c>
      <c r="AH183" s="482" t="str">
        <f>IF(Projets!AD38="","",Projets!AD38)</f>
        <v/>
      </c>
      <c r="AI183" s="144" t="str">
        <f>IF(Projets!AE38="","",Projets!AE38)</f>
        <v/>
      </c>
      <c r="AJ183" s="144" t="str">
        <f>IF(Projets!AF38="","",Projets!AF38)</f>
        <v/>
      </c>
      <c r="AK183" s="144" t="str">
        <f>IF(Projets!AG38="","",Projets!AG38)</f>
        <v/>
      </c>
    </row>
    <row r="184" spans="1:37" s="144" customFormat="1" ht="12.75" customHeight="1" x14ac:dyDescent="0.25">
      <c r="A184" s="147"/>
      <c r="B184" s="1400"/>
      <c r="C184" s="1400"/>
      <c r="D184" s="1400"/>
      <c r="E184" s="1400"/>
      <c r="F184" s="1400"/>
      <c r="G184" s="314"/>
      <c r="H184" s="317"/>
      <c r="I184" s="666"/>
      <c r="J184" s="429"/>
      <c r="K184" s="482"/>
      <c r="L184" s="482"/>
      <c r="M184" s="482"/>
      <c r="N184" s="482"/>
      <c r="O184" s="482"/>
      <c r="P184" s="482"/>
      <c r="Q184" s="482"/>
      <c r="R184" s="482"/>
      <c r="S184" s="482"/>
      <c r="T184" s="482"/>
      <c r="U184" s="482"/>
      <c r="V184" s="482"/>
      <c r="W184" s="482"/>
      <c r="X184" s="482"/>
      <c r="Y184" s="482"/>
      <c r="Z184" s="482"/>
      <c r="AA184" s="482"/>
      <c r="AB184" s="482"/>
      <c r="AC184" s="482"/>
      <c r="AD184" s="482"/>
      <c r="AE184" s="482"/>
      <c r="AF184" s="482"/>
      <c r="AG184" s="482"/>
      <c r="AH184" s="482"/>
    </row>
    <row r="185" spans="1:37" s="144" customFormat="1" ht="12" customHeight="1" x14ac:dyDescent="0.25">
      <c r="A185" s="148"/>
      <c r="B185" s="1401"/>
      <c r="C185" s="1401"/>
      <c r="D185" s="1401"/>
      <c r="E185" s="1401"/>
      <c r="F185" s="1401"/>
      <c r="G185" s="341"/>
      <c r="H185" s="349"/>
      <c r="I185" s="666"/>
      <c r="J185" s="429"/>
      <c r="K185" s="482"/>
      <c r="L185" s="482"/>
      <c r="M185" s="482"/>
      <c r="N185" s="482"/>
      <c r="O185" s="482"/>
      <c r="P185" s="482"/>
      <c r="Q185" s="482"/>
      <c r="R185" s="482"/>
      <c r="S185" s="482"/>
      <c r="T185" s="482"/>
      <c r="U185" s="482"/>
      <c r="V185" s="482"/>
      <c r="W185" s="482"/>
      <c r="X185" s="482"/>
      <c r="Y185" s="482"/>
      <c r="Z185" s="482"/>
      <c r="AA185" s="482"/>
      <c r="AB185" s="482"/>
      <c r="AC185" s="482"/>
      <c r="AD185" s="482"/>
      <c r="AE185" s="482"/>
      <c r="AF185" s="482"/>
      <c r="AG185" s="482"/>
      <c r="AH185" s="482"/>
    </row>
    <row r="186" spans="1:37" s="144" customFormat="1" ht="12" customHeight="1" x14ac:dyDescent="0.25">
      <c r="A186" s="147"/>
      <c r="B186" s="149"/>
      <c r="C186" s="149"/>
      <c r="D186" s="149"/>
      <c r="E186" s="149"/>
      <c r="F186" s="150"/>
      <c r="G186" s="314"/>
      <c r="H186" s="317"/>
      <c r="I186" s="666"/>
      <c r="J186" s="429"/>
      <c r="K186" s="481"/>
      <c r="L186" s="481"/>
      <c r="M186" s="481"/>
      <c r="N186" s="481"/>
      <c r="O186" s="481"/>
      <c r="P186" s="481"/>
      <c r="Q186" s="481"/>
      <c r="R186" s="481"/>
      <c r="S186" s="481"/>
      <c r="T186" s="481"/>
      <c r="U186" s="481"/>
      <c r="V186" s="481"/>
      <c r="W186" s="481"/>
      <c r="X186" s="481"/>
      <c r="Y186" s="481"/>
      <c r="Z186" s="481"/>
      <c r="AA186" s="481"/>
      <c r="AB186" s="481"/>
      <c r="AC186" s="481"/>
      <c r="AD186" s="481"/>
      <c r="AE186" s="481"/>
      <c r="AF186" s="481"/>
      <c r="AG186" s="481"/>
      <c r="AH186" s="481"/>
    </row>
    <row r="187" spans="1:37" s="144" customFormat="1" ht="16.5" customHeight="1" x14ac:dyDescent="0.25">
      <c r="A187" s="181" t="s">
        <v>6519</v>
      </c>
      <c r="B187" s="802" t="s">
        <v>4537</v>
      </c>
      <c r="C187" s="806"/>
      <c r="D187" s="806"/>
      <c r="E187" s="806"/>
      <c r="F187" s="806"/>
      <c r="G187" s="749"/>
      <c r="H187" s="825"/>
      <c r="I187" s="667"/>
      <c r="J187" s="428"/>
      <c r="K187" s="483"/>
      <c r="L187" s="483"/>
      <c r="M187" s="483"/>
      <c r="N187" s="483"/>
      <c r="O187" s="483"/>
      <c r="P187" s="483"/>
      <c r="Q187" s="483"/>
      <c r="R187" s="483"/>
      <c r="S187" s="483"/>
      <c r="T187" s="483"/>
      <c r="U187" s="483"/>
      <c r="V187" s="483"/>
      <c r="W187" s="483"/>
      <c r="X187" s="483"/>
      <c r="Y187" s="483"/>
      <c r="Z187" s="483"/>
      <c r="AA187" s="483"/>
      <c r="AB187" s="483"/>
      <c r="AC187" s="483"/>
      <c r="AD187" s="483"/>
      <c r="AE187" s="483"/>
      <c r="AF187" s="483"/>
      <c r="AG187" s="483"/>
      <c r="AH187" s="483"/>
    </row>
    <row r="188" spans="1:37" s="144" customFormat="1" ht="13.5" customHeight="1" x14ac:dyDescent="0.25">
      <c r="A188" s="146"/>
      <c r="B188" s="1403">
        <f>COUNTIF(Scénarios!AB205:AB207,1)</f>
        <v>0</v>
      </c>
      <c r="C188" s="1404">
        <f>COUNTIF(Scénarios!AB205:AB207,2)</f>
        <v>3</v>
      </c>
      <c r="D188" s="1399">
        <f>COUNTIF(Scénarios!AB205:AB207,3)</f>
        <v>0</v>
      </c>
      <c r="E188" s="1402">
        <f>COUNTIF(Scénarios!AB205:AB207,4)</f>
        <v>0</v>
      </c>
      <c r="F188" s="1403">
        <f>SUM(B188:E188)</f>
        <v>3</v>
      </c>
      <c r="G188" s="314" t="s">
        <v>1976</v>
      </c>
      <c r="H188" s="317" t="s">
        <v>731</v>
      </c>
      <c r="I188" s="341" t="str">
        <f>IF(Projets!D25=1,"Décidé",IF(Projets!C25=1,"Sélectionné",""))</f>
        <v/>
      </c>
      <c r="J188" s="429"/>
      <c r="K188" s="758" t="str">
        <f>IF(Projets!G25="","",Projets!G25)</f>
        <v>3A02</v>
      </c>
      <c r="L188" s="758">
        <f>IF(Projets!H25="","",Projets!H25)</f>
        <v>0</v>
      </c>
      <c r="M188" s="743">
        <f>IF(Projets!I25="","",Projets!I25)</f>
        <v>4</v>
      </c>
      <c r="N188" s="758" t="str">
        <f>IF(Projets!J25="","",Projets!J25)</f>
        <v>3A04</v>
      </c>
      <c r="O188" s="758">
        <f>IF(Projets!K25="","",Projets!K25)</f>
        <v>1</v>
      </c>
      <c r="P188" s="743">
        <f>IF(Projets!L25="","",Projets!L25)</f>
        <v>4</v>
      </c>
      <c r="Q188" s="758" t="str">
        <f>IF(Projets!M25="","",Projets!M25)</f>
        <v>3A06</v>
      </c>
      <c r="R188" s="758">
        <f>IF(Projets!N25="","",Projets!N25)</f>
        <v>0</v>
      </c>
      <c r="S188" s="743">
        <f>IF(Projets!O25="","",Projets!O25)</f>
        <v>4</v>
      </c>
      <c r="T188" s="758" t="str">
        <f>IF(Projets!P25="","",Projets!P25)</f>
        <v>3A07</v>
      </c>
      <c r="U188" s="758">
        <f>IF(Projets!Q25="","",Projets!Q25)</f>
        <v>0</v>
      </c>
      <c r="V188" s="743">
        <f>IF(Projets!R25="","",Projets!R25)</f>
        <v>4</v>
      </c>
      <c r="W188" s="482" t="str">
        <f>IF(Projets!S25="","",Projets!S25)</f>
        <v/>
      </c>
      <c r="X188" s="482" t="str">
        <f>IF(Projets!T25="","",Projets!T25)</f>
        <v/>
      </c>
      <c r="Y188" s="482" t="str">
        <f>IF(Projets!U25="","",Projets!U25)</f>
        <v/>
      </c>
      <c r="Z188" s="482" t="str">
        <f>IF(Projets!V25="","",Projets!V25)</f>
        <v/>
      </c>
      <c r="AA188" s="482" t="str">
        <f>IF(Projets!W25="","",Projets!W25)</f>
        <v/>
      </c>
      <c r="AB188" s="482" t="str">
        <f>IF(Projets!X25="","",Projets!X25)</f>
        <v/>
      </c>
      <c r="AC188" s="482" t="str">
        <f>IF(Projets!Y25="","",Projets!Y25)</f>
        <v/>
      </c>
      <c r="AD188" s="482" t="str">
        <f>IF(Projets!Z25="","",Projets!Z25)</f>
        <v/>
      </c>
      <c r="AE188" s="482" t="str">
        <f>IF(Projets!AA25="","",Projets!AA25)</f>
        <v/>
      </c>
      <c r="AF188" s="482" t="str">
        <f>IF(Projets!AB25="","",Projets!AB25)</f>
        <v/>
      </c>
      <c r="AG188" s="482" t="str">
        <f>IF(Projets!AC25="","",Projets!AC25)</f>
        <v/>
      </c>
      <c r="AH188" s="482" t="str">
        <f>IF(Projets!AD25="","",Projets!AD25)</f>
        <v/>
      </c>
      <c r="AI188" s="144" t="str">
        <f>IF(Projets!AE25="","",Projets!AE25)</f>
        <v/>
      </c>
      <c r="AJ188" s="144" t="str">
        <f>IF(Projets!AF25="","",Projets!AF25)</f>
        <v/>
      </c>
      <c r="AK188" s="144" t="str">
        <f>IF(Projets!AG25="","",Projets!AG25)</f>
        <v/>
      </c>
    </row>
    <row r="189" spans="1:37" s="144" customFormat="1" ht="12.75" customHeight="1" x14ac:dyDescent="0.25">
      <c r="A189" s="147"/>
      <c r="B189" s="1400"/>
      <c r="C189" s="1400"/>
      <c r="D189" s="1400"/>
      <c r="E189" s="1400"/>
      <c r="F189" s="1400"/>
      <c r="G189" s="314" t="s">
        <v>1979</v>
      </c>
      <c r="H189" s="317" t="s">
        <v>4672</v>
      </c>
      <c r="I189" s="341" t="str">
        <f>IF(Projets!D32=1,"Décidé",IF(Projets!C32=1,"Sélectionné",""))</f>
        <v/>
      </c>
      <c r="J189" s="429"/>
      <c r="K189" s="482" t="str">
        <f>IF(Projets!G32="","",Projets!G32)</f>
        <v>4B01</v>
      </c>
      <c r="L189" s="482">
        <f>IF(Projets!H32="","",Projets!H32)</f>
        <v>1</v>
      </c>
      <c r="M189" s="482">
        <f>IF(Projets!I32="","",Projets!I32)</f>
        <v>4</v>
      </c>
      <c r="N189" s="482" t="str">
        <f>IF(Projets!J32="","",Projets!J32)</f>
        <v>5A06</v>
      </c>
      <c r="O189" s="482">
        <f>IF(Projets!K32="","",Projets!K32)</f>
        <v>1</v>
      </c>
      <c r="P189" s="482">
        <f>IF(Projets!L32="","",Projets!L32)</f>
        <v>4</v>
      </c>
      <c r="Q189" s="482" t="str">
        <f>IF(Projets!M32="","",Projets!M32)</f>
        <v/>
      </c>
      <c r="R189" s="482" t="str">
        <f>IF(Projets!N32="","",Projets!N32)</f>
        <v/>
      </c>
      <c r="S189" s="482" t="str">
        <f>IF(Projets!O32="","",Projets!O32)</f>
        <v/>
      </c>
      <c r="T189" s="482" t="str">
        <f>IF(Projets!P32="","",Projets!P32)</f>
        <v/>
      </c>
      <c r="U189" s="482" t="str">
        <f>IF(Projets!Q32="","",Projets!Q32)</f>
        <v/>
      </c>
      <c r="V189" s="482" t="str">
        <f>IF(Projets!R32="","",Projets!R32)</f>
        <v/>
      </c>
      <c r="W189" s="482" t="str">
        <f>IF(Projets!S32="","",Projets!S32)</f>
        <v/>
      </c>
      <c r="X189" s="482" t="str">
        <f>IF(Projets!T32="","",Projets!T32)</f>
        <v/>
      </c>
      <c r="Y189" s="482" t="str">
        <f>IF(Projets!U32="","",Projets!U32)</f>
        <v/>
      </c>
      <c r="Z189" s="482" t="str">
        <f>IF(Projets!V32="","",Projets!V32)</f>
        <v/>
      </c>
      <c r="AA189" s="482" t="str">
        <f>IF(Projets!W32="","",Projets!W32)</f>
        <v/>
      </c>
      <c r="AB189" s="482" t="str">
        <f>IF(Projets!X32="","",Projets!X32)</f>
        <v/>
      </c>
      <c r="AC189" s="482" t="str">
        <f>IF(Projets!Y32="","",Projets!Y32)</f>
        <v/>
      </c>
      <c r="AD189" s="482" t="str">
        <f>IF(Projets!Z32="","",Projets!Z32)</f>
        <v/>
      </c>
      <c r="AE189" s="482" t="str">
        <f>IF(Projets!AA32="","",Projets!AA32)</f>
        <v/>
      </c>
      <c r="AF189" s="482" t="str">
        <f>IF(Projets!AB32="","",Projets!AB32)</f>
        <v/>
      </c>
      <c r="AG189" s="482" t="str">
        <f>IF(Projets!AC32="","",Projets!AC32)</f>
        <v/>
      </c>
      <c r="AH189" s="482" t="str">
        <f>IF(Projets!AD32="","",Projets!AD32)</f>
        <v/>
      </c>
      <c r="AI189" s="144" t="str">
        <f>IF(Projets!AE32="","",Projets!AE32)</f>
        <v/>
      </c>
      <c r="AJ189" s="144" t="str">
        <f>IF(Projets!AF32="","",Projets!AF32)</f>
        <v/>
      </c>
      <c r="AK189" s="144" t="str">
        <f>IF(Projets!AG32="","",Projets!AG32)</f>
        <v/>
      </c>
    </row>
    <row r="190" spans="1:37" s="144" customFormat="1" ht="12" customHeight="1" x14ac:dyDescent="0.25">
      <c r="A190" s="148"/>
      <c r="B190" s="1401"/>
      <c r="C190" s="1401"/>
      <c r="D190" s="1401"/>
      <c r="E190" s="1401"/>
      <c r="F190" s="1401"/>
      <c r="G190" s="341" t="s">
        <v>6558</v>
      </c>
      <c r="H190" s="349" t="s">
        <v>6560</v>
      </c>
      <c r="I190" s="341" t="str">
        <f>IF(Projets!D36=1,"Décidé",IF(Projets!C36=1,"Sélectionné",""))</f>
        <v/>
      </c>
      <c r="J190" s="429"/>
      <c r="K190" s="482" t="str">
        <f>IF(Projets!G36="","",Projets!G36)</f>
        <v>3A08</v>
      </c>
      <c r="L190" s="482">
        <f>IF(Projets!H36="","",Projets!H36)</f>
        <v>0</v>
      </c>
      <c r="M190" s="482">
        <f>IF(Projets!I36="","",Projets!I36)</f>
        <v>4</v>
      </c>
      <c r="N190" s="482" t="str">
        <f>IF(Projets!J36="","",Projets!J36)</f>
        <v>4A11</v>
      </c>
      <c r="O190" s="482">
        <f>IF(Projets!K36="","",Projets!K36)</f>
        <v>1</v>
      </c>
      <c r="P190" s="482">
        <f>IF(Projets!L36="","",Projets!L36)</f>
        <v>4</v>
      </c>
      <c r="Q190" s="482" t="str">
        <f>IF(Projets!M36="","",Projets!M36)</f>
        <v/>
      </c>
      <c r="R190" s="482" t="str">
        <f>IF(Projets!N36="","",Projets!N36)</f>
        <v/>
      </c>
      <c r="S190" s="482" t="str">
        <f>IF(Projets!O36="","",Projets!O36)</f>
        <v/>
      </c>
      <c r="T190" s="482" t="str">
        <f>IF(Projets!P36="","",Projets!P36)</f>
        <v/>
      </c>
      <c r="U190" s="482" t="str">
        <f>IF(Projets!Q36="","",Projets!Q36)</f>
        <v/>
      </c>
      <c r="V190" s="482" t="str">
        <f>IF(Projets!R36="","",Projets!R36)</f>
        <v/>
      </c>
      <c r="W190" s="482" t="str">
        <f>IF(Projets!S36="","",Projets!S36)</f>
        <v/>
      </c>
      <c r="X190" s="482" t="str">
        <f>IF(Projets!T36="","",Projets!T36)</f>
        <v/>
      </c>
      <c r="Y190" s="482" t="str">
        <f>IF(Projets!U36="","",Projets!U36)</f>
        <v/>
      </c>
      <c r="Z190" s="482" t="str">
        <f>IF(Projets!V36="","",Projets!V36)</f>
        <v/>
      </c>
      <c r="AA190" s="482" t="str">
        <f>IF(Projets!W36="","",Projets!W36)</f>
        <v/>
      </c>
      <c r="AB190" s="482" t="str">
        <f>IF(Projets!X36="","",Projets!X36)</f>
        <v/>
      </c>
      <c r="AC190" s="482" t="str">
        <f>IF(Projets!Y36="","",Projets!Y36)</f>
        <v/>
      </c>
      <c r="AD190" s="482" t="str">
        <f>IF(Projets!Z36="","",Projets!Z36)</f>
        <v/>
      </c>
      <c r="AE190" s="482" t="str">
        <f>IF(Projets!AA36="","",Projets!AA36)</f>
        <v/>
      </c>
      <c r="AF190" s="482" t="str">
        <f>IF(Projets!AB36="","",Projets!AB36)</f>
        <v/>
      </c>
      <c r="AG190" s="482" t="str">
        <f>IF(Projets!AC36="","",Projets!AC36)</f>
        <v/>
      </c>
      <c r="AH190" s="482" t="str">
        <f>IF(Projets!AD36="","",Projets!AD36)</f>
        <v/>
      </c>
      <c r="AI190" s="144" t="str">
        <f>IF(Projets!AE36="","",Projets!AE36)</f>
        <v/>
      </c>
      <c r="AJ190" s="144" t="str">
        <f>IF(Projets!AF36="","",Projets!AF36)</f>
        <v/>
      </c>
      <c r="AK190" s="144" t="str">
        <f>IF(Projets!AG36="","",Projets!AG36)</f>
        <v/>
      </c>
    </row>
    <row r="191" spans="1:37" s="144" customFormat="1" ht="12" customHeight="1" x14ac:dyDescent="0.25">
      <c r="A191" s="147"/>
      <c r="B191" s="149"/>
      <c r="C191" s="149"/>
      <c r="D191" s="149"/>
      <c r="E191" s="149"/>
      <c r="F191" s="150"/>
      <c r="G191" s="314"/>
      <c r="H191" s="317"/>
      <c r="I191" s="666"/>
      <c r="J191" s="429"/>
      <c r="K191" s="481"/>
      <c r="L191" s="481"/>
      <c r="M191" s="481"/>
      <c r="N191" s="481"/>
      <c r="O191" s="481"/>
      <c r="P191" s="481"/>
      <c r="Q191" s="481"/>
      <c r="R191" s="481"/>
      <c r="S191" s="481"/>
      <c r="T191" s="481"/>
      <c r="U191" s="481"/>
      <c r="V191" s="481"/>
      <c r="W191" s="481"/>
      <c r="X191" s="481"/>
      <c r="Y191" s="481"/>
      <c r="Z191" s="481"/>
      <c r="AA191" s="481"/>
      <c r="AB191" s="481"/>
      <c r="AC191" s="481"/>
      <c r="AD191" s="481"/>
      <c r="AE191" s="481"/>
      <c r="AF191" s="481"/>
      <c r="AG191" s="481"/>
      <c r="AH191" s="481"/>
    </row>
    <row r="192" spans="1:37" s="144" customFormat="1" ht="16.5" customHeight="1" x14ac:dyDescent="0.25">
      <c r="A192" s="181" t="s">
        <v>6523</v>
      </c>
      <c r="B192" s="802" t="s">
        <v>4538</v>
      </c>
      <c r="C192" s="806"/>
      <c r="D192" s="806"/>
      <c r="E192" s="806"/>
      <c r="F192" s="806"/>
      <c r="G192" s="749"/>
      <c r="H192" s="825"/>
      <c r="I192" s="667"/>
      <c r="J192" s="428"/>
      <c r="K192" s="483"/>
      <c r="L192" s="483"/>
      <c r="M192" s="483"/>
      <c r="N192" s="483"/>
      <c r="O192" s="483"/>
      <c r="P192" s="483"/>
      <c r="Q192" s="483"/>
      <c r="R192" s="483"/>
      <c r="S192" s="483"/>
      <c r="T192" s="483"/>
      <c r="U192" s="483"/>
      <c r="V192" s="483"/>
      <c r="W192" s="483"/>
      <c r="X192" s="483"/>
      <c r="Y192" s="483"/>
      <c r="Z192" s="483"/>
      <c r="AA192" s="483"/>
      <c r="AB192" s="483"/>
      <c r="AC192" s="483"/>
      <c r="AD192" s="483"/>
      <c r="AE192" s="483"/>
      <c r="AF192" s="483"/>
      <c r="AG192" s="483"/>
      <c r="AH192" s="483"/>
    </row>
    <row r="193" spans="1:37" s="144" customFormat="1" ht="13.5" customHeight="1" x14ac:dyDescent="0.25">
      <c r="A193" s="146"/>
      <c r="B193" s="1403">
        <f>COUNTIF(Scénarios!AB209:AB211,1)</f>
        <v>0</v>
      </c>
      <c r="C193" s="1404">
        <f>COUNTIF(Scénarios!AB209:AB211,2)</f>
        <v>3</v>
      </c>
      <c r="D193" s="1399">
        <f>COUNTIF(Scénarios!AB209:AB211,3)</f>
        <v>0</v>
      </c>
      <c r="E193" s="1402">
        <f>COUNTIF(Scénarios!AB209:AB211,4)</f>
        <v>0</v>
      </c>
      <c r="F193" s="1403">
        <f>SUM(B193:E193)</f>
        <v>3</v>
      </c>
      <c r="G193" s="314" t="s">
        <v>1982</v>
      </c>
      <c r="H193" s="317" t="s">
        <v>4660</v>
      </c>
      <c r="I193" s="341" t="str">
        <f>IF(Projets!D71=1,"Décidé",IF(Projets!C71=1,"Sélectionné",""))</f>
        <v/>
      </c>
      <c r="J193" s="429"/>
      <c r="K193" s="482" t="str">
        <f>IF(Projets!G71="","",Projets!G71)</f>
        <v>8A01</v>
      </c>
      <c r="L193" s="482">
        <f>IF(Projets!H71="","",Projets!H71)</f>
        <v>0</v>
      </c>
      <c r="M193" s="482">
        <f>IF(Projets!I71="","",Projets!I71)</f>
        <v>4</v>
      </c>
      <c r="N193" s="482" t="str">
        <f>IF(Projets!J71="","",Projets!J71)</f>
        <v>8A02</v>
      </c>
      <c r="O193" s="482">
        <f>IF(Projets!K71="","",Projets!K71)</f>
        <v>1</v>
      </c>
      <c r="P193" s="482">
        <f>IF(Projets!L71="","",Projets!L71)</f>
        <v>4</v>
      </c>
      <c r="Q193" s="482" t="str">
        <f>IF(Projets!M71="","",Projets!M71)</f>
        <v>8A03</v>
      </c>
      <c r="R193" s="482">
        <f>IF(Projets!N71="","",Projets!N71)</f>
        <v>1</v>
      </c>
      <c r="S193" s="482">
        <f>IF(Projets!O71="","",Projets!O71)</f>
        <v>4</v>
      </c>
      <c r="T193" s="482" t="str">
        <f>IF(Projets!P71="","",Projets!P71)</f>
        <v/>
      </c>
      <c r="U193" s="482" t="str">
        <f>IF(Projets!Q71="","",Projets!Q71)</f>
        <v/>
      </c>
      <c r="V193" s="482" t="str">
        <f>IF(Projets!R71="","",Projets!R71)</f>
        <v/>
      </c>
      <c r="W193" s="482" t="str">
        <f>IF(Projets!S71="","",Projets!S71)</f>
        <v/>
      </c>
      <c r="X193" s="482" t="str">
        <f>IF(Projets!T71="","",Projets!T71)</f>
        <v/>
      </c>
      <c r="Y193" s="482" t="str">
        <f>IF(Projets!U71="","",Projets!U71)</f>
        <v/>
      </c>
      <c r="Z193" s="482" t="str">
        <f>IF(Projets!V71="","",Projets!V71)</f>
        <v/>
      </c>
      <c r="AA193" s="482" t="str">
        <f>IF(Projets!W71="","",Projets!W71)</f>
        <v/>
      </c>
      <c r="AB193" s="482" t="str">
        <f>IF(Projets!X71="","",Projets!X71)</f>
        <v/>
      </c>
      <c r="AC193" s="482" t="str">
        <f>IF(Projets!Y71="","",Projets!Y71)</f>
        <v/>
      </c>
      <c r="AD193" s="482" t="str">
        <f>IF(Projets!Z71="","",Projets!Z71)</f>
        <v/>
      </c>
      <c r="AE193" s="482" t="str">
        <f>IF(Projets!AA71="","",Projets!AA71)</f>
        <v/>
      </c>
      <c r="AF193" s="482" t="str">
        <f>IF(Projets!AB71="","",Projets!AB71)</f>
        <v/>
      </c>
      <c r="AG193" s="482" t="str">
        <f>IF(Projets!AC71="","",Projets!AC71)</f>
        <v/>
      </c>
      <c r="AH193" s="482" t="str">
        <f>IF(Projets!AD71="","",Projets!AD71)</f>
        <v/>
      </c>
      <c r="AI193" s="144" t="str">
        <f>IF(Projets!AE71="","",Projets!AE71)</f>
        <v/>
      </c>
      <c r="AJ193" s="144" t="str">
        <f>IF(Projets!AF71="","",Projets!AF71)</f>
        <v/>
      </c>
      <c r="AK193" s="144" t="str">
        <f>IF(Projets!AG71="","",Projets!AG71)</f>
        <v/>
      </c>
    </row>
    <row r="194" spans="1:37" s="144" customFormat="1" ht="12.75" customHeight="1" x14ac:dyDescent="0.25">
      <c r="A194" s="147"/>
      <c r="B194" s="1400"/>
      <c r="C194" s="1400"/>
      <c r="D194" s="1400"/>
      <c r="E194" s="1400"/>
      <c r="F194" s="1400"/>
      <c r="G194" s="314"/>
      <c r="H194" s="317"/>
      <c r="I194" s="666"/>
      <c r="J194" s="429"/>
      <c r="K194" s="482"/>
      <c r="L194" s="482"/>
      <c r="M194" s="482"/>
      <c r="N194" s="482"/>
      <c r="O194" s="482"/>
      <c r="P194" s="482"/>
      <c r="Q194" s="482"/>
      <c r="R194" s="482"/>
      <c r="S194" s="482"/>
      <c r="T194" s="482"/>
      <c r="U194" s="482"/>
      <c r="V194" s="482"/>
      <c r="W194" s="482"/>
      <c r="X194" s="482"/>
      <c r="Y194" s="482"/>
      <c r="Z194" s="482"/>
      <c r="AA194" s="482"/>
      <c r="AB194" s="482"/>
      <c r="AC194" s="482"/>
      <c r="AD194" s="482"/>
      <c r="AE194" s="482"/>
      <c r="AF194" s="482"/>
      <c r="AG194" s="482"/>
      <c r="AH194" s="482"/>
    </row>
    <row r="195" spans="1:37" s="144" customFormat="1" ht="12" customHeight="1" x14ac:dyDescent="0.25">
      <c r="A195" s="148"/>
      <c r="B195" s="1401"/>
      <c r="C195" s="1401"/>
      <c r="D195" s="1401"/>
      <c r="E195" s="1401"/>
      <c r="F195" s="1401"/>
      <c r="G195" s="341"/>
      <c r="H195" s="349"/>
      <c r="I195" s="666"/>
      <c r="J195" s="429"/>
      <c r="K195" s="482"/>
      <c r="L195" s="482"/>
      <c r="M195" s="482"/>
      <c r="N195" s="482"/>
      <c r="O195" s="482"/>
      <c r="P195" s="482"/>
      <c r="Q195" s="482"/>
      <c r="R195" s="482"/>
      <c r="S195" s="482"/>
      <c r="T195" s="482"/>
      <c r="U195" s="482"/>
      <c r="V195" s="482"/>
      <c r="W195" s="482"/>
      <c r="X195" s="482"/>
      <c r="Y195" s="482"/>
      <c r="Z195" s="482"/>
      <c r="AA195" s="482"/>
      <c r="AB195" s="482"/>
      <c r="AC195" s="482"/>
      <c r="AD195" s="482"/>
      <c r="AE195" s="482"/>
      <c r="AF195" s="482"/>
      <c r="AG195" s="482"/>
      <c r="AH195" s="482"/>
    </row>
    <row r="196" spans="1:37" s="144" customFormat="1" ht="12" customHeight="1" x14ac:dyDescent="0.25">
      <c r="A196" s="147"/>
      <c r="B196" s="149"/>
      <c r="C196" s="149"/>
      <c r="D196" s="149"/>
      <c r="E196" s="149"/>
      <c r="F196" s="150"/>
      <c r="G196" s="314"/>
      <c r="H196" s="317"/>
      <c r="I196" s="666"/>
      <c r="J196" s="429"/>
      <c r="K196" s="481"/>
      <c r="L196" s="481"/>
      <c r="M196" s="481"/>
      <c r="N196" s="481"/>
      <c r="O196" s="481"/>
      <c r="P196" s="481"/>
      <c r="Q196" s="481"/>
      <c r="R196" s="481"/>
      <c r="S196" s="481"/>
      <c r="T196" s="481"/>
      <c r="U196" s="481"/>
      <c r="V196" s="481"/>
      <c r="W196" s="481"/>
      <c r="X196" s="481"/>
      <c r="Y196" s="481"/>
      <c r="Z196" s="481"/>
      <c r="AA196" s="481"/>
      <c r="AB196" s="481"/>
      <c r="AC196" s="481"/>
      <c r="AD196" s="481"/>
      <c r="AE196" s="481"/>
      <c r="AF196" s="481"/>
      <c r="AG196" s="481"/>
      <c r="AH196" s="481"/>
    </row>
    <row r="197" spans="1:37" s="144" customFormat="1" ht="16.5" customHeight="1" x14ac:dyDescent="0.25">
      <c r="A197" s="181" t="s">
        <v>6527</v>
      </c>
      <c r="B197" s="802" t="s">
        <v>4538</v>
      </c>
      <c r="C197" s="806"/>
      <c r="D197" s="806"/>
      <c r="E197" s="806"/>
      <c r="F197" s="806"/>
      <c r="G197" s="749"/>
      <c r="H197" s="825"/>
      <c r="I197" s="667"/>
      <c r="J197" s="428"/>
      <c r="K197" s="483"/>
      <c r="L197" s="483"/>
      <c r="M197" s="483"/>
      <c r="N197" s="483"/>
      <c r="O197" s="483"/>
      <c r="P197" s="483"/>
      <c r="Q197" s="483"/>
      <c r="R197" s="483"/>
      <c r="S197" s="483"/>
      <c r="T197" s="483"/>
      <c r="U197" s="483"/>
      <c r="V197" s="483"/>
      <c r="W197" s="483"/>
      <c r="X197" s="483"/>
      <c r="Y197" s="483"/>
      <c r="Z197" s="483"/>
      <c r="AA197" s="483"/>
      <c r="AB197" s="483"/>
      <c r="AC197" s="483"/>
      <c r="AD197" s="483"/>
      <c r="AE197" s="483"/>
      <c r="AF197" s="483"/>
      <c r="AG197" s="483"/>
      <c r="AH197" s="483"/>
    </row>
    <row r="198" spans="1:37" s="144" customFormat="1" ht="13.5" customHeight="1" x14ac:dyDescent="0.25">
      <c r="A198" s="146"/>
      <c r="B198" s="1403">
        <f>COUNTIF(Scénarios!AB213:AB215,1)</f>
        <v>0</v>
      </c>
      <c r="C198" s="1404">
        <f>COUNTIF(Scénarios!AB213:AB215,2)</f>
        <v>0</v>
      </c>
      <c r="D198" s="1399">
        <f>COUNTIF(Scénarios!AB213:AB215,3)</f>
        <v>0</v>
      </c>
      <c r="E198" s="1402">
        <f>COUNTIF(Scénarios!AB213:AB215,4)</f>
        <v>0</v>
      </c>
      <c r="F198" s="1403">
        <f>SUM(B198:E198)</f>
        <v>0</v>
      </c>
      <c r="G198" s="314" t="s">
        <v>4662</v>
      </c>
      <c r="H198" s="317" t="s">
        <v>4661</v>
      </c>
      <c r="I198" s="341" t="str">
        <f>IF(Projets!D72=1,"Décidé",IF(Projets!C72=1,"Sélectionné",""))</f>
        <v/>
      </c>
      <c r="J198" s="429"/>
      <c r="K198" s="482" t="str">
        <f>IF(Projets!G72="","",Projets!G72)</f>
        <v>8B01</v>
      </c>
      <c r="L198" s="482">
        <f>IF(Projets!H72="","",Projets!H72)</f>
        <v>1</v>
      </c>
      <c r="M198" s="482">
        <f>IF(Projets!I72="","",Projets!I72)</f>
        <v>4</v>
      </c>
      <c r="N198" s="482" t="str">
        <f>IF(Projets!J72="","",Projets!J72)</f>
        <v>8B02</v>
      </c>
      <c r="O198" s="482">
        <f>IF(Projets!K72="","",Projets!K72)</f>
        <v>1</v>
      </c>
      <c r="P198" s="482">
        <f>IF(Projets!L72="","",Projets!L72)</f>
        <v>4</v>
      </c>
      <c r="Q198" s="482" t="str">
        <f>IF(Projets!M72="","",Projets!M72)</f>
        <v>8B03</v>
      </c>
      <c r="R198" s="482">
        <f>IF(Projets!N72="","",Projets!N72)</f>
        <v>1</v>
      </c>
      <c r="S198" s="482">
        <f>IF(Projets!O72="","",Projets!O72)</f>
        <v>4</v>
      </c>
      <c r="T198" s="482" t="str">
        <f>IF(Projets!P72="","",Projets!P72)</f>
        <v/>
      </c>
      <c r="U198" s="482" t="str">
        <f>IF(Projets!Q72="","",Projets!Q72)</f>
        <v/>
      </c>
      <c r="V198" s="482" t="str">
        <f>IF(Projets!R72="","",Projets!R72)</f>
        <v/>
      </c>
      <c r="W198" s="482" t="str">
        <f>IF(Projets!S72="","",Projets!S72)</f>
        <v/>
      </c>
      <c r="X198" s="482" t="str">
        <f>IF(Projets!T72="","",Projets!T72)</f>
        <v/>
      </c>
      <c r="Y198" s="482" t="str">
        <f>IF(Projets!U72="","",Projets!U72)</f>
        <v/>
      </c>
      <c r="Z198" s="482" t="str">
        <f>IF(Projets!V72="","",Projets!V72)</f>
        <v/>
      </c>
      <c r="AA198" s="482" t="str">
        <f>IF(Projets!W72="","",Projets!W72)</f>
        <v/>
      </c>
      <c r="AB198" s="482" t="str">
        <f>IF(Projets!X72="","",Projets!X72)</f>
        <v/>
      </c>
      <c r="AC198" s="482" t="str">
        <f>IF(Projets!Y72="","",Projets!Y72)</f>
        <v/>
      </c>
      <c r="AD198" s="482" t="str">
        <f>IF(Projets!Z72="","",Projets!Z72)</f>
        <v/>
      </c>
      <c r="AE198" s="482" t="str">
        <f>IF(Projets!AA72="","",Projets!AA72)</f>
        <v/>
      </c>
      <c r="AF198" s="482" t="str">
        <f>IF(Projets!AB72="","",Projets!AB72)</f>
        <v/>
      </c>
      <c r="AG198" s="482" t="str">
        <f>IF(Projets!AC72="","",Projets!AC72)</f>
        <v/>
      </c>
      <c r="AH198" s="482" t="str">
        <f>IF(Projets!AD72="","",Projets!AD72)</f>
        <v/>
      </c>
      <c r="AI198" s="144" t="str">
        <f>IF(Projets!AE72="","",Projets!AE72)</f>
        <v/>
      </c>
      <c r="AJ198" s="144" t="str">
        <f>IF(Projets!AF72="","",Projets!AF72)</f>
        <v/>
      </c>
      <c r="AK198" s="144" t="str">
        <f>IF(Projets!AG72="","",Projets!AG72)</f>
        <v/>
      </c>
    </row>
    <row r="199" spans="1:37" s="144" customFormat="1" ht="12.75" customHeight="1" x14ac:dyDescent="0.25">
      <c r="A199" s="147"/>
      <c r="B199" s="1400"/>
      <c r="C199" s="1400"/>
      <c r="D199" s="1400"/>
      <c r="E199" s="1400"/>
      <c r="F199" s="1400"/>
      <c r="G199" s="314"/>
      <c r="H199" s="317"/>
      <c r="I199" s="666"/>
      <c r="J199" s="429"/>
      <c r="K199" s="482"/>
      <c r="L199" s="482"/>
      <c r="M199" s="482"/>
      <c r="N199" s="482"/>
      <c r="O199" s="482"/>
      <c r="P199" s="482"/>
      <c r="Q199" s="482"/>
      <c r="R199" s="482"/>
      <c r="S199" s="482"/>
      <c r="T199" s="482"/>
      <c r="U199" s="482"/>
      <c r="V199" s="482"/>
      <c r="W199" s="482"/>
      <c r="X199" s="482"/>
      <c r="Y199" s="482"/>
      <c r="Z199" s="482"/>
      <c r="AA199" s="482"/>
      <c r="AB199" s="482"/>
      <c r="AC199" s="482"/>
      <c r="AD199" s="482"/>
      <c r="AE199" s="482"/>
      <c r="AF199" s="482"/>
      <c r="AG199" s="482"/>
      <c r="AH199" s="482"/>
    </row>
    <row r="200" spans="1:37" s="144" customFormat="1" ht="12" customHeight="1" x14ac:dyDescent="0.25">
      <c r="A200" s="148"/>
      <c r="B200" s="1401"/>
      <c r="C200" s="1401"/>
      <c r="D200" s="1401"/>
      <c r="E200" s="1401"/>
      <c r="F200" s="1401"/>
      <c r="G200" s="341"/>
      <c r="H200" s="349"/>
      <c r="I200" s="666"/>
      <c r="J200" s="429"/>
      <c r="K200" s="482"/>
      <c r="L200" s="482"/>
      <c r="M200" s="482"/>
      <c r="N200" s="482"/>
      <c r="O200" s="482"/>
      <c r="P200" s="482"/>
      <c r="Q200" s="482"/>
      <c r="R200" s="482"/>
      <c r="S200" s="482"/>
      <c r="T200" s="482"/>
      <c r="U200" s="482"/>
      <c r="V200" s="482"/>
      <c r="W200" s="482"/>
      <c r="X200" s="482"/>
      <c r="Y200" s="482"/>
      <c r="Z200" s="482"/>
      <c r="AA200" s="482"/>
      <c r="AB200" s="482"/>
      <c r="AC200" s="482"/>
      <c r="AD200" s="482"/>
      <c r="AE200" s="482"/>
      <c r="AF200" s="482"/>
      <c r="AG200" s="482"/>
      <c r="AH200" s="482"/>
    </row>
    <row r="201" spans="1:37" s="144" customFormat="1" ht="12" customHeight="1" x14ac:dyDescent="0.25">
      <c r="A201" s="807"/>
      <c r="B201" s="808"/>
      <c r="C201" s="808"/>
      <c r="D201" s="808"/>
      <c r="E201" s="808"/>
      <c r="F201" s="809"/>
      <c r="G201" s="314"/>
      <c r="H201" s="317"/>
      <c r="I201" s="666"/>
      <c r="J201" s="429"/>
      <c r="K201" s="481"/>
      <c r="L201" s="481"/>
      <c r="M201" s="481"/>
      <c r="N201" s="481"/>
      <c r="O201" s="481"/>
      <c r="P201" s="481"/>
      <c r="Q201" s="481"/>
      <c r="R201" s="481"/>
      <c r="S201" s="481"/>
      <c r="T201" s="481"/>
      <c r="U201" s="481"/>
      <c r="V201" s="481"/>
      <c r="W201" s="481"/>
      <c r="X201" s="481"/>
      <c r="Y201" s="481"/>
      <c r="Z201" s="481"/>
      <c r="AA201" s="481"/>
      <c r="AB201" s="481"/>
      <c r="AC201" s="481"/>
      <c r="AD201" s="481"/>
      <c r="AE201" s="481"/>
      <c r="AF201" s="481"/>
      <c r="AG201" s="481"/>
      <c r="AH201" s="481"/>
    </row>
    <row r="204" spans="1:37" ht="26.4" x14ac:dyDescent="0.25">
      <c r="A204" s="16" t="s">
        <v>2052</v>
      </c>
      <c r="B204" s="171">
        <f>SUM(B4:B202)</f>
        <v>0</v>
      </c>
      <c r="C204" s="171">
        <f>SUM(C4:C202)</f>
        <v>79</v>
      </c>
      <c r="D204" s="171">
        <f>SUM(D4:D202)</f>
        <v>68</v>
      </c>
      <c r="E204" s="171">
        <f>SUM(E4:E202)</f>
        <v>1</v>
      </c>
      <c r="F204" s="171">
        <f>SUM(F4:F202)</f>
        <v>148</v>
      </c>
    </row>
    <row r="205" spans="1:37" x14ac:dyDescent="0.2">
      <c r="A205" s="170"/>
    </row>
    <row r="1206" spans="10:10" x14ac:dyDescent="0.2">
      <c r="J1206" s="24">
        <v>0</v>
      </c>
    </row>
    <row r="1649" spans="10:10" x14ac:dyDescent="0.2">
      <c r="J1649" s="24">
        <v>0</v>
      </c>
    </row>
  </sheetData>
  <sheetProtection sheet="1" objects="1" scenarios="1"/>
  <dataConsolidate/>
  <mergeCells count="143">
    <mergeCell ref="F59:F61"/>
    <mergeCell ref="B38:B40"/>
    <mergeCell ref="C38:C40"/>
    <mergeCell ref="D38:D40"/>
    <mergeCell ref="E38:E40"/>
    <mergeCell ref="E165:E167"/>
    <mergeCell ref="F165:F167"/>
    <mergeCell ref="B165:B167"/>
    <mergeCell ref="C165:C167"/>
    <mergeCell ref="D165:D167"/>
    <mergeCell ref="E81:E82"/>
    <mergeCell ref="B76:B78"/>
    <mergeCell ref="C76:C78"/>
    <mergeCell ref="D76:D78"/>
    <mergeCell ref="E76:E78"/>
    <mergeCell ref="B49:B51"/>
    <mergeCell ref="C49:C51"/>
    <mergeCell ref="D49:D51"/>
    <mergeCell ref="E49:E51"/>
    <mergeCell ref="F49:F51"/>
    <mergeCell ref="B59:B61"/>
    <mergeCell ref="C59:C61"/>
    <mergeCell ref="D59:D61"/>
    <mergeCell ref="E59:E61"/>
    <mergeCell ref="F76:F78"/>
    <mergeCell ref="F106:F108"/>
    <mergeCell ref="F116:F118"/>
    <mergeCell ref="E111:E113"/>
    <mergeCell ref="F111:F113"/>
    <mergeCell ref="B111:B113"/>
    <mergeCell ref="C111:C113"/>
    <mergeCell ref="D111:D113"/>
    <mergeCell ref="B106:B108"/>
    <mergeCell ref="C106:C108"/>
    <mergeCell ref="D106:D108"/>
    <mergeCell ref="E106:E108"/>
    <mergeCell ref="B116:B118"/>
    <mergeCell ref="C116:C118"/>
    <mergeCell ref="D116:D118"/>
    <mergeCell ref="E116:E118"/>
    <mergeCell ref="F81:F82"/>
    <mergeCell ref="B81:B82"/>
    <mergeCell ref="C81:C82"/>
    <mergeCell ref="D81:D82"/>
    <mergeCell ref="B86:B88"/>
    <mergeCell ref="C86:C88"/>
    <mergeCell ref="B91:B93"/>
    <mergeCell ref="C91:C93"/>
    <mergeCell ref="B131:B133"/>
    <mergeCell ref="C131:C133"/>
    <mergeCell ref="D131:D133"/>
    <mergeCell ref="E131:E133"/>
    <mergeCell ref="F131:F133"/>
    <mergeCell ref="B121:B123"/>
    <mergeCell ref="C121:C123"/>
    <mergeCell ref="D121:D123"/>
    <mergeCell ref="E121:E123"/>
    <mergeCell ref="D91:D93"/>
    <mergeCell ref="E91:E93"/>
    <mergeCell ref="F91:F93"/>
    <mergeCell ref="F121:F123"/>
    <mergeCell ref="B126:B128"/>
    <mergeCell ref="C126:C128"/>
    <mergeCell ref="D126:D128"/>
    <mergeCell ref="E126:E128"/>
    <mergeCell ref="F126:F128"/>
    <mergeCell ref="A2:A3"/>
    <mergeCell ref="B2:F2"/>
    <mergeCell ref="B5:B7"/>
    <mergeCell ref="C5:C7"/>
    <mergeCell ref="D5:D7"/>
    <mergeCell ref="E5:E7"/>
    <mergeCell ref="F5:F7"/>
    <mergeCell ref="F16:F18"/>
    <mergeCell ref="B16:B18"/>
    <mergeCell ref="C16:C18"/>
    <mergeCell ref="D16:D18"/>
    <mergeCell ref="E16:E18"/>
    <mergeCell ref="G3:H3"/>
    <mergeCell ref="E86:E88"/>
    <mergeCell ref="F86:F88"/>
    <mergeCell ref="C96:C98"/>
    <mergeCell ref="D96:D98"/>
    <mergeCell ref="E96:E98"/>
    <mergeCell ref="F96:F98"/>
    <mergeCell ref="B101:B103"/>
    <mergeCell ref="C101:C103"/>
    <mergeCell ref="D101:D103"/>
    <mergeCell ref="E101:E103"/>
    <mergeCell ref="F101:F103"/>
    <mergeCell ref="B96:B98"/>
    <mergeCell ref="B71:B73"/>
    <mergeCell ref="C71:C73"/>
    <mergeCell ref="D71:D73"/>
    <mergeCell ref="E71:E73"/>
    <mergeCell ref="F71:F73"/>
    <mergeCell ref="D86:D88"/>
    <mergeCell ref="B28:B30"/>
    <mergeCell ref="C28:C30"/>
    <mergeCell ref="D28:D30"/>
    <mergeCell ref="F28:F30"/>
    <mergeCell ref="E28:E30"/>
    <mergeCell ref="C198:C200"/>
    <mergeCell ref="B136:B138"/>
    <mergeCell ref="C136:C138"/>
    <mergeCell ref="D136:D138"/>
    <mergeCell ref="F136:F138"/>
    <mergeCell ref="B154:B156"/>
    <mergeCell ref="C154:C156"/>
    <mergeCell ref="D154:D156"/>
    <mergeCell ref="E154:E156"/>
    <mergeCell ref="F154:F156"/>
    <mergeCell ref="E178:E180"/>
    <mergeCell ref="F198:F200"/>
    <mergeCell ref="F183:F185"/>
    <mergeCell ref="B183:B185"/>
    <mergeCell ref="C183:C185"/>
    <mergeCell ref="F178:F180"/>
    <mergeCell ref="E136:E138"/>
    <mergeCell ref="F38:F40"/>
    <mergeCell ref="D198:D200"/>
    <mergeCell ref="E198:E200"/>
    <mergeCell ref="B193:B195"/>
    <mergeCell ref="C193:C195"/>
    <mergeCell ref="D193:D195"/>
    <mergeCell ref="E193:E195"/>
    <mergeCell ref="F193:F195"/>
    <mergeCell ref="B173:B175"/>
    <mergeCell ref="C173:C175"/>
    <mergeCell ref="D173:D175"/>
    <mergeCell ref="E173:E175"/>
    <mergeCell ref="F173:F175"/>
    <mergeCell ref="B178:B180"/>
    <mergeCell ref="C178:C180"/>
    <mergeCell ref="D178:D180"/>
    <mergeCell ref="D183:D185"/>
    <mergeCell ref="E183:E185"/>
    <mergeCell ref="B188:B190"/>
    <mergeCell ref="C188:C190"/>
    <mergeCell ref="D188:D190"/>
    <mergeCell ref="E188:E190"/>
    <mergeCell ref="F188:F190"/>
    <mergeCell ref="B198:B200"/>
  </mergeCells>
  <phoneticPr fontId="6" type="noConversion"/>
  <hyperlinks>
    <hyperlink ref="A75" location="'Scénarios'!A94" display="IEII" xr:uid="{00000000-0004-0000-1400-000001000000}"/>
    <hyperlink ref="A15" location="'Scénarios'!A25" display="DAPI" xr:uid="{00000000-0004-0000-1400-000004000000}"/>
    <hyperlink ref="A27" location="'Scénarios'!A36" display="DAPC" xr:uid="{00000000-0004-0000-1400-000007000000}"/>
    <hyperlink ref="A80" location="'Scénarios'!A96" display="IEIC" xr:uid="{00000000-0004-0000-1400-000008000000}"/>
    <hyperlink ref="A115" location="'Scénarios'!A131" display="DPUI" xr:uid="{00000000-0004-0000-1400-00000A000000}"/>
    <hyperlink ref="A4" location="'Scénarios'!A5" display="DAPD" xr:uid="{00000000-0004-0000-1400-000010000000}"/>
    <hyperlink ref="A164" location="'Scénarios'!A190" display="SAPC" xr:uid="{00000000-0004-0000-1400-000011000000}"/>
    <hyperlink ref="A48" location="'Scénarios'!A63" display="DBUI" xr:uid="{F931320A-E87D-46AA-B753-A94F76B1D731}"/>
    <hyperlink ref="A58" location="'Scénarios'!A71" display="DBUC" xr:uid="{E423CAC2-D798-45F5-A958-D26F2A414750}"/>
    <hyperlink ref="A37" location="'Scénarios'!A45" display="DBUD" xr:uid="{668F989A-6CBC-409F-B2F9-4B5A7A93B68D}"/>
    <hyperlink ref="A70" location="'Scénarios'!A88" display="IEID" xr:uid="{3F7EC3A9-61D1-4E26-97FA-E36040581C28}"/>
    <hyperlink ref="A85" location="'Scénarios'!A102" display="CEPD" xr:uid="{FD3F85DB-4C40-4261-87F0-30665795D993}"/>
    <hyperlink ref="A90" location="'Scénarios'!A108" display="CEPI" xr:uid="{3277C7EC-8BDE-4DF5-AC83-C911F7C96310}"/>
    <hyperlink ref="A95" location="'Scénarios'!A112" display="CEPC" xr:uid="{2EB166FA-7D9E-45F1-9039-D1EB0CE84669}"/>
    <hyperlink ref="A100" location="'Scénarios'!A116" display="ARCD" xr:uid="{713C925A-6659-4578-A4AC-7F2528772A29}"/>
    <hyperlink ref="A105" location="'Scénarios'!A125" display="ARCC" xr:uid="{D724C2AD-BB3B-4402-8179-81AF4D76A757}"/>
    <hyperlink ref="A110" location="'Scénarios'!A129" display="DPUD" xr:uid="{00000000-0004-0000-1400-000003000000}"/>
    <hyperlink ref="A120" location="'Scénarios'!A134" display="DEXD" xr:uid="{E8E35B6D-6C29-40BA-BC13-E5F9B0BBF1E5}"/>
    <hyperlink ref="A125" location="'Scénarios'!A139" display="DEXI" xr:uid="{AD901EE6-30A0-47B6-9BDC-4DAC9E43AB07}"/>
    <hyperlink ref="A130" location="'Scénarios'!A143" display="DEXC" xr:uid="{1DFF6581-33AD-4855-BAB6-EFD2D9942896}"/>
    <hyperlink ref="A135" location="'Scénarios'!A147" display="SAPD" xr:uid="{D3282A4D-F845-4154-8427-A28D4623180F}"/>
    <hyperlink ref="A153" location="'Scénarios'!A177" display="SAPI" xr:uid="{01BF9DB8-C045-4A6F-8B56-B32175771387}"/>
    <hyperlink ref="A197" location="'Scénarios'!A212" display="PGDE" xr:uid="{16A1163F-D4A4-4AE5-B452-E1BA410F9417}"/>
    <hyperlink ref="A192" location="'Scénarios'!A208" display="PGCE" xr:uid="{50B760DB-D890-43BE-9851-4B2DA183E3CC}"/>
    <hyperlink ref="A177" location="'Scénarios'!A200" display="SEXI" xr:uid="{B5E3C918-1A95-408C-9B9E-94ABDA65A1A8}"/>
    <hyperlink ref="A172" location="'Scénarios'!A197" display="SEXD" xr:uid="{A14A76CF-9A39-4B32-B11B-9A2E3E7036BF}"/>
    <hyperlink ref="A187" location="'Scénarios'!A204" display="SPUI" xr:uid="{7CE03161-1199-43CD-99E0-C8B067F699D7}"/>
    <hyperlink ref="A182" location="'Scénarios'!A202" display="SPUD" xr:uid="{57E0973A-942E-48EF-B5A6-9E1A07CCBFA8}"/>
  </hyperlinks>
  <pageMargins left="0.31" right="0.36" top="0.27986111111111112" bottom="0.27" header="0.51180555555555562" footer="0.32"/>
  <pageSetup paperSize="9" scale="90" firstPageNumber="0" fitToHeight="4" orientation="landscape" horizontalDpi="300" verticalDpi="3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5"/>
  <dimension ref="A1:AF1470"/>
  <sheetViews>
    <sheetView workbookViewId="0">
      <selection activeCell="D25" sqref="D25"/>
    </sheetView>
  </sheetViews>
  <sheetFormatPr baseColWidth="10" defaultRowHeight="13.2" outlineLevelCol="1" x14ac:dyDescent="0.25"/>
  <cols>
    <col min="1" max="1" width="6.33203125" customWidth="1"/>
    <col min="2" max="2" width="68.109375" style="1" customWidth="1"/>
    <col min="3" max="3" width="9.6640625" style="24" customWidth="1"/>
    <col min="4" max="4" width="8" style="24" customWidth="1"/>
    <col min="5" max="6" width="10.5546875" style="24" customWidth="1"/>
    <col min="7" max="7" width="8.88671875" style="1" customWidth="1" outlineLevel="1"/>
    <col min="8" max="8" width="7" style="1" customWidth="1" outlineLevel="1"/>
    <col min="9" max="9" width="5.88671875" style="1" customWidth="1" outlineLevel="1"/>
    <col min="10" max="10" width="8.88671875" style="1" customWidth="1" outlineLevel="1"/>
    <col min="11" max="12" width="5.88671875" style="1" customWidth="1" outlineLevel="1"/>
    <col min="13" max="13" width="9.44140625" style="1" customWidth="1" outlineLevel="1"/>
    <col min="14" max="15" width="5.88671875" style="1" customWidth="1" outlineLevel="1"/>
    <col min="16" max="16" width="8.88671875" style="1" customWidth="1" outlineLevel="1"/>
    <col min="17" max="18" width="5.88671875" style="1" customWidth="1" outlineLevel="1"/>
    <col min="19" max="19" width="8.88671875" style="1" customWidth="1" outlineLevel="1"/>
    <col min="20" max="21" width="5.88671875" style="1" customWidth="1" outlineLevel="1"/>
    <col min="22" max="22" width="8.88671875" style="1" customWidth="1" outlineLevel="1"/>
    <col min="23" max="24" width="5.88671875" style="1" customWidth="1" outlineLevel="1"/>
    <col min="25" max="25" width="8.88671875" style="1" customWidth="1" outlineLevel="1"/>
    <col min="26" max="27" width="5.88671875" style="1" customWidth="1" outlineLevel="1"/>
    <col min="28" max="28" width="8.88671875" style="1" customWidth="1" outlineLevel="1"/>
    <col min="29" max="30" width="5.88671875" style="1" customWidth="1" outlineLevel="1"/>
    <col min="32" max="32" width="11.44140625" style="16"/>
  </cols>
  <sheetData>
    <row r="1" spans="1:32" ht="60" x14ac:dyDescent="0.25">
      <c r="A1" s="342" t="s">
        <v>2210</v>
      </c>
      <c r="B1" s="339" t="s">
        <v>1543</v>
      </c>
      <c r="C1" s="339" t="s">
        <v>6285</v>
      </c>
      <c r="D1" s="339" t="s">
        <v>2211</v>
      </c>
      <c r="E1" s="339" t="s">
        <v>2199</v>
      </c>
      <c r="F1" s="339" t="s">
        <v>2198</v>
      </c>
      <c r="G1" s="340" t="s">
        <v>252</v>
      </c>
      <c r="H1" s="340" t="s">
        <v>611</v>
      </c>
      <c r="I1" s="340" t="s">
        <v>72</v>
      </c>
      <c r="J1" s="340" t="s">
        <v>252</v>
      </c>
      <c r="K1" s="340" t="s">
        <v>611</v>
      </c>
      <c r="L1" s="340" t="s">
        <v>72</v>
      </c>
      <c r="M1" s="340" t="s">
        <v>252</v>
      </c>
      <c r="N1" s="340" t="s">
        <v>611</v>
      </c>
      <c r="O1" s="340" t="s">
        <v>72</v>
      </c>
      <c r="P1" s="340" t="s">
        <v>252</v>
      </c>
      <c r="Q1" s="340" t="s">
        <v>611</v>
      </c>
      <c r="R1" s="340" t="s">
        <v>72</v>
      </c>
      <c r="S1" s="340" t="s">
        <v>252</v>
      </c>
      <c r="T1" s="340" t="s">
        <v>611</v>
      </c>
      <c r="U1" s="340" t="s">
        <v>72</v>
      </c>
      <c r="V1" s="340" t="s">
        <v>252</v>
      </c>
      <c r="W1" s="340" t="s">
        <v>611</v>
      </c>
      <c r="X1" s="340" t="s">
        <v>72</v>
      </c>
      <c r="Y1" s="340" t="s">
        <v>252</v>
      </c>
      <c r="Z1" s="340" t="s">
        <v>611</v>
      </c>
      <c r="AA1" s="340" t="s">
        <v>72</v>
      </c>
      <c r="AB1" s="340" t="s">
        <v>252</v>
      </c>
      <c r="AC1" s="340" t="s">
        <v>611</v>
      </c>
      <c r="AD1" s="340" t="s">
        <v>72</v>
      </c>
    </row>
    <row r="2" spans="1:32" x14ac:dyDescent="0.25">
      <c r="A2" s="345" t="s">
        <v>2008</v>
      </c>
      <c r="B2" s="346"/>
      <c r="C2" s="347"/>
      <c r="D2" s="444"/>
      <c r="E2" s="347" t="s">
        <v>2200</v>
      </c>
      <c r="F2" s="347" t="s">
        <v>2200</v>
      </c>
      <c r="G2" s="348"/>
      <c r="H2" s="348"/>
      <c r="I2" s="348"/>
      <c r="J2" s="348"/>
      <c r="K2" s="348"/>
      <c r="L2" s="348"/>
      <c r="M2" s="348"/>
      <c r="N2" s="348"/>
      <c r="O2" s="348"/>
      <c r="P2" s="348"/>
      <c r="Q2" s="348"/>
      <c r="R2" s="348"/>
      <c r="S2" s="348"/>
      <c r="T2" s="348"/>
      <c r="U2" s="348"/>
      <c r="V2" s="348"/>
      <c r="W2" s="348"/>
      <c r="X2" s="348"/>
      <c r="Y2" s="348"/>
      <c r="Z2" s="348"/>
      <c r="AA2" s="348"/>
      <c r="AB2" s="348"/>
      <c r="AC2" s="348"/>
      <c r="AD2" s="348"/>
    </row>
    <row r="3" spans="1:32" x14ac:dyDescent="0.25">
      <c r="A3" s="472" t="s">
        <v>2240</v>
      </c>
      <c r="B3" s="473"/>
      <c r="C3" s="474"/>
      <c r="D3" s="475"/>
      <c r="E3" s="476"/>
      <c r="F3" s="476"/>
      <c r="G3" s="477"/>
      <c r="H3" s="477"/>
      <c r="I3" s="477"/>
      <c r="J3" s="477"/>
      <c r="K3" s="477"/>
      <c r="L3" s="477"/>
      <c r="M3" s="477"/>
      <c r="N3" s="477"/>
      <c r="O3" s="477"/>
      <c r="P3" s="477"/>
      <c r="Q3" s="477"/>
      <c r="R3" s="477"/>
      <c r="S3" s="477"/>
      <c r="T3" s="477"/>
      <c r="U3" s="477"/>
      <c r="V3" s="477"/>
      <c r="W3" s="477"/>
      <c r="X3" s="477"/>
      <c r="Y3" s="477"/>
      <c r="Z3" s="477"/>
      <c r="AA3" s="477"/>
      <c r="AB3" s="477"/>
      <c r="AC3" s="477"/>
      <c r="AD3" s="477"/>
    </row>
    <row r="4" spans="1:32" ht="14.25" customHeight="1" x14ac:dyDescent="0.25">
      <c r="A4" s="745" t="s">
        <v>1984</v>
      </c>
      <c r="B4" s="746" t="s">
        <v>1961</v>
      </c>
      <c r="C4" s="16" t="str">
        <f>IF(OR(Plans_action!J142= 1), 1,"")</f>
        <v/>
      </c>
      <c r="D4" s="750"/>
      <c r="E4" s="751"/>
      <c r="F4" s="756">
        <v>44561</v>
      </c>
      <c r="G4" s="752" t="s">
        <v>619</v>
      </c>
      <c r="H4" s="753">
        <f>ES4C01</f>
        <v>1</v>
      </c>
      <c r="I4" s="750">
        <v>3</v>
      </c>
      <c r="J4" s="754"/>
      <c r="K4" s="753"/>
      <c r="L4" s="755"/>
      <c r="M4" s="754"/>
      <c r="N4" s="753"/>
      <c r="O4" s="753"/>
      <c r="P4" s="753"/>
      <c r="Q4" s="753"/>
      <c r="R4" s="755"/>
      <c r="S4" s="754"/>
      <c r="T4" s="753"/>
      <c r="U4" s="750"/>
      <c r="V4" s="754"/>
      <c r="W4" s="753"/>
      <c r="X4" s="753"/>
      <c r="Y4" s="752"/>
      <c r="Z4" s="753"/>
      <c r="AA4" s="753"/>
      <c r="AB4" s="752"/>
      <c r="AC4" s="753"/>
      <c r="AD4" s="753"/>
    </row>
    <row r="5" spans="1:32" ht="14.25" customHeight="1" x14ac:dyDescent="0.25">
      <c r="A5" s="745" t="s">
        <v>2104</v>
      </c>
      <c r="B5" s="746" t="s">
        <v>2103</v>
      </c>
      <c r="C5" s="16" t="str">
        <f>IF(OR(Plans_action!J148= 1), 1,"")</f>
        <v/>
      </c>
      <c r="D5" s="750"/>
      <c r="E5" s="751"/>
      <c r="F5" s="756"/>
      <c r="G5" s="757" t="s">
        <v>615</v>
      </c>
      <c r="H5" s="758">
        <f>ES2C02</f>
        <v>1</v>
      </c>
      <c r="I5" s="743">
        <v>3</v>
      </c>
      <c r="J5" s="752" t="s">
        <v>616</v>
      </c>
      <c r="K5" s="753">
        <f>ES2C04</f>
        <v>1</v>
      </c>
      <c r="L5" s="750">
        <v>3</v>
      </c>
      <c r="M5" s="752" t="s">
        <v>630</v>
      </c>
      <c r="N5" s="753">
        <f>ES3B01</f>
        <v>1</v>
      </c>
      <c r="O5" s="750">
        <v>3</v>
      </c>
      <c r="P5" s="752"/>
      <c r="Q5" s="753"/>
      <c r="R5" s="750"/>
      <c r="S5" s="752"/>
      <c r="T5" s="753"/>
      <c r="U5" s="750"/>
      <c r="V5" s="752"/>
      <c r="W5" s="753"/>
      <c r="X5" s="753"/>
      <c r="Y5" s="752"/>
      <c r="Z5" s="753"/>
      <c r="AA5" s="753"/>
      <c r="AB5" s="752"/>
      <c r="AC5" s="753"/>
      <c r="AD5" s="753"/>
      <c r="AF5"/>
    </row>
    <row r="6" spans="1:32" ht="14.25" customHeight="1" x14ac:dyDescent="0.25">
      <c r="A6" s="745" t="s">
        <v>1988</v>
      </c>
      <c r="B6" s="759" t="s">
        <v>591</v>
      </c>
      <c r="C6" s="16" t="s">
        <v>824</v>
      </c>
      <c r="D6" s="750"/>
      <c r="E6" s="751"/>
      <c r="F6" s="756"/>
      <c r="G6" s="757" t="s">
        <v>632</v>
      </c>
      <c r="H6" s="758">
        <f>ES2A03</f>
        <v>1</v>
      </c>
      <c r="I6" s="743">
        <v>4</v>
      </c>
      <c r="J6" s="757"/>
      <c r="K6" s="758"/>
      <c r="L6" s="743"/>
      <c r="M6" s="757"/>
      <c r="N6" s="758"/>
      <c r="O6" s="743"/>
      <c r="P6" s="757"/>
      <c r="Q6" s="758"/>
      <c r="R6" s="743"/>
      <c r="S6" s="757"/>
      <c r="T6" s="758"/>
      <c r="U6" s="743"/>
      <c r="V6" s="757"/>
      <c r="W6" s="758"/>
      <c r="X6" s="758"/>
      <c r="Y6" s="757"/>
      <c r="Z6" s="758"/>
      <c r="AA6" s="758"/>
      <c r="AB6" s="757"/>
      <c r="AC6" s="758"/>
      <c r="AD6" s="758"/>
      <c r="AF6"/>
    </row>
    <row r="7" spans="1:32" x14ac:dyDescent="0.25">
      <c r="A7" s="760" t="s">
        <v>2241</v>
      </c>
      <c r="B7" s="761"/>
      <c r="C7" s="474" t="s">
        <v>824</v>
      </c>
      <c r="D7" s="961"/>
      <c r="E7" s="474"/>
      <c r="F7" s="762"/>
      <c r="G7" s="763"/>
      <c r="H7" s="763"/>
      <c r="I7" s="763"/>
      <c r="J7" s="763"/>
      <c r="K7" s="763"/>
      <c r="L7" s="763"/>
      <c r="M7" s="763"/>
      <c r="N7" s="763"/>
      <c r="O7" s="763"/>
      <c r="P7" s="763"/>
      <c r="Q7" s="763"/>
      <c r="R7" s="763"/>
      <c r="S7" s="763"/>
      <c r="T7" s="763"/>
      <c r="U7" s="763"/>
      <c r="V7" s="763"/>
      <c r="W7" s="763"/>
      <c r="X7" s="763"/>
      <c r="Y7" s="763"/>
      <c r="Z7" s="763"/>
      <c r="AA7" s="763"/>
      <c r="AB7" s="763"/>
      <c r="AC7" s="763"/>
      <c r="AD7" s="763"/>
      <c r="AF7"/>
    </row>
    <row r="8" spans="1:32" ht="14.25" customHeight="1" x14ac:dyDescent="0.25">
      <c r="A8" s="745" t="s">
        <v>2003</v>
      </c>
      <c r="B8" s="749" t="s">
        <v>1972</v>
      </c>
      <c r="C8" s="16" t="str">
        <f>IF(OR(Plans_action!J147=1,Plans_action!J111=1,Plans_action!J45=1,Plans_action!J11= 1), 1,"")</f>
        <v/>
      </c>
      <c r="D8" s="750"/>
      <c r="E8" s="751"/>
      <c r="F8" s="756">
        <v>44561</v>
      </c>
      <c r="G8" s="757" t="s">
        <v>622</v>
      </c>
      <c r="H8" s="753">
        <f>ES4A03</f>
        <v>0</v>
      </c>
      <c r="I8" s="743">
        <v>3</v>
      </c>
      <c r="J8" s="764" t="s">
        <v>649</v>
      </c>
      <c r="K8" s="753">
        <f>ES6B04</f>
        <v>1</v>
      </c>
      <c r="L8" s="743">
        <v>3</v>
      </c>
      <c r="M8" s="764" t="s">
        <v>2152</v>
      </c>
      <c r="N8" s="753">
        <f>ES6B06</f>
        <v>1</v>
      </c>
      <c r="O8" s="743">
        <v>3</v>
      </c>
      <c r="P8" s="757" t="s">
        <v>4461</v>
      </c>
      <c r="Q8" s="765" t="s">
        <v>6549</v>
      </c>
      <c r="R8" s="743">
        <v>3</v>
      </c>
      <c r="S8" s="757"/>
      <c r="T8" s="765"/>
      <c r="U8" s="743"/>
      <c r="V8" s="757"/>
      <c r="W8" s="758"/>
      <c r="X8" s="758"/>
      <c r="Y8" s="757"/>
      <c r="Z8" s="758"/>
      <c r="AA8" s="758"/>
      <c r="AB8" s="757"/>
      <c r="AC8" s="758"/>
      <c r="AD8" s="758"/>
      <c r="AF8"/>
    </row>
    <row r="9" spans="1:32" ht="14.25" customHeight="1" x14ac:dyDescent="0.25">
      <c r="A9" s="745" t="s">
        <v>1981</v>
      </c>
      <c r="B9" s="759" t="s">
        <v>1959</v>
      </c>
      <c r="C9" s="16" t="str">
        <f>IF(OR(Plans_action!J123= 1), 1,"")</f>
        <v/>
      </c>
      <c r="D9" s="750"/>
      <c r="E9" s="751"/>
      <c r="F9" s="756">
        <v>44562</v>
      </c>
      <c r="G9" s="757" t="s">
        <v>734</v>
      </c>
      <c r="H9" s="758">
        <f>ES3C01</f>
        <v>1</v>
      </c>
      <c r="I9" s="743">
        <v>3</v>
      </c>
      <c r="J9" s="757" t="s">
        <v>739</v>
      </c>
      <c r="K9" s="758">
        <f>ES4A04</f>
        <v>0</v>
      </c>
      <c r="L9" s="743">
        <v>3</v>
      </c>
      <c r="M9" s="757"/>
      <c r="N9" s="758"/>
      <c r="O9" s="743"/>
      <c r="P9" s="757"/>
      <c r="Q9" s="758"/>
      <c r="R9" s="743"/>
      <c r="S9" s="757"/>
      <c r="T9" s="758"/>
      <c r="U9" s="743"/>
      <c r="V9" s="757"/>
      <c r="W9" s="758"/>
      <c r="X9" s="758"/>
      <c r="Y9" s="757"/>
      <c r="Z9" s="758"/>
      <c r="AA9" s="758"/>
      <c r="AB9" s="757"/>
      <c r="AC9" s="758"/>
      <c r="AD9" s="758"/>
      <c r="AF9"/>
    </row>
    <row r="10" spans="1:32" ht="14.25" customHeight="1" x14ac:dyDescent="0.25">
      <c r="A10" s="745" t="s">
        <v>4621</v>
      </c>
      <c r="B10" s="759" t="s">
        <v>4620</v>
      </c>
      <c r="C10" s="16" t="str">
        <f>IF(OR(Plans_action!J140=1,Plans_action!J40=1,Plans_action!J10= 1), 1,"")</f>
        <v/>
      </c>
      <c r="D10" s="750"/>
      <c r="E10" s="751"/>
      <c r="F10" s="751">
        <v>45291</v>
      </c>
      <c r="G10" s="764" t="s">
        <v>651</v>
      </c>
      <c r="H10" s="758">
        <f>ES4E01</f>
        <v>1</v>
      </c>
      <c r="I10" s="766">
        <v>4</v>
      </c>
      <c r="J10" s="757" t="s">
        <v>643</v>
      </c>
      <c r="K10" s="758">
        <f>ES5C01</f>
        <v>1</v>
      </c>
      <c r="L10" s="743">
        <v>4</v>
      </c>
      <c r="M10" s="752" t="s">
        <v>4476</v>
      </c>
      <c r="N10" s="758">
        <f>ES5D04</f>
        <v>1</v>
      </c>
      <c r="O10" s="743">
        <v>4</v>
      </c>
      <c r="P10" s="764"/>
      <c r="Q10" s="758"/>
      <c r="R10" s="766"/>
      <c r="S10" s="757"/>
      <c r="T10" s="758"/>
      <c r="U10" s="743"/>
      <c r="V10" s="757"/>
      <c r="W10" s="758"/>
      <c r="X10" s="758"/>
      <c r="Y10" s="757"/>
      <c r="Z10" s="758"/>
      <c r="AA10" s="758"/>
      <c r="AB10" s="757"/>
      <c r="AC10" s="758"/>
      <c r="AD10" s="758"/>
      <c r="AF10"/>
    </row>
    <row r="11" spans="1:32" ht="14.25" customHeight="1" x14ac:dyDescent="0.25">
      <c r="A11" s="745" t="s">
        <v>2014</v>
      </c>
      <c r="B11" s="759" t="s">
        <v>4587</v>
      </c>
      <c r="C11" s="16" t="str">
        <f>IF(OR(Plans_action!J145=1,Plans_action!J92=1,Plans_action!J63=1,Plans_action!J42= 1), 1,"")</f>
        <v/>
      </c>
      <c r="D11" s="750"/>
      <c r="E11" s="751"/>
      <c r="F11" s="751">
        <v>45657</v>
      </c>
      <c r="G11" s="757" t="s">
        <v>3247</v>
      </c>
      <c r="H11" s="758">
        <f>ES1C06</f>
        <v>0</v>
      </c>
      <c r="I11" s="743">
        <v>4</v>
      </c>
      <c r="J11" s="764" t="s">
        <v>650</v>
      </c>
      <c r="K11" s="758">
        <f>ES4A02</f>
        <v>0</v>
      </c>
      <c r="L11" s="743">
        <v>4</v>
      </c>
      <c r="M11" s="757"/>
      <c r="N11" s="758"/>
      <c r="O11" s="743"/>
      <c r="P11" s="757"/>
      <c r="Q11" s="758"/>
      <c r="R11" s="743"/>
      <c r="S11" s="757"/>
      <c r="T11" s="758"/>
      <c r="U11" s="743"/>
      <c r="V11" s="757"/>
      <c r="W11" s="758"/>
      <c r="X11" s="758"/>
      <c r="Y11" s="757"/>
      <c r="Z11" s="758"/>
      <c r="AA11" s="758"/>
      <c r="AB11" s="757"/>
      <c r="AC11" s="758"/>
      <c r="AD11" s="758"/>
      <c r="AF11"/>
    </row>
    <row r="12" spans="1:32" x14ac:dyDescent="0.25">
      <c r="A12" s="760" t="s">
        <v>2242</v>
      </c>
      <c r="B12" s="761"/>
      <c r="C12" s="474" t="s">
        <v>824</v>
      </c>
      <c r="D12" s="961"/>
      <c r="E12" s="474"/>
      <c r="F12" s="762"/>
      <c r="G12" s="763"/>
      <c r="H12" s="763"/>
      <c r="I12" s="763"/>
      <c r="J12" s="763"/>
      <c r="K12" s="763"/>
      <c r="L12" s="763"/>
      <c r="M12" s="763"/>
      <c r="N12" s="763"/>
      <c r="O12" s="763"/>
      <c r="P12" s="763"/>
      <c r="Q12" s="763"/>
      <c r="R12" s="763"/>
      <c r="S12" s="763"/>
      <c r="T12" s="763"/>
      <c r="U12" s="763"/>
      <c r="V12" s="763"/>
      <c r="W12" s="763"/>
      <c r="X12" s="763"/>
      <c r="Y12" s="763"/>
      <c r="Z12" s="763"/>
      <c r="AA12" s="763"/>
      <c r="AB12" s="763"/>
      <c r="AC12" s="763"/>
      <c r="AD12" s="763"/>
      <c r="AF12"/>
    </row>
    <row r="13" spans="1:32" ht="14.25" customHeight="1" x14ac:dyDescent="0.25">
      <c r="A13" s="745" t="s">
        <v>1986</v>
      </c>
      <c r="B13" s="746" t="s">
        <v>1963</v>
      </c>
      <c r="C13" s="16" t="str">
        <f>IF(OR(Plans_action!J146= 1), 1,"")</f>
        <v/>
      </c>
      <c r="D13" s="750"/>
      <c r="E13" s="751"/>
      <c r="F13" s="751"/>
      <c r="G13" s="752" t="s">
        <v>620</v>
      </c>
      <c r="H13" s="753">
        <f>ES4C03</f>
        <v>1</v>
      </c>
      <c r="I13" s="750">
        <v>3</v>
      </c>
      <c r="J13" s="752" t="s">
        <v>698</v>
      </c>
      <c r="K13" s="753">
        <f>ES5D01</f>
        <v>1</v>
      </c>
      <c r="L13" s="750">
        <v>3</v>
      </c>
      <c r="M13" s="752"/>
      <c r="N13" s="752"/>
      <c r="O13" s="752"/>
      <c r="P13" s="752"/>
      <c r="Q13" s="753"/>
      <c r="R13" s="750"/>
      <c r="S13" s="752"/>
      <c r="T13" s="753"/>
      <c r="U13" s="750"/>
      <c r="V13" s="752"/>
      <c r="W13" s="753"/>
      <c r="X13" s="753"/>
      <c r="Y13" s="752"/>
      <c r="Z13" s="753"/>
      <c r="AA13" s="753"/>
      <c r="AB13" s="752"/>
      <c r="AC13" s="753"/>
      <c r="AD13" s="753"/>
      <c r="AF13"/>
    </row>
    <row r="14" spans="1:32" ht="14.25" customHeight="1" x14ac:dyDescent="0.25">
      <c r="A14" s="745" t="s">
        <v>1987</v>
      </c>
      <c r="B14" s="746" t="s">
        <v>1964</v>
      </c>
      <c r="C14" s="16" t="str">
        <f>IF(OR(Plans_action!J174= 1), 1,"")</f>
        <v/>
      </c>
      <c r="D14" s="750"/>
      <c r="E14" s="751"/>
      <c r="F14" s="751"/>
      <c r="G14" s="752" t="s">
        <v>755</v>
      </c>
      <c r="H14" s="758">
        <f>ES4C04</f>
        <v>1</v>
      </c>
      <c r="I14" s="743">
        <v>3</v>
      </c>
      <c r="J14" s="752" t="s">
        <v>700</v>
      </c>
      <c r="K14" s="758">
        <f>ES5D02</f>
        <v>0</v>
      </c>
      <c r="L14" s="743">
        <v>3</v>
      </c>
      <c r="M14" s="757"/>
      <c r="N14" s="758"/>
      <c r="O14" s="743"/>
      <c r="P14" s="757"/>
      <c r="Q14" s="758"/>
      <c r="R14" s="743"/>
      <c r="S14" s="757"/>
      <c r="T14" s="758"/>
      <c r="U14" s="743"/>
      <c r="V14" s="757"/>
      <c r="W14" s="758"/>
      <c r="X14" s="758"/>
      <c r="Y14" s="757"/>
      <c r="Z14" s="758"/>
      <c r="AA14" s="758"/>
      <c r="AB14" s="757"/>
      <c r="AC14" s="758"/>
      <c r="AD14" s="758"/>
      <c r="AF14"/>
    </row>
    <row r="15" spans="1:32" ht="14.25" customHeight="1" x14ac:dyDescent="0.25">
      <c r="A15" s="745" t="s">
        <v>1985</v>
      </c>
      <c r="B15" s="759" t="s">
        <v>1962</v>
      </c>
      <c r="C15" s="16" t="str">
        <f>IF(OR(Plans_action!J144= 1), 1,"")</f>
        <v/>
      </c>
      <c r="D15" s="750"/>
      <c r="E15" s="751"/>
      <c r="F15" s="751"/>
      <c r="G15" s="764" t="s">
        <v>699</v>
      </c>
      <c r="H15" s="758">
        <f>ES1E02</f>
        <v>1</v>
      </c>
      <c r="I15" s="743">
        <v>3</v>
      </c>
      <c r="J15" s="764"/>
      <c r="K15" s="758"/>
      <c r="L15" s="766"/>
      <c r="M15" s="764"/>
      <c r="N15" s="758"/>
      <c r="O15" s="743"/>
      <c r="P15" s="757"/>
      <c r="Q15" s="758"/>
      <c r="R15" s="743"/>
      <c r="S15" s="757"/>
      <c r="T15" s="758"/>
      <c r="U15" s="743"/>
      <c r="V15" s="757"/>
      <c r="W15" s="758"/>
      <c r="X15" s="758"/>
      <c r="Y15" s="757"/>
      <c r="Z15" s="758"/>
      <c r="AA15" s="758"/>
      <c r="AB15" s="757"/>
      <c r="AC15" s="758"/>
      <c r="AD15" s="758"/>
      <c r="AF15"/>
    </row>
    <row r="16" spans="1:32" ht="14.25" customHeight="1" x14ac:dyDescent="0.25">
      <c r="A16" s="745" t="s">
        <v>2012</v>
      </c>
      <c r="B16" s="759" t="s">
        <v>2013</v>
      </c>
      <c r="C16" s="16" t="str">
        <f>IF(OR(Plans_action!J143= 1), 1,"")</f>
        <v/>
      </c>
      <c r="D16" s="750"/>
      <c r="E16" s="751"/>
      <c r="F16" s="751"/>
      <c r="G16" s="764" t="s">
        <v>697</v>
      </c>
      <c r="H16" s="758">
        <f>ES1E01</f>
        <v>0</v>
      </c>
      <c r="I16" s="743">
        <v>3</v>
      </c>
      <c r="J16" s="757"/>
      <c r="K16" s="758"/>
      <c r="L16" s="743"/>
      <c r="M16" s="757"/>
      <c r="N16" s="758"/>
      <c r="O16" s="743"/>
      <c r="P16" s="757"/>
      <c r="Q16" s="758"/>
      <c r="R16" s="743"/>
      <c r="S16" s="757"/>
      <c r="T16" s="758"/>
      <c r="U16" s="743"/>
      <c r="V16" s="757"/>
      <c r="W16" s="758"/>
      <c r="X16" s="758"/>
      <c r="Y16" s="757"/>
      <c r="Z16" s="758"/>
      <c r="AA16" s="758"/>
      <c r="AB16" s="757"/>
      <c r="AC16" s="758"/>
      <c r="AD16" s="758"/>
      <c r="AF16"/>
    </row>
    <row r="17" spans="1:32" ht="14.25" customHeight="1" x14ac:dyDescent="0.25">
      <c r="A17" s="745" t="s">
        <v>1983</v>
      </c>
      <c r="B17" s="746" t="s">
        <v>1960</v>
      </c>
      <c r="C17" s="16" t="str">
        <f>IF(OR(Plans_action!J173=1,Plans_action!J141= 1), 1,"")</f>
        <v/>
      </c>
      <c r="D17" s="750"/>
      <c r="E17" s="751"/>
      <c r="F17" s="751">
        <v>45657</v>
      </c>
      <c r="G17" s="754" t="s">
        <v>701</v>
      </c>
      <c r="H17" s="753">
        <f>ES1E03</f>
        <v>0</v>
      </c>
      <c r="I17" s="750">
        <v>3</v>
      </c>
      <c r="J17" s="752"/>
      <c r="K17" s="753"/>
      <c r="L17" s="750"/>
      <c r="M17" s="754"/>
      <c r="N17" s="753"/>
      <c r="O17" s="750"/>
      <c r="P17" s="754"/>
      <c r="Q17" s="753"/>
      <c r="R17" s="750"/>
      <c r="S17" s="752"/>
      <c r="T17" s="753"/>
      <c r="U17" s="750"/>
      <c r="V17" s="752"/>
      <c r="W17" s="753"/>
      <c r="X17" s="753"/>
      <c r="Y17" s="752"/>
      <c r="Z17" s="753"/>
      <c r="AA17" s="753"/>
      <c r="AB17" s="752"/>
      <c r="AC17" s="753"/>
      <c r="AD17" s="753"/>
      <c r="AF17"/>
    </row>
    <row r="18" spans="1:32" ht="14.25" customHeight="1" x14ac:dyDescent="0.25">
      <c r="A18" s="767" t="s">
        <v>2096</v>
      </c>
      <c r="B18" s="768"/>
      <c r="C18" s="768" t="s">
        <v>824</v>
      </c>
      <c r="D18" s="962"/>
      <c r="E18" s="768"/>
      <c r="F18" s="769"/>
      <c r="G18" s="770"/>
      <c r="H18" s="770"/>
      <c r="I18" s="771"/>
      <c r="J18" s="770"/>
      <c r="K18" s="770"/>
      <c r="L18" s="771"/>
      <c r="M18" s="770"/>
      <c r="N18" s="770"/>
      <c r="O18" s="771"/>
      <c r="P18" s="770"/>
      <c r="Q18" s="770"/>
      <c r="R18" s="771"/>
      <c r="S18" s="770"/>
      <c r="T18" s="770"/>
      <c r="U18" s="771"/>
      <c r="V18" s="770"/>
      <c r="W18" s="770"/>
      <c r="X18" s="770"/>
      <c r="Y18" s="770"/>
      <c r="Z18" s="770"/>
      <c r="AA18" s="770"/>
      <c r="AB18" s="770"/>
      <c r="AC18" s="770"/>
      <c r="AD18" s="770"/>
      <c r="AF18"/>
    </row>
    <row r="19" spans="1:32" x14ac:dyDescent="0.25">
      <c r="A19" s="760" t="s">
        <v>2243</v>
      </c>
      <c r="B19" s="761"/>
      <c r="C19" s="474" t="s">
        <v>824</v>
      </c>
      <c r="D19" s="961"/>
      <c r="E19" s="474"/>
      <c r="F19" s="762"/>
      <c r="G19" s="763"/>
      <c r="H19" s="763"/>
      <c r="I19" s="763"/>
      <c r="J19" s="763"/>
      <c r="K19" s="763"/>
      <c r="L19" s="763"/>
      <c r="M19" s="763"/>
      <c r="N19" s="763"/>
      <c r="O19" s="763"/>
      <c r="P19" s="763"/>
      <c r="Q19" s="763"/>
      <c r="R19" s="763"/>
      <c r="S19" s="763"/>
      <c r="T19" s="763"/>
      <c r="U19" s="763"/>
      <c r="V19" s="763"/>
      <c r="W19" s="763"/>
      <c r="X19" s="763"/>
      <c r="Y19" s="763"/>
      <c r="Z19" s="763"/>
      <c r="AA19" s="763"/>
      <c r="AB19" s="763"/>
      <c r="AC19" s="763"/>
      <c r="AD19" s="763"/>
      <c r="AF19"/>
    </row>
    <row r="20" spans="1:32" ht="14.25" customHeight="1" x14ac:dyDescent="0.25">
      <c r="A20" s="745" t="s">
        <v>2097</v>
      </c>
      <c r="B20" s="759" t="s">
        <v>2098</v>
      </c>
      <c r="C20" s="16" t="str">
        <f>IF(OR(Plans_action!J160=1,Plans_action!J83=1,Plans_action!J77=1,Plans_action!J73=1,Plans_action!J66=1,Plans_action!J44= 1), 1,"")</f>
        <v/>
      </c>
      <c r="D20" s="750"/>
      <c r="E20" s="751"/>
      <c r="F20" s="756"/>
      <c r="G20" s="757" t="s">
        <v>709</v>
      </c>
      <c r="H20" s="758">
        <f>ES2D01</f>
        <v>1</v>
      </c>
      <c r="I20" s="743">
        <v>3</v>
      </c>
      <c r="J20" s="757" t="s">
        <v>711</v>
      </c>
      <c r="K20" s="758">
        <f>ES2D02</f>
        <v>1</v>
      </c>
      <c r="L20" s="743">
        <v>3</v>
      </c>
      <c r="M20" s="757" t="s">
        <v>712</v>
      </c>
      <c r="N20" s="758">
        <f>ES2D04</f>
        <v>1</v>
      </c>
      <c r="O20" s="743">
        <v>3</v>
      </c>
      <c r="P20" s="757"/>
      <c r="Q20" s="757"/>
      <c r="R20" s="757"/>
      <c r="S20" s="757"/>
      <c r="T20" s="758"/>
      <c r="U20" s="743"/>
      <c r="V20" s="757"/>
      <c r="W20" s="758"/>
      <c r="X20" s="758"/>
      <c r="Y20" s="757"/>
      <c r="Z20" s="758"/>
      <c r="AA20" s="758"/>
      <c r="AB20" s="757"/>
      <c r="AC20" s="758"/>
      <c r="AD20" s="758"/>
      <c r="AF20"/>
    </row>
    <row r="21" spans="1:32" ht="14.25" customHeight="1" x14ac:dyDescent="0.25">
      <c r="A21" s="745" t="s">
        <v>6553</v>
      </c>
      <c r="B21" s="903" t="s">
        <v>6554</v>
      </c>
      <c r="C21" s="16" t="str">
        <f>IF(OR(Plans_action!J84=1,Plans_action!J78=1,Plans_action!J74=1,Plans_action!J69=1,Plans_action!J57=1,Plans_action!J47= 1), 1,"")</f>
        <v/>
      </c>
      <c r="D21" s="750"/>
      <c r="E21" s="751"/>
      <c r="F21" s="756">
        <v>44561</v>
      </c>
      <c r="G21" s="757" t="s">
        <v>614</v>
      </c>
      <c r="H21" s="758">
        <f>ES2D03</f>
        <v>1</v>
      </c>
      <c r="I21" s="743">
        <v>3</v>
      </c>
      <c r="J21" s="757"/>
      <c r="K21" s="757"/>
      <c r="L21" s="757"/>
      <c r="M21" s="757"/>
      <c r="N21" s="757"/>
      <c r="O21" s="757"/>
      <c r="P21" s="757"/>
      <c r="Q21" s="757"/>
      <c r="R21" s="757"/>
      <c r="S21" s="757"/>
      <c r="T21" s="758"/>
      <c r="U21" s="743"/>
      <c r="V21" s="757"/>
      <c r="W21" s="758"/>
      <c r="X21" s="758"/>
      <c r="Y21" s="757"/>
      <c r="Z21" s="758"/>
      <c r="AA21" s="758"/>
      <c r="AB21" s="757"/>
      <c r="AC21" s="758"/>
      <c r="AD21" s="758"/>
      <c r="AF21"/>
    </row>
    <row r="22" spans="1:32" ht="14.25" customHeight="1" x14ac:dyDescent="0.25">
      <c r="A22" s="745" t="s">
        <v>2100</v>
      </c>
      <c r="B22" s="759" t="s">
        <v>360</v>
      </c>
      <c r="C22" s="16" t="str">
        <f>IF(OR(Plans_action!J165=1,Plans_action!J154=1,Plans_action!J137=1,Plans_action!J86=1,Plans_action!J28=1,Plans_action!J16=1,Plans_action!J5= 1), 1,"")</f>
        <v/>
      </c>
      <c r="D22" s="750"/>
      <c r="E22" s="751"/>
      <c r="F22" s="756">
        <v>44562</v>
      </c>
      <c r="G22" s="757" t="s">
        <v>724</v>
      </c>
      <c r="H22" s="758">
        <f>ES2B01</f>
        <v>1</v>
      </c>
      <c r="I22" s="743">
        <v>4</v>
      </c>
      <c r="J22" s="757" t="s">
        <v>617</v>
      </c>
      <c r="K22" s="758">
        <f>ES2B02</f>
        <v>1</v>
      </c>
      <c r="L22" s="743">
        <v>4</v>
      </c>
      <c r="M22" s="758"/>
      <c r="N22" s="758"/>
      <c r="O22" s="758"/>
      <c r="P22" s="758"/>
      <c r="Q22" s="758"/>
      <c r="R22" s="743"/>
      <c r="S22" s="757"/>
      <c r="T22" s="758"/>
      <c r="U22" s="743"/>
      <c r="V22" s="757"/>
      <c r="W22" s="758"/>
      <c r="X22" s="758"/>
      <c r="Y22" s="757"/>
      <c r="Z22" s="758"/>
      <c r="AA22" s="758"/>
      <c r="AB22" s="757"/>
      <c r="AC22" s="758"/>
      <c r="AD22" s="758"/>
      <c r="AF22"/>
    </row>
    <row r="23" spans="1:32" ht="14.25" customHeight="1" x14ac:dyDescent="0.25">
      <c r="A23" s="909" t="s">
        <v>6555</v>
      </c>
      <c r="B23" s="909" t="s">
        <v>547</v>
      </c>
      <c r="C23" s="16" t="str">
        <f>IF(OR(Plans_action!J170=1,Plans_action!J163=1,Plans_action!J152=1,Plans_action!J89=1,Plans_action!J36=1,Plans_action!J26=1,Plans_action!J14= 1), 1,"")</f>
        <v/>
      </c>
      <c r="D23" s="750"/>
      <c r="E23" s="751"/>
      <c r="F23" s="756"/>
      <c r="G23" s="757" t="s">
        <v>618</v>
      </c>
      <c r="H23" s="758">
        <f>ES2B03</f>
        <v>1</v>
      </c>
      <c r="I23" s="743">
        <v>4</v>
      </c>
      <c r="J23" s="757"/>
      <c r="K23" s="757"/>
      <c r="L23" s="757"/>
      <c r="M23" s="757"/>
      <c r="N23" s="757"/>
      <c r="O23" s="757"/>
      <c r="P23" s="757"/>
      <c r="Q23" s="758"/>
      <c r="R23" s="743"/>
      <c r="S23" s="757"/>
      <c r="T23" s="758"/>
      <c r="U23" s="743"/>
      <c r="V23" s="757"/>
      <c r="W23" s="758"/>
      <c r="X23" s="758"/>
      <c r="Y23" s="757"/>
      <c r="Z23" s="758"/>
      <c r="AA23" s="758"/>
      <c r="AB23" s="757"/>
      <c r="AC23" s="758"/>
      <c r="AD23" s="758"/>
      <c r="AF23"/>
    </row>
    <row r="24" spans="1:32" x14ac:dyDescent="0.25">
      <c r="A24" s="760" t="s">
        <v>2244</v>
      </c>
      <c r="B24" s="761"/>
      <c r="C24" s="474" t="s">
        <v>824</v>
      </c>
      <c r="D24" s="961"/>
      <c r="E24" s="474"/>
      <c r="F24" s="762"/>
      <c r="G24" s="763"/>
      <c r="H24" s="763"/>
      <c r="I24" s="763"/>
      <c r="J24" s="763"/>
      <c r="K24" s="763"/>
      <c r="L24" s="763"/>
      <c r="M24" s="763"/>
      <c r="N24" s="763"/>
      <c r="O24" s="763"/>
      <c r="P24" s="763"/>
      <c r="Q24" s="763"/>
      <c r="R24" s="763"/>
      <c r="S24" s="763"/>
      <c r="T24" s="763"/>
      <c r="U24" s="763"/>
      <c r="V24" s="763"/>
      <c r="W24" s="763"/>
      <c r="X24" s="763"/>
      <c r="Y24" s="763"/>
      <c r="Z24" s="763"/>
      <c r="AA24" s="763"/>
      <c r="AB24" s="763"/>
      <c r="AC24" s="763"/>
      <c r="AD24" s="763"/>
      <c r="AF24"/>
    </row>
    <row r="25" spans="1:32" ht="14.25" customHeight="1" x14ac:dyDescent="0.25">
      <c r="A25" s="745" t="s">
        <v>1976</v>
      </c>
      <c r="B25" s="759" t="s">
        <v>731</v>
      </c>
      <c r="C25" s="16" t="str">
        <f>IF(OR(Plans_action!J188=1,Plans_action!J166=1,Plans_action!J155=1,Plans_action!J136=1,Plans_action!J116=1,Plans_action!J59=1,Plans_action!J49=1,Plans_action!J38=1,Plans_action!J29=1,Plans_action!J17=1,Plans_action!J6= 1), 1,"")</f>
        <v/>
      </c>
      <c r="D25" s="750"/>
      <c r="E25" s="751"/>
      <c r="F25" s="756">
        <v>45291</v>
      </c>
      <c r="G25" s="757" t="s">
        <v>629</v>
      </c>
      <c r="H25" s="758">
        <f>ES3A02</f>
        <v>0</v>
      </c>
      <c r="I25" s="743">
        <v>4</v>
      </c>
      <c r="J25" s="757" t="s">
        <v>628</v>
      </c>
      <c r="K25" s="758">
        <f>ES3A04</f>
        <v>1</v>
      </c>
      <c r="L25" s="743">
        <v>4</v>
      </c>
      <c r="M25" s="757" t="s">
        <v>733</v>
      </c>
      <c r="N25" s="758">
        <f>ES3A06</f>
        <v>0</v>
      </c>
      <c r="O25" s="743">
        <v>4</v>
      </c>
      <c r="P25" s="757" t="s">
        <v>819</v>
      </c>
      <c r="Q25" s="758">
        <f>ES3A07</f>
        <v>0</v>
      </c>
      <c r="R25" s="743">
        <v>4</v>
      </c>
      <c r="S25" s="757"/>
      <c r="T25" s="758"/>
      <c r="U25" s="743"/>
      <c r="V25" s="757"/>
      <c r="W25" s="758"/>
      <c r="X25" s="758"/>
      <c r="Y25" s="757"/>
      <c r="Z25" s="758"/>
      <c r="AA25" s="758"/>
      <c r="AB25" s="757"/>
      <c r="AC25" s="758"/>
      <c r="AD25" s="758"/>
      <c r="AF25"/>
    </row>
    <row r="26" spans="1:32" ht="14.25" customHeight="1" x14ac:dyDescent="0.25">
      <c r="A26" s="745" t="s">
        <v>4607</v>
      </c>
      <c r="B26" s="759" t="s">
        <v>4604</v>
      </c>
      <c r="C26" s="16" t="str">
        <f>IF(OR(Plans_action!J131=1,Plans_action!J126=1,Plans_action!J121= 1), 1,"")</f>
        <v/>
      </c>
      <c r="D26" s="750"/>
      <c r="E26" s="751"/>
      <c r="F26" s="751"/>
      <c r="G26" s="757" t="s">
        <v>3096</v>
      </c>
      <c r="H26" s="758">
        <f>ES3A09</f>
        <v>1</v>
      </c>
      <c r="I26" s="743">
        <v>4</v>
      </c>
      <c r="J26" s="757"/>
      <c r="K26" s="758"/>
      <c r="L26" s="743"/>
      <c r="M26" s="757"/>
      <c r="N26" s="758"/>
      <c r="O26" s="743"/>
      <c r="P26" s="757"/>
      <c r="Q26" s="758"/>
      <c r="R26" s="743"/>
      <c r="S26" s="757"/>
      <c r="T26" s="758"/>
      <c r="U26" s="743"/>
      <c r="V26" s="757"/>
      <c r="W26" s="758"/>
      <c r="X26" s="758"/>
      <c r="Y26" s="757"/>
      <c r="Z26" s="758"/>
      <c r="AA26" s="758"/>
      <c r="AB26" s="757"/>
      <c r="AC26" s="758"/>
      <c r="AD26" s="758"/>
      <c r="AF26"/>
    </row>
    <row r="27" spans="1:32" x14ac:dyDescent="0.25">
      <c r="A27" s="760" t="s">
        <v>2247</v>
      </c>
      <c r="B27" s="761"/>
      <c r="C27" s="474" t="s">
        <v>824</v>
      </c>
      <c r="D27" s="961"/>
      <c r="E27" s="474"/>
      <c r="F27" s="762"/>
      <c r="G27" s="763"/>
      <c r="H27" s="763"/>
      <c r="I27" s="763"/>
      <c r="J27" s="763"/>
      <c r="K27" s="763"/>
      <c r="L27" s="763"/>
      <c r="M27" s="763"/>
      <c r="N27" s="763"/>
      <c r="O27" s="763"/>
      <c r="P27" s="763"/>
      <c r="Q27" s="763"/>
      <c r="R27" s="763"/>
      <c r="S27" s="763"/>
      <c r="T27" s="763"/>
      <c r="U27" s="763"/>
      <c r="V27" s="763"/>
      <c r="W27" s="763"/>
      <c r="X27" s="763"/>
      <c r="Y27" s="763"/>
      <c r="Z27" s="763"/>
      <c r="AA27" s="763"/>
      <c r="AB27" s="763"/>
      <c r="AC27" s="763"/>
      <c r="AD27" s="763"/>
      <c r="AF27"/>
    </row>
    <row r="28" spans="1:32" ht="14.25" customHeight="1" x14ac:dyDescent="0.25">
      <c r="A28" s="745" t="s">
        <v>2109</v>
      </c>
      <c r="B28" s="759" t="s">
        <v>1404</v>
      </c>
      <c r="C28" s="16" t="str">
        <f>IF(OR(Plans_action!J159=1,Plans_action!J64=1,Plans_action!J55=1,Plans_action!J43= 1), 1,"")</f>
        <v/>
      </c>
      <c r="D28" s="750"/>
      <c r="E28" s="751"/>
      <c r="F28" s="756">
        <v>45657</v>
      </c>
      <c r="G28" s="757" t="s">
        <v>644</v>
      </c>
      <c r="H28" s="758">
        <f>ES6A01</f>
        <v>1</v>
      </c>
      <c r="I28" s="743">
        <v>4</v>
      </c>
      <c r="J28" s="757"/>
      <c r="K28" s="758"/>
      <c r="L28" s="743"/>
      <c r="M28" s="757"/>
      <c r="N28" s="758"/>
      <c r="O28" s="743"/>
      <c r="P28" s="757"/>
      <c r="Q28" s="758"/>
      <c r="R28" s="743"/>
      <c r="S28" s="757"/>
      <c r="T28" s="758"/>
      <c r="U28" s="743"/>
      <c r="V28" s="757"/>
      <c r="W28" s="758"/>
      <c r="X28" s="758"/>
      <c r="Y28" s="757"/>
      <c r="Z28" s="758"/>
      <c r="AA28" s="758"/>
      <c r="AB28" s="757"/>
      <c r="AC28" s="758"/>
      <c r="AD28" s="758"/>
      <c r="AF28"/>
    </row>
    <row r="29" spans="1:32" ht="14.25" customHeight="1" x14ac:dyDescent="0.25">
      <c r="A29" s="745" t="s">
        <v>2181</v>
      </c>
      <c r="B29" s="759" t="s">
        <v>2182</v>
      </c>
      <c r="C29" s="16" t="str">
        <f>IF(OR(Plans_action!J65= 1), 1,"")</f>
        <v/>
      </c>
      <c r="D29" s="750"/>
      <c r="E29" s="751"/>
      <c r="F29" s="756"/>
      <c r="G29" s="757" t="s">
        <v>2165</v>
      </c>
      <c r="H29" s="758">
        <f>ES6C02</f>
        <v>1</v>
      </c>
      <c r="I29" s="743">
        <v>4</v>
      </c>
      <c r="J29" s="757"/>
      <c r="K29" s="758"/>
      <c r="L29" s="743"/>
      <c r="M29" s="764"/>
      <c r="N29" s="758"/>
      <c r="O29" s="743"/>
      <c r="P29" s="757"/>
      <c r="Q29" s="758"/>
      <c r="R29" s="743"/>
      <c r="S29" s="757"/>
      <c r="T29" s="758"/>
      <c r="U29" s="743"/>
      <c r="V29" s="757"/>
      <c r="W29" s="758"/>
      <c r="X29" s="758"/>
      <c r="Y29" s="757"/>
      <c r="Z29" s="758"/>
      <c r="AA29" s="758"/>
      <c r="AB29" s="757"/>
      <c r="AC29" s="758"/>
      <c r="AD29" s="758"/>
      <c r="AF29"/>
    </row>
    <row r="30" spans="1:32" ht="14.25" customHeight="1" x14ac:dyDescent="0.25">
      <c r="A30" s="767" t="s">
        <v>2009</v>
      </c>
      <c r="B30" s="768"/>
      <c r="C30" s="768" t="s">
        <v>824</v>
      </c>
      <c r="D30" s="962"/>
      <c r="E30" s="768"/>
      <c r="F30" s="769"/>
      <c r="G30" s="770"/>
      <c r="H30" s="770"/>
      <c r="I30" s="771"/>
      <c r="J30" s="770"/>
      <c r="K30" s="770"/>
      <c r="L30" s="771"/>
      <c r="M30" s="770"/>
      <c r="N30" s="770"/>
      <c r="O30" s="771"/>
      <c r="P30" s="770"/>
      <c r="Q30" s="770"/>
      <c r="R30" s="771"/>
      <c r="S30" s="770"/>
      <c r="T30" s="770"/>
      <c r="U30" s="771"/>
      <c r="V30" s="770"/>
      <c r="W30" s="770"/>
      <c r="X30" s="770"/>
      <c r="Y30" s="770"/>
      <c r="Z30" s="770"/>
      <c r="AA30" s="770"/>
      <c r="AB30" s="770"/>
      <c r="AC30" s="770"/>
      <c r="AD30" s="770"/>
      <c r="AF30"/>
    </row>
    <row r="31" spans="1:32" x14ac:dyDescent="0.25">
      <c r="A31" s="760" t="s">
        <v>2245</v>
      </c>
      <c r="B31" s="761"/>
      <c r="C31" s="474" t="s">
        <v>824</v>
      </c>
      <c r="D31" s="961"/>
      <c r="E31" s="474"/>
      <c r="F31" s="762"/>
      <c r="G31" s="763"/>
      <c r="H31" s="763"/>
      <c r="I31" s="763"/>
      <c r="J31" s="763"/>
      <c r="K31" s="763"/>
      <c r="L31" s="763"/>
      <c r="M31" s="763"/>
      <c r="N31" s="763"/>
      <c r="O31" s="763"/>
      <c r="P31" s="763"/>
      <c r="Q31" s="763"/>
      <c r="R31" s="763"/>
      <c r="S31" s="763"/>
      <c r="T31" s="763"/>
      <c r="U31" s="763"/>
      <c r="V31" s="763"/>
      <c r="W31" s="763"/>
      <c r="X31" s="763"/>
      <c r="Y31" s="763"/>
      <c r="Z31" s="763"/>
      <c r="AA31" s="763"/>
      <c r="AB31" s="763"/>
      <c r="AC31" s="763"/>
      <c r="AD31" s="763"/>
      <c r="AF31"/>
    </row>
    <row r="32" spans="1:32" ht="14.25" customHeight="1" x14ac:dyDescent="0.25">
      <c r="A32" s="745" t="s">
        <v>1979</v>
      </c>
      <c r="B32" s="759" t="s">
        <v>4672</v>
      </c>
      <c r="C32" s="16" t="str">
        <f>IF(OR(Plans_action!J189=1,Plans_action!J157= 1), 1,"")</f>
        <v/>
      </c>
      <c r="D32" s="750"/>
      <c r="E32" s="751"/>
      <c r="F32" s="756"/>
      <c r="G32" s="757" t="s">
        <v>627</v>
      </c>
      <c r="H32" s="758">
        <f>ES4B01</f>
        <v>1</v>
      </c>
      <c r="I32" s="743">
        <v>4</v>
      </c>
      <c r="J32" s="757" t="s">
        <v>4626</v>
      </c>
      <c r="K32" s="758">
        <f>ES5A06</f>
        <v>1</v>
      </c>
      <c r="L32" s="743">
        <v>4</v>
      </c>
      <c r="M32" s="757"/>
      <c r="N32" s="757"/>
      <c r="O32" s="757"/>
      <c r="P32" s="757"/>
      <c r="Q32" s="757"/>
      <c r="R32" s="757"/>
      <c r="S32" s="757"/>
      <c r="T32" s="757"/>
      <c r="U32" s="757"/>
      <c r="V32" s="757"/>
      <c r="W32" s="758"/>
      <c r="X32" s="758"/>
      <c r="Y32" s="757"/>
      <c r="Z32" s="758"/>
      <c r="AA32" s="758"/>
      <c r="AB32" s="757"/>
      <c r="AC32" s="758"/>
      <c r="AD32" s="758"/>
      <c r="AF32"/>
    </row>
    <row r="33" spans="1:32" ht="14.25" customHeight="1" x14ac:dyDescent="0.25">
      <c r="A33" s="745" t="s">
        <v>6556</v>
      </c>
      <c r="B33" s="759" t="s">
        <v>6557</v>
      </c>
      <c r="C33" s="16" t="str">
        <f>IF(OR(Plans_action!J139= 1), 1,"")</f>
        <v/>
      </c>
      <c r="D33" s="750"/>
      <c r="E33" s="751"/>
      <c r="F33" s="756"/>
      <c r="G33" s="757" t="s">
        <v>625</v>
      </c>
      <c r="H33" s="758">
        <f>ES4A05</f>
        <v>1</v>
      </c>
      <c r="I33" s="743">
        <v>4</v>
      </c>
      <c r="J33" s="757" t="s">
        <v>1060</v>
      </c>
      <c r="K33" s="758">
        <f>ES4A14</f>
        <v>1</v>
      </c>
      <c r="L33" s="743">
        <v>4</v>
      </c>
      <c r="M33" s="757" t="s">
        <v>780</v>
      </c>
      <c r="N33" s="758">
        <f>ES7B02</f>
        <v>1</v>
      </c>
      <c r="O33" s="743">
        <v>4</v>
      </c>
      <c r="P33" s="757"/>
      <c r="Q33" s="757"/>
      <c r="R33" s="757"/>
      <c r="S33" s="757"/>
      <c r="T33" s="757"/>
      <c r="U33" s="757"/>
      <c r="V33" s="757"/>
      <c r="W33" s="758"/>
      <c r="X33" s="758"/>
      <c r="Y33" s="757"/>
      <c r="Z33" s="758"/>
      <c r="AA33" s="758"/>
      <c r="AB33" s="757"/>
      <c r="AC33" s="758"/>
      <c r="AD33" s="758"/>
      <c r="AF33"/>
    </row>
    <row r="34" spans="1:32" ht="14.25" customHeight="1" x14ac:dyDescent="0.25">
      <c r="A34" s="745" t="s">
        <v>2005</v>
      </c>
      <c r="B34" s="759" t="s">
        <v>2108</v>
      </c>
      <c r="C34" s="16" t="str">
        <f>IF(OR(Plans_action!J161= 1), 1,"")</f>
        <v/>
      </c>
      <c r="D34" s="750"/>
      <c r="E34" s="751"/>
      <c r="F34" s="756"/>
      <c r="G34" s="757" t="s">
        <v>790</v>
      </c>
      <c r="H34" s="758">
        <f>ES7B08</f>
        <v>1</v>
      </c>
      <c r="I34" s="743">
        <v>4</v>
      </c>
      <c r="J34" s="757"/>
      <c r="K34" s="757"/>
      <c r="L34" s="757"/>
      <c r="M34" s="757"/>
      <c r="N34" s="757"/>
      <c r="O34" s="757"/>
      <c r="P34" s="757"/>
      <c r="Q34" s="758"/>
      <c r="R34" s="743"/>
      <c r="S34" s="757"/>
      <c r="T34" s="758"/>
      <c r="U34" s="743"/>
      <c r="V34" s="757"/>
      <c r="W34" s="758"/>
      <c r="X34" s="758"/>
      <c r="Y34" s="757"/>
      <c r="Z34" s="758"/>
      <c r="AA34" s="758"/>
      <c r="AB34" s="757"/>
      <c r="AC34" s="758"/>
      <c r="AD34" s="758"/>
      <c r="AF34"/>
    </row>
    <row r="35" spans="1:32" x14ac:dyDescent="0.25">
      <c r="A35" s="760" t="s">
        <v>4588</v>
      </c>
      <c r="B35" s="761"/>
      <c r="C35" s="474" t="s">
        <v>824</v>
      </c>
      <c r="D35" s="961"/>
      <c r="E35" s="474"/>
      <c r="F35" s="762"/>
      <c r="G35" s="763"/>
      <c r="H35" s="763"/>
      <c r="I35" s="763"/>
      <c r="J35" s="763"/>
      <c r="K35" s="763"/>
      <c r="L35" s="763"/>
      <c r="M35" s="763"/>
      <c r="N35" s="763"/>
      <c r="O35" s="763"/>
      <c r="P35" s="763"/>
      <c r="Q35" s="763"/>
      <c r="R35" s="763"/>
      <c r="S35" s="763"/>
      <c r="T35" s="763"/>
      <c r="U35" s="763"/>
      <c r="V35" s="763"/>
      <c r="W35" s="763"/>
      <c r="X35" s="763"/>
      <c r="Y35" s="763"/>
      <c r="Z35" s="763"/>
      <c r="AA35" s="763"/>
      <c r="AB35" s="763"/>
      <c r="AC35" s="763"/>
      <c r="AD35" s="763"/>
      <c r="AF35"/>
    </row>
    <row r="36" spans="1:32" ht="14.25" customHeight="1" x14ac:dyDescent="0.25">
      <c r="A36" s="745" t="s">
        <v>6558</v>
      </c>
      <c r="B36" s="746" t="s">
        <v>6560</v>
      </c>
      <c r="C36" s="16" t="str">
        <f>IF(OR(Plans_action!J190=1,Plans_action!J169=1,Plans_action!J162=1,Plans_action!J150=1,Plans_action!J117=1,Plans_action!J108=1,Plans_action!J102=1,Plans_action!J68=1,Plans_action!J56=1,Plans_action!J46=1,Plans_action!J35=1,Plans_action!J25=1,Plans_action!J13= 1), 1,"")</f>
        <v/>
      </c>
      <c r="D36" s="750"/>
      <c r="E36" s="751"/>
      <c r="F36" s="756">
        <v>44561</v>
      </c>
      <c r="G36" s="757" t="s">
        <v>820</v>
      </c>
      <c r="H36" s="758">
        <f>ES3A08</f>
        <v>0</v>
      </c>
      <c r="I36" s="743">
        <v>4</v>
      </c>
      <c r="J36" s="757" t="s">
        <v>623</v>
      </c>
      <c r="K36" s="758">
        <f>ES4A11</f>
        <v>1</v>
      </c>
      <c r="L36" s="743">
        <v>4</v>
      </c>
      <c r="M36" s="752"/>
      <c r="N36" s="752"/>
      <c r="O36" s="752"/>
      <c r="P36" s="752"/>
      <c r="Q36" s="753"/>
      <c r="R36" s="752"/>
      <c r="S36" s="752"/>
      <c r="T36" s="752"/>
      <c r="U36" s="752"/>
      <c r="V36" s="752"/>
      <c r="W36" s="753"/>
      <c r="X36" s="753"/>
      <c r="Y36" s="752"/>
      <c r="Z36" s="753"/>
      <c r="AA36" s="753"/>
      <c r="AB36" s="752"/>
      <c r="AC36" s="753"/>
      <c r="AD36" s="753"/>
      <c r="AF36"/>
    </row>
    <row r="37" spans="1:32" ht="14.25" customHeight="1" x14ac:dyDescent="0.25">
      <c r="A37" s="745" t="s">
        <v>4656</v>
      </c>
      <c r="B37" s="746" t="s">
        <v>4392</v>
      </c>
      <c r="C37" s="16" t="str">
        <f>IF(OR(Plans_action!J118=1,Plans_action!J112= 1), 1,"")</f>
        <v/>
      </c>
      <c r="D37" s="750"/>
      <c r="E37" s="751"/>
      <c r="F37" s="756"/>
      <c r="G37" s="757" t="s">
        <v>4391</v>
      </c>
      <c r="H37" s="758">
        <f>ES5A05</f>
        <v>1</v>
      </c>
      <c r="I37" s="743">
        <v>4</v>
      </c>
      <c r="J37" s="752"/>
      <c r="K37" s="753"/>
      <c r="L37" s="750"/>
      <c r="M37" s="757"/>
      <c r="N37" s="758"/>
      <c r="O37" s="743"/>
      <c r="P37" s="752"/>
      <c r="Q37" s="753"/>
      <c r="R37" s="750"/>
      <c r="S37" s="752"/>
      <c r="T37" s="753"/>
      <c r="U37" s="750"/>
      <c r="V37" s="752"/>
      <c r="W37" s="753"/>
      <c r="X37" s="753"/>
      <c r="Y37" s="752"/>
      <c r="Z37" s="753"/>
      <c r="AA37" s="753"/>
      <c r="AB37" s="752"/>
      <c r="AC37" s="753"/>
      <c r="AD37" s="753"/>
      <c r="AF37"/>
    </row>
    <row r="38" spans="1:32" ht="14.25" customHeight="1" x14ac:dyDescent="0.25">
      <c r="A38" s="745" t="s">
        <v>6550</v>
      </c>
      <c r="B38" s="746" t="s">
        <v>6561</v>
      </c>
      <c r="C38" s="16" t="str">
        <f>IF(OR(Plans_action!J183=1,Plans_action!J151= 1), 1,"")</f>
        <v/>
      </c>
      <c r="D38" s="750"/>
      <c r="E38" s="751"/>
      <c r="F38" s="756"/>
      <c r="G38" s="752" t="s">
        <v>624</v>
      </c>
      <c r="H38" s="753">
        <f>ES4A10</f>
        <v>1</v>
      </c>
      <c r="I38" s="750">
        <v>3</v>
      </c>
      <c r="J38" s="757" t="s">
        <v>621</v>
      </c>
      <c r="K38" s="758">
        <f>ES4C05</f>
        <v>1</v>
      </c>
      <c r="L38" s="743">
        <v>3</v>
      </c>
      <c r="M38" s="757" t="s">
        <v>4640</v>
      </c>
      <c r="N38" s="758">
        <f>ES5C03</f>
        <v>1</v>
      </c>
      <c r="O38" s="743">
        <v>3</v>
      </c>
      <c r="P38" s="752"/>
      <c r="Q38" s="753"/>
      <c r="R38" s="750"/>
      <c r="S38" s="752"/>
      <c r="T38" s="752"/>
      <c r="U38" s="752"/>
      <c r="V38" s="752"/>
      <c r="W38" s="753"/>
      <c r="X38" s="753"/>
      <c r="Y38" s="752"/>
      <c r="Z38" s="753"/>
      <c r="AA38" s="753"/>
      <c r="AB38" s="752"/>
      <c r="AC38" s="753"/>
      <c r="AD38" s="753"/>
      <c r="AF38"/>
    </row>
    <row r="39" spans="1:32" ht="14.25" customHeight="1" x14ac:dyDescent="0.25">
      <c r="A39" s="745" t="s">
        <v>6290</v>
      </c>
      <c r="B39" s="759" t="s">
        <v>6291</v>
      </c>
      <c r="C39" s="16" t="str">
        <f>IF(OR(Plans_action!J158=1,Plans_action!J62=1,Plans_action!J32=1,Plans_action!J9= 1), 1,"")</f>
        <v/>
      </c>
      <c r="D39" s="750"/>
      <c r="E39" s="751"/>
      <c r="F39" s="756"/>
      <c r="G39" s="757" t="s">
        <v>626</v>
      </c>
      <c r="H39" s="758">
        <f>ES4A09</f>
        <v>1</v>
      </c>
      <c r="I39" s="743">
        <v>4</v>
      </c>
      <c r="J39" s="757" t="s">
        <v>791</v>
      </c>
      <c r="K39" s="758">
        <f>ES7B09</f>
        <v>1</v>
      </c>
      <c r="L39" s="743">
        <v>4</v>
      </c>
      <c r="M39" s="757"/>
      <c r="N39" s="758"/>
      <c r="O39" s="743"/>
      <c r="P39" s="757"/>
      <c r="Q39" s="758"/>
      <c r="R39" s="743"/>
      <c r="S39" s="757"/>
      <c r="T39" s="758"/>
      <c r="U39" s="743"/>
      <c r="V39" s="757"/>
      <c r="W39" s="758"/>
      <c r="X39" s="758"/>
      <c r="Y39" s="757"/>
      <c r="Z39" s="758"/>
      <c r="AA39" s="758"/>
      <c r="AB39" s="757"/>
      <c r="AC39" s="758"/>
      <c r="AD39" s="758"/>
      <c r="AF39"/>
    </row>
    <row r="40" spans="1:32" ht="14.25" customHeight="1" x14ac:dyDescent="0.25">
      <c r="A40" s="767" t="s">
        <v>2010</v>
      </c>
      <c r="B40" s="768"/>
      <c r="C40" s="768" t="s">
        <v>824</v>
      </c>
      <c r="D40" s="962"/>
      <c r="E40" s="768"/>
      <c r="F40" s="769"/>
      <c r="G40" s="770"/>
      <c r="H40" s="770"/>
      <c r="I40" s="771"/>
      <c r="J40" s="770"/>
      <c r="K40" s="770"/>
      <c r="L40" s="771"/>
      <c r="M40" s="770"/>
      <c r="N40" s="770"/>
      <c r="O40" s="771"/>
      <c r="P40" s="770"/>
      <c r="Q40" s="770"/>
      <c r="R40" s="771"/>
      <c r="S40" s="770"/>
      <c r="T40" s="770"/>
      <c r="U40" s="771"/>
      <c r="V40" s="770"/>
      <c r="W40" s="770"/>
      <c r="X40" s="770"/>
      <c r="Y40" s="770"/>
      <c r="Z40" s="770"/>
      <c r="AA40" s="770"/>
      <c r="AB40" s="770"/>
      <c r="AC40" s="770"/>
      <c r="AD40" s="770"/>
      <c r="AF40"/>
    </row>
    <row r="41" spans="1:32" x14ac:dyDescent="0.25">
      <c r="A41" s="760" t="s">
        <v>2246</v>
      </c>
      <c r="B41" s="761"/>
      <c r="C41" s="761" t="s">
        <v>824</v>
      </c>
      <c r="D41" s="963"/>
      <c r="E41" s="761"/>
      <c r="F41" s="762"/>
      <c r="G41" s="763"/>
      <c r="H41" s="763"/>
      <c r="I41" s="763"/>
      <c r="J41" s="763"/>
      <c r="K41" s="763"/>
      <c r="L41" s="763"/>
      <c r="M41" s="763"/>
      <c r="N41" s="763"/>
      <c r="O41" s="763"/>
      <c r="P41" s="763"/>
      <c r="Q41" s="763"/>
      <c r="R41" s="763"/>
      <c r="S41" s="763"/>
      <c r="T41" s="763"/>
      <c r="U41" s="763"/>
      <c r="V41" s="763"/>
      <c r="W41" s="763"/>
      <c r="X41" s="763"/>
      <c r="Y41" s="763"/>
      <c r="Z41" s="763"/>
      <c r="AA41" s="763"/>
      <c r="AB41" s="763"/>
      <c r="AC41" s="763"/>
      <c r="AD41" s="763"/>
      <c r="AF41"/>
    </row>
    <row r="42" spans="1:32" ht="14.25" customHeight="1" x14ac:dyDescent="0.25">
      <c r="A42" s="745" t="s">
        <v>1973</v>
      </c>
      <c r="B42" s="759" t="s">
        <v>1618</v>
      </c>
      <c r="C42" s="16" t="str">
        <f>IF(OR(Plans_action!J167=1,Plans_action!J106=1,Plans_action!J30=1,Plans_action!J19= 1), 1,"")</f>
        <v/>
      </c>
      <c r="D42" s="750"/>
      <c r="E42" s="751"/>
      <c r="F42" s="756">
        <v>45291</v>
      </c>
      <c r="G42" s="757" t="s">
        <v>641</v>
      </c>
      <c r="H42" s="758">
        <f>ES5B02</f>
        <v>1</v>
      </c>
      <c r="I42" s="743">
        <v>4</v>
      </c>
      <c r="J42" s="757"/>
      <c r="K42" s="765"/>
      <c r="L42" s="743"/>
      <c r="M42" s="764"/>
      <c r="N42" s="765"/>
      <c r="O42" s="743"/>
      <c r="P42" s="757"/>
      <c r="Q42" s="765"/>
      <c r="R42" s="743"/>
      <c r="S42" s="757"/>
      <c r="T42" s="758"/>
      <c r="U42" s="743"/>
      <c r="V42" s="757"/>
      <c r="W42" s="758"/>
      <c r="X42" s="758"/>
      <c r="Y42" s="757"/>
      <c r="Z42" s="758"/>
      <c r="AA42" s="758"/>
      <c r="AB42" s="757"/>
      <c r="AC42" s="758"/>
      <c r="AD42" s="758"/>
      <c r="AF42"/>
    </row>
    <row r="43" spans="1:32" ht="14.25" customHeight="1" x14ac:dyDescent="0.25">
      <c r="A43" s="343" t="s">
        <v>1974</v>
      </c>
      <c r="B43" s="759" t="s">
        <v>1955</v>
      </c>
      <c r="C43" s="16" t="str">
        <f>IF(OR(Plans_action!J60=1,Plans_action!J51= 1), 1,"")</f>
        <v/>
      </c>
      <c r="D43" s="750"/>
      <c r="E43" s="751"/>
      <c r="F43" s="756">
        <v>44926</v>
      </c>
      <c r="G43" s="757" t="s">
        <v>646</v>
      </c>
      <c r="H43" s="758">
        <f>ES6B01</f>
        <v>0</v>
      </c>
      <c r="I43" s="743">
        <v>4</v>
      </c>
      <c r="J43" s="757"/>
      <c r="K43" s="758"/>
      <c r="L43" s="743"/>
      <c r="M43" s="757"/>
      <c r="N43" s="758"/>
      <c r="O43" s="743"/>
      <c r="P43" s="757"/>
      <c r="Q43" s="758"/>
      <c r="R43" s="743"/>
      <c r="S43" s="757"/>
      <c r="T43" s="772"/>
      <c r="U43" s="743"/>
      <c r="V43" s="757"/>
      <c r="W43" s="772"/>
      <c r="X43" s="758"/>
      <c r="Y43" s="757"/>
      <c r="Z43" s="772"/>
      <c r="AA43" s="758"/>
      <c r="AB43" s="757"/>
      <c r="AC43" s="772"/>
      <c r="AD43" s="758"/>
      <c r="AF43"/>
    </row>
    <row r="44" spans="1:32" ht="14.25" customHeight="1" x14ac:dyDescent="0.25">
      <c r="A44" s="745" t="s">
        <v>1975</v>
      </c>
      <c r="B44" s="759" t="s">
        <v>1956</v>
      </c>
      <c r="C44" s="16" t="str">
        <f>IF(OR(Plans_action!J61=1,Plans_action!J52=1,Plans_action!J31=1,Plans_action!J20= 1), 1,"")</f>
        <v/>
      </c>
      <c r="D44" s="750"/>
      <c r="E44" s="751"/>
      <c r="F44" s="751"/>
      <c r="G44" s="757" t="s">
        <v>640</v>
      </c>
      <c r="H44" s="758">
        <f>ES5B01</f>
        <v>1</v>
      </c>
      <c r="I44" s="743">
        <v>4</v>
      </c>
      <c r="J44" s="757"/>
      <c r="K44" s="758"/>
      <c r="L44" s="743"/>
      <c r="M44" s="757"/>
      <c r="N44" s="758"/>
      <c r="O44" s="743"/>
      <c r="P44" s="757"/>
      <c r="Q44" s="758"/>
      <c r="R44" s="743"/>
      <c r="S44" s="757"/>
      <c r="T44" s="758"/>
      <c r="U44" s="743"/>
      <c r="V44" s="757"/>
      <c r="W44" s="758"/>
      <c r="X44" s="758"/>
      <c r="Y44" s="757"/>
      <c r="Z44" s="758"/>
      <c r="AA44" s="758"/>
      <c r="AB44" s="757"/>
      <c r="AC44" s="758"/>
      <c r="AD44" s="758"/>
      <c r="AF44"/>
    </row>
    <row r="45" spans="1:32" ht="14.25" customHeight="1" x14ac:dyDescent="0.25">
      <c r="A45" s="745" t="s">
        <v>1990</v>
      </c>
      <c r="B45" s="759" t="s">
        <v>1965</v>
      </c>
      <c r="C45" s="16" t="str">
        <f>IF(OR(Plans_action!J133= 1), 1,"")</f>
        <v/>
      </c>
      <c r="D45" s="750"/>
      <c r="E45" s="751"/>
      <c r="F45" s="751"/>
      <c r="G45" s="757" t="s">
        <v>1611</v>
      </c>
      <c r="H45" s="758">
        <f>ES5G02</f>
        <v>1</v>
      </c>
      <c r="I45" s="743">
        <v>4</v>
      </c>
      <c r="J45" s="757"/>
      <c r="K45" s="758"/>
      <c r="L45" s="743"/>
      <c r="M45" s="757"/>
      <c r="N45" s="758"/>
      <c r="O45" s="743"/>
      <c r="P45" s="757"/>
      <c r="Q45" s="758"/>
      <c r="R45" s="773"/>
      <c r="S45" s="757"/>
      <c r="T45" s="758"/>
      <c r="U45" s="773"/>
      <c r="V45" s="757"/>
      <c r="W45" s="758"/>
      <c r="X45" s="757"/>
      <c r="Y45" s="757"/>
      <c r="Z45" s="758"/>
      <c r="AA45" s="757"/>
      <c r="AB45" s="757"/>
      <c r="AC45" s="758"/>
      <c r="AD45" s="757"/>
      <c r="AF45"/>
    </row>
    <row r="46" spans="1:32" ht="14.25" customHeight="1" x14ac:dyDescent="0.25">
      <c r="A46" s="745" t="s">
        <v>2004</v>
      </c>
      <c r="B46" s="759" t="s">
        <v>1969</v>
      </c>
      <c r="C46" s="16" t="str">
        <f>IF(OR(Plans_action!J97=1,Plans_action!J91=1,Plans_action!J88= 1), 1,"")</f>
        <v/>
      </c>
      <c r="D46" s="750"/>
      <c r="E46" s="751"/>
      <c r="F46" s="751"/>
      <c r="G46" s="757" t="s">
        <v>4601</v>
      </c>
      <c r="H46" s="758">
        <f>ES6A03</f>
        <v>1</v>
      </c>
      <c r="I46" s="743">
        <v>4</v>
      </c>
      <c r="J46" s="757" t="s">
        <v>648</v>
      </c>
      <c r="K46" s="758">
        <f>ES6B03</f>
        <v>0</v>
      </c>
      <c r="L46" s="743">
        <v>4</v>
      </c>
      <c r="M46" s="757"/>
      <c r="N46" s="757"/>
      <c r="O46" s="757"/>
      <c r="P46" s="757"/>
      <c r="Q46" s="758"/>
      <c r="R46" s="743"/>
      <c r="S46" s="757"/>
      <c r="T46" s="758"/>
      <c r="U46" s="743"/>
      <c r="V46" s="757"/>
      <c r="W46" s="758"/>
      <c r="X46" s="758"/>
      <c r="Y46" s="757"/>
      <c r="Z46" s="758"/>
      <c r="AA46" s="758"/>
      <c r="AB46" s="757"/>
      <c r="AC46" s="758"/>
      <c r="AD46" s="758"/>
      <c r="AF46"/>
    </row>
    <row r="47" spans="1:32" ht="14.25" customHeight="1" x14ac:dyDescent="0.25">
      <c r="A47" s="745" t="s">
        <v>6288</v>
      </c>
      <c r="B47" s="759" t="s">
        <v>6814</v>
      </c>
      <c r="C47" s="16" t="str">
        <f>IF(OR(Plans_action!J168=1,Plans_action!J67=1,Plans_action!J34= 1), 1,"")</f>
        <v/>
      </c>
      <c r="D47" s="750"/>
      <c r="E47" s="751"/>
      <c r="F47" s="756"/>
      <c r="G47" s="764" t="s">
        <v>754</v>
      </c>
      <c r="H47" s="758">
        <f>ES4E03</f>
        <v>1</v>
      </c>
      <c r="I47" s="743">
        <v>4</v>
      </c>
      <c r="J47" s="757"/>
      <c r="K47" s="757"/>
      <c r="L47" s="757"/>
      <c r="M47" s="757"/>
      <c r="N47" s="758"/>
      <c r="O47" s="743"/>
      <c r="P47" s="757"/>
      <c r="Q47" s="758"/>
      <c r="R47" s="743"/>
      <c r="S47" s="757"/>
      <c r="T47" s="758"/>
      <c r="U47" s="743"/>
      <c r="V47" s="757"/>
      <c r="W47" s="758"/>
      <c r="X47" s="758"/>
      <c r="Y47" s="757"/>
      <c r="Z47" s="758"/>
      <c r="AA47" s="758"/>
      <c r="AB47" s="757"/>
      <c r="AC47" s="758"/>
      <c r="AD47" s="758"/>
      <c r="AF47"/>
    </row>
    <row r="48" spans="1:32" ht="14.25" customHeight="1" x14ac:dyDescent="0.25">
      <c r="A48" s="745" t="s">
        <v>4650</v>
      </c>
      <c r="B48" s="759" t="s">
        <v>4651</v>
      </c>
      <c r="C48" s="16" t="str">
        <f>IF(OR(Plans_action!J96=1,Plans_action!J87= 1), 1,"")</f>
        <v/>
      </c>
      <c r="D48" s="750"/>
      <c r="E48" s="751"/>
      <c r="F48" s="756"/>
      <c r="G48" s="764" t="s">
        <v>4368</v>
      </c>
      <c r="H48" s="758">
        <f>ES2E05</f>
        <v>1</v>
      </c>
      <c r="I48" s="743">
        <v>4</v>
      </c>
      <c r="J48" s="764"/>
      <c r="K48" s="758"/>
      <c r="L48" s="743"/>
      <c r="M48" s="757"/>
      <c r="N48" s="758"/>
      <c r="O48" s="743"/>
      <c r="P48" s="757"/>
      <c r="Q48" s="758"/>
      <c r="R48" s="743"/>
      <c r="S48" s="757"/>
      <c r="T48" s="758"/>
      <c r="U48" s="743"/>
      <c r="V48" s="757"/>
      <c r="W48" s="758"/>
      <c r="X48" s="758"/>
      <c r="Y48" s="757"/>
      <c r="Z48" s="758"/>
      <c r="AA48" s="758"/>
      <c r="AB48" s="757"/>
      <c r="AC48" s="758"/>
      <c r="AD48" s="758"/>
      <c r="AF48"/>
    </row>
    <row r="49" spans="1:32" ht="14.25" customHeight="1" x14ac:dyDescent="0.25">
      <c r="A49" s="745" t="s">
        <v>4657</v>
      </c>
      <c r="B49" s="759" t="s">
        <v>4658</v>
      </c>
      <c r="C49" s="16" t="str">
        <f>IF(OR(Plans_action!J134=1,Plans_action!J33= 1), 1,"")</f>
        <v/>
      </c>
      <c r="D49" s="750"/>
      <c r="E49" s="751"/>
      <c r="F49" s="756"/>
      <c r="G49" s="764" t="s">
        <v>4459</v>
      </c>
      <c r="H49" s="758">
        <f>ES2D05</f>
        <v>1</v>
      </c>
      <c r="I49" s="743">
        <v>4</v>
      </c>
      <c r="J49" s="764"/>
      <c r="K49" s="758"/>
      <c r="L49" s="743"/>
      <c r="M49" s="757"/>
      <c r="N49" s="758"/>
      <c r="O49" s="743"/>
      <c r="P49" s="757"/>
      <c r="Q49" s="758"/>
      <c r="R49" s="743"/>
      <c r="S49" s="757"/>
      <c r="T49" s="758"/>
      <c r="U49" s="743"/>
      <c r="V49" s="757"/>
      <c r="W49" s="758"/>
      <c r="X49" s="758"/>
      <c r="Y49" s="757"/>
      <c r="Z49" s="758"/>
      <c r="AA49" s="758"/>
      <c r="AB49" s="757"/>
      <c r="AC49" s="758"/>
      <c r="AD49" s="758"/>
      <c r="AF49"/>
    </row>
    <row r="50" spans="1:32" x14ac:dyDescent="0.25">
      <c r="A50" s="760" t="s">
        <v>4692</v>
      </c>
      <c r="B50" s="761"/>
      <c r="C50" s="474" t="s">
        <v>824</v>
      </c>
      <c r="D50" s="961"/>
      <c r="E50" s="474"/>
      <c r="F50" s="762"/>
      <c r="G50" s="763"/>
      <c r="H50" s="763"/>
      <c r="I50" s="763"/>
      <c r="J50" s="763"/>
      <c r="K50" s="763"/>
      <c r="L50" s="763"/>
      <c r="M50" s="763"/>
      <c r="N50" s="763"/>
      <c r="O50" s="763"/>
      <c r="P50" s="763"/>
      <c r="Q50" s="763"/>
      <c r="R50" s="763"/>
      <c r="S50" s="763"/>
      <c r="T50" s="763"/>
      <c r="U50" s="763"/>
      <c r="V50" s="763"/>
      <c r="W50" s="763"/>
      <c r="X50" s="763"/>
      <c r="Y50" s="763"/>
      <c r="Z50" s="763"/>
      <c r="AA50" s="763"/>
      <c r="AB50" s="763"/>
      <c r="AC50" s="763"/>
      <c r="AD50" s="763"/>
      <c r="AF50"/>
    </row>
    <row r="51" spans="1:32" ht="14.25" customHeight="1" x14ac:dyDescent="0.25">
      <c r="A51" s="745" t="s">
        <v>1999</v>
      </c>
      <c r="B51" s="759" t="s">
        <v>1998</v>
      </c>
      <c r="C51" s="16" t="str">
        <f>IF(OR(Plans_action!J23= 1), 1,"")</f>
        <v/>
      </c>
      <c r="D51" s="750"/>
      <c r="E51" s="751"/>
      <c r="F51" s="756">
        <v>46022</v>
      </c>
      <c r="G51" s="757" t="s">
        <v>763</v>
      </c>
      <c r="H51" s="758">
        <f>ES5A02</f>
        <v>1</v>
      </c>
      <c r="I51" s="743">
        <v>4</v>
      </c>
      <c r="J51" s="757"/>
      <c r="K51" s="758"/>
      <c r="L51" s="743"/>
      <c r="M51" s="757"/>
      <c r="N51" s="758"/>
      <c r="O51" s="743"/>
      <c r="P51" s="757"/>
      <c r="Q51" s="758"/>
      <c r="R51" s="743"/>
      <c r="S51" s="757"/>
      <c r="T51" s="758"/>
      <c r="U51" s="743"/>
      <c r="V51" s="757"/>
      <c r="W51" s="758"/>
      <c r="X51" s="758"/>
      <c r="Y51" s="757"/>
      <c r="Z51" s="758"/>
      <c r="AA51" s="758"/>
      <c r="AB51" s="757"/>
      <c r="AC51" s="758"/>
      <c r="AD51" s="758"/>
      <c r="AF51"/>
    </row>
    <row r="52" spans="1:32" ht="14.25" customHeight="1" x14ac:dyDescent="0.25">
      <c r="A52" s="745" t="s">
        <v>2000</v>
      </c>
      <c r="B52" s="759" t="s">
        <v>2001</v>
      </c>
      <c r="C52" s="16" t="str">
        <f>IF(OR(Plans_action!J53= 1), 1,"")</f>
        <v/>
      </c>
      <c r="D52" s="750"/>
      <c r="E52" s="751"/>
      <c r="F52" s="756"/>
      <c r="G52" s="757" t="s">
        <v>647</v>
      </c>
      <c r="H52" s="758">
        <f>ES6B02</f>
        <v>1</v>
      </c>
      <c r="I52" s="743">
        <v>4</v>
      </c>
      <c r="J52" s="757"/>
      <c r="K52" s="758"/>
      <c r="L52" s="743"/>
      <c r="M52" s="757"/>
      <c r="N52" s="758"/>
      <c r="O52" s="743"/>
      <c r="P52" s="757"/>
      <c r="Q52" s="758"/>
      <c r="R52" s="743"/>
      <c r="S52" s="757"/>
      <c r="T52" s="772"/>
      <c r="U52" s="743"/>
      <c r="V52" s="757"/>
      <c r="W52" s="772"/>
      <c r="X52" s="758"/>
      <c r="Y52" s="757"/>
      <c r="Z52" s="772"/>
      <c r="AA52" s="758"/>
      <c r="AB52" s="757"/>
      <c r="AC52" s="772"/>
      <c r="AD52" s="758"/>
      <c r="AF52"/>
    </row>
    <row r="53" spans="1:32" ht="14.25" customHeight="1" x14ac:dyDescent="0.25">
      <c r="A53" s="745" t="s">
        <v>2002</v>
      </c>
      <c r="B53" s="759" t="s">
        <v>1967</v>
      </c>
      <c r="C53" s="16" t="str">
        <f>IF(OR(Plans_action!J127= 1), 1,"")</f>
        <v/>
      </c>
      <c r="D53" s="750"/>
      <c r="E53" s="751"/>
      <c r="F53" s="756">
        <v>44926</v>
      </c>
      <c r="G53" s="757" t="s">
        <v>1608</v>
      </c>
      <c r="H53" s="758">
        <f>ES5F02</f>
        <v>1</v>
      </c>
      <c r="I53" s="743">
        <v>4</v>
      </c>
      <c r="J53" s="757"/>
      <c r="K53" s="758"/>
      <c r="L53" s="743"/>
      <c r="M53" s="757"/>
      <c r="N53" s="758"/>
      <c r="O53" s="743"/>
      <c r="P53" s="757"/>
      <c r="Q53" s="758"/>
      <c r="R53" s="773"/>
      <c r="S53" s="757"/>
      <c r="T53" s="758"/>
      <c r="U53" s="773"/>
      <c r="V53" s="757"/>
      <c r="W53" s="758"/>
      <c r="X53" s="757"/>
      <c r="Y53" s="757"/>
      <c r="Z53" s="758"/>
      <c r="AA53" s="757"/>
      <c r="AB53" s="757"/>
      <c r="AC53" s="758"/>
      <c r="AD53" s="757"/>
      <c r="AF53"/>
    </row>
    <row r="54" spans="1:32" ht="14.25" customHeight="1" x14ac:dyDescent="0.25">
      <c r="A54" s="745" t="s">
        <v>1992</v>
      </c>
      <c r="B54" s="759" t="s">
        <v>1991</v>
      </c>
      <c r="C54" s="16" t="str">
        <f>IF(OR(Plans_action!J54=1,Plans_action!J24= 1), 1,"")</f>
        <v/>
      </c>
      <c r="D54" s="750"/>
      <c r="E54" s="751"/>
      <c r="F54" s="756">
        <v>44926</v>
      </c>
      <c r="G54" s="757" t="s">
        <v>762</v>
      </c>
      <c r="H54" s="758">
        <f>ES5A01</f>
        <v>1</v>
      </c>
      <c r="I54" s="743">
        <v>4</v>
      </c>
      <c r="J54" s="757"/>
      <c r="K54" s="758"/>
      <c r="L54" s="743"/>
      <c r="M54" s="764"/>
      <c r="N54" s="758"/>
      <c r="O54" s="743"/>
      <c r="P54" s="757"/>
      <c r="Q54" s="758"/>
      <c r="R54" s="743"/>
      <c r="S54" s="757"/>
      <c r="T54" s="758"/>
      <c r="U54" s="743"/>
      <c r="V54" s="757"/>
      <c r="W54" s="758"/>
      <c r="X54" s="758"/>
      <c r="Y54" s="757"/>
      <c r="Z54" s="758"/>
      <c r="AA54" s="758"/>
      <c r="AB54" s="757"/>
      <c r="AC54" s="758"/>
      <c r="AD54" s="758"/>
      <c r="AF54"/>
    </row>
    <row r="55" spans="1:32" ht="14.25" customHeight="1" x14ac:dyDescent="0.25">
      <c r="A55" s="745" t="s">
        <v>1993</v>
      </c>
      <c r="B55" s="759" t="s">
        <v>1966</v>
      </c>
      <c r="C55" s="16" t="str">
        <f>IF(OR(Plans_action!J132=1,Plans_action!J128= 1), 1,"")</f>
        <v/>
      </c>
      <c r="D55" s="750"/>
      <c r="E55" s="751"/>
      <c r="F55" s="756">
        <v>44926</v>
      </c>
      <c r="G55" s="757" t="s">
        <v>1607</v>
      </c>
      <c r="H55" s="758">
        <f>ES5F01</f>
        <v>1</v>
      </c>
      <c r="I55" s="743">
        <v>4</v>
      </c>
      <c r="J55" s="757" t="s">
        <v>1610</v>
      </c>
      <c r="K55" s="758">
        <f>ES5G01</f>
        <v>1</v>
      </c>
      <c r="L55" s="743">
        <v>4</v>
      </c>
      <c r="M55" s="757"/>
      <c r="N55" s="758"/>
      <c r="O55" s="743"/>
      <c r="P55" s="757"/>
      <c r="Q55" s="758"/>
      <c r="R55" s="743"/>
      <c r="S55" s="757"/>
      <c r="T55" s="758"/>
      <c r="U55" s="743"/>
      <c r="V55" s="757"/>
      <c r="W55" s="758"/>
      <c r="X55" s="758"/>
      <c r="Y55" s="757"/>
      <c r="Z55" s="758"/>
      <c r="AA55" s="758"/>
      <c r="AB55" s="757"/>
      <c r="AC55" s="758"/>
      <c r="AD55" s="758"/>
      <c r="AF55"/>
    </row>
    <row r="56" spans="1:32" ht="14.25" customHeight="1" x14ac:dyDescent="0.25">
      <c r="A56" s="745" t="s">
        <v>3100</v>
      </c>
      <c r="B56" s="749" t="s">
        <v>3101</v>
      </c>
      <c r="C56" s="16" t="str">
        <f>IF(OR(Plans_action!J178= 1), 1,"")</f>
        <v/>
      </c>
      <c r="D56" s="750"/>
      <c r="E56" s="751"/>
      <c r="F56" s="756">
        <v>44926</v>
      </c>
      <c r="G56" s="757" t="s">
        <v>3087</v>
      </c>
      <c r="H56" s="758">
        <f>ES5F03</f>
        <v>1</v>
      </c>
      <c r="I56" s="743">
        <v>4</v>
      </c>
      <c r="J56" s="757"/>
      <c r="K56" s="758"/>
      <c r="L56" s="743"/>
      <c r="M56" s="757"/>
      <c r="N56" s="758"/>
      <c r="O56" s="743"/>
      <c r="P56" s="757"/>
      <c r="Q56" s="758"/>
      <c r="R56" s="743"/>
      <c r="S56" s="757"/>
      <c r="T56" s="758"/>
      <c r="U56" s="743"/>
      <c r="V56" s="757"/>
      <c r="W56" s="758"/>
      <c r="X56" s="758"/>
      <c r="Y56" s="757"/>
      <c r="Z56" s="758"/>
      <c r="AA56" s="758"/>
      <c r="AB56" s="757"/>
      <c r="AC56" s="758"/>
      <c r="AD56" s="758"/>
      <c r="AF56"/>
    </row>
    <row r="57" spans="1:32" x14ac:dyDescent="0.25">
      <c r="A57" s="760" t="s">
        <v>2248</v>
      </c>
      <c r="B57" s="761"/>
      <c r="C57" s="474" t="s">
        <v>824</v>
      </c>
      <c r="D57" s="961"/>
      <c r="E57" s="474"/>
      <c r="F57" s="762"/>
      <c r="G57" s="763"/>
      <c r="H57" s="763"/>
      <c r="I57" s="763"/>
      <c r="J57" s="763"/>
      <c r="K57" s="763"/>
      <c r="L57" s="763"/>
      <c r="M57" s="763"/>
      <c r="N57" s="763"/>
      <c r="O57" s="763"/>
      <c r="P57" s="763"/>
      <c r="Q57" s="763"/>
      <c r="R57" s="763"/>
      <c r="S57" s="763"/>
      <c r="T57" s="763"/>
      <c r="U57" s="763"/>
      <c r="V57" s="763"/>
      <c r="W57" s="763"/>
      <c r="X57" s="763"/>
      <c r="Y57" s="763"/>
      <c r="Z57" s="763"/>
      <c r="AA57" s="763"/>
      <c r="AB57" s="763"/>
      <c r="AC57" s="763"/>
      <c r="AD57" s="763"/>
      <c r="AF57"/>
    </row>
    <row r="58" spans="1:32" ht="14.25" customHeight="1" x14ac:dyDescent="0.25">
      <c r="A58" s="745" t="s">
        <v>6286</v>
      </c>
      <c r="B58" s="759" t="s">
        <v>6287</v>
      </c>
      <c r="C58" s="16" t="str">
        <f>IF(OR(Plans_action!J8= 1), 1,"")</f>
        <v/>
      </c>
      <c r="D58" s="750"/>
      <c r="E58" s="751"/>
      <c r="F58" s="756"/>
      <c r="G58" s="757" t="s">
        <v>633</v>
      </c>
      <c r="H58" s="758">
        <f>ES4C02</f>
        <v>1</v>
      </c>
      <c r="I58" s="743">
        <v>3</v>
      </c>
      <c r="J58" s="757"/>
      <c r="K58" s="758"/>
      <c r="L58" s="743"/>
      <c r="M58" s="764"/>
      <c r="N58" s="758"/>
      <c r="O58" s="743"/>
      <c r="P58" s="757"/>
      <c r="Q58" s="758"/>
      <c r="R58" s="743"/>
      <c r="S58" s="757"/>
      <c r="T58" s="758"/>
      <c r="U58" s="743"/>
      <c r="V58" s="757"/>
      <c r="W58" s="758"/>
      <c r="X58" s="758"/>
      <c r="Y58" s="757"/>
      <c r="Z58" s="758"/>
      <c r="AA58" s="758"/>
      <c r="AB58" s="757"/>
      <c r="AC58" s="758"/>
      <c r="AD58" s="758"/>
      <c r="AF58"/>
    </row>
    <row r="59" spans="1:32" ht="14.25" customHeight="1" x14ac:dyDescent="0.25">
      <c r="A59" s="745" t="s">
        <v>1980</v>
      </c>
      <c r="B59" s="759" t="s">
        <v>1958</v>
      </c>
      <c r="C59" s="16" t="str">
        <f>IF(OR(Plans_action!J138=1,Plans_action!J21= 1), 1,"")</f>
        <v/>
      </c>
      <c r="D59" s="750"/>
      <c r="E59" s="751"/>
      <c r="F59" s="756">
        <v>45291</v>
      </c>
      <c r="G59" s="757" t="s">
        <v>638</v>
      </c>
      <c r="H59" s="758">
        <f>ES5A03</f>
        <v>1</v>
      </c>
      <c r="I59" s="743">
        <v>4</v>
      </c>
      <c r="J59" s="757"/>
      <c r="K59" s="758"/>
      <c r="L59" s="743"/>
      <c r="M59" s="764"/>
      <c r="N59" s="758"/>
      <c r="O59" s="743"/>
      <c r="P59" s="757"/>
      <c r="Q59" s="758"/>
      <c r="R59" s="743"/>
      <c r="S59" s="757"/>
      <c r="T59" s="758"/>
      <c r="U59" s="743"/>
      <c r="V59" s="757"/>
      <c r="W59" s="758"/>
      <c r="X59" s="758"/>
      <c r="Y59" s="757"/>
      <c r="Z59" s="758"/>
      <c r="AA59" s="758"/>
      <c r="AB59" s="757"/>
      <c r="AC59" s="758"/>
      <c r="AD59" s="758"/>
      <c r="AF59"/>
    </row>
    <row r="60" spans="1:32" ht="14.25" customHeight="1" x14ac:dyDescent="0.25">
      <c r="A60" s="745" t="s">
        <v>1977</v>
      </c>
      <c r="B60" s="759" t="s">
        <v>398</v>
      </c>
      <c r="C60" s="16" t="str">
        <f>IF(OR(Plans_action!J22= 1), 1,"")</f>
        <v/>
      </c>
      <c r="D60" s="750"/>
      <c r="E60" s="751"/>
      <c r="F60" s="756"/>
      <c r="G60" s="757" t="s">
        <v>639</v>
      </c>
      <c r="H60" s="758">
        <f>ES5A04</f>
        <v>1</v>
      </c>
      <c r="I60" s="743">
        <v>4</v>
      </c>
      <c r="J60" s="757"/>
      <c r="K60" s="758"/>
      <c r="L60" s="743"/>
      <c r="M60" s="757"/>
      <c r="N60" s="758"/>
      <c r="O60" s="743"/>
      <c r="P60" s="757"/>
      <c r="Q60" s="758"/>
      <c r="R60" s="743"/>
      <c r="S60" s="757"/>
      <c r="T60" s="758"/>
      <c r="U60" s="743"/>
      <c r="V60" s="757"/>
      <c r="W60" s="758"/>
      <c r="X60" s="758"/>
      <c r="Y60" s="757"/>
      <c r="Z60" s="758"/>
      <c r="AA60" s="758"/>
      <c r="AB60" s="757"/>
      <c r="AC60" s="758"/>
      <c r="AD60" s="758"/>
      <c r="AF60"/>
    </row>
    <row r="61" spans="1:32" ht="14.25" customHeight="1" x14ac:dyDescent="0.25">
      <c r="A61" s="745" t="s">
        <v>1978</v>
      </c>
      <c r="B61" s="759" t="s">
        <v>1957</v>
      </c>
      <c r="C61" s="16" t="str">
        <f>IF(OR(Plans_action!J156=1,Plans_action!J122=1,Plans_action!J50=1,Plans_action!J39=1,Plans_action!J18=1,Plans_action!J7= 1), 1,"")</f>
        <v/>
      </c>
      <c r="D61" s="750"/>
      <c r="E61" s="751"/>
      <c r="F61" s="756">
        <v>44926</v>
      </c>
      <c r="G61" s="764" t="s">
        <v>769</v>
      </c>
      <c r="H61" s="758">
        <f>ES5E01</f>
        <v>1</v>
      </c>
      <c r="I61" s="743">
        <v>4</v>
      </c>
      <c r="J61" s="764" t="s">
        <v>770</v>
      </c>
      <c r="K61" s="758">
        <f>ES5E02</f>
        <v>1</v>
      </c>
      <c r="L61" s="743">
        <v>4</v>
      </c>
      <c r="M61" s="764" t="s">
        <v>771</v>
      </c>
      <c r="N61" s="758">
        <f>ES5E03</f>
        <v>1</v>
      </c>
      <c r="O61" s="743">
        <v>4</v>
      </c>
      <c r="P61" s="764" t="s">
        <v>4591</v>
      </c>
      <c r="Q61" s="758">
        <f>ES5E04</f>
        <v>1</v>
      </c>
      <c r="R61" s="743">
        <v>4</v>
      </c>
      <c r="S61" s="757"/>
      <c r="T61" s="758"/>
      <c r="U61" s="743"/>
      <c r="V61" s="757"/>
      <c r="W61" s="758"/>
      <c r="X61" s="758"/>
      <c r="Y61" s="757"/>
      <c r="Z61" s="758"/>
      <c r="AA61" s="758"/>
      <c r="AB61" s="757"/>
      <c r="AC61" s="758"/>
      <c r="AD61" s="758"/>
      <c r="AF61"/>
    </row>
    <row r="62" spans="1:32" x14ac:dyDescent="0.25">
      <c r="A62" s="760" t="s">
        <v>2249</v>
      </c>
      <c r="B62" s="761"/>
      <c r="C62" s="474" t="s">
        <v>824</v>
      </c>
      <c r="D62" s="961"/>
      <c r="E62" s="474"/>
      <c r="F62" s="762"/>
      <c r="G62" s="763"/>
      <c r="H62" s="763"/>
      <c r="I62" s="763"/>
      <c r="J62" s="763"/>
      <c r="K62" s="763"/>
      <c r="L62" s="763"/>
      <c r="M62" s="763"/>
      <c r="N62" s="763"/>
      <c r="O62" s="763"/>
      <c r="P62" s="763"/>
      <c r="Q62" s="763"/>
      <c r="R62" s="763"/>
      <c r="S62" s="763"/>
      <c r="T62" s="763"/>
      <c r="U62" s="763"/>
      <c r="V62" s="763"/>
      <c r="W62" s="763"/>
      <c r="X62" s="763"/>
      <c r="Y62" s="763"/>
      <c r="Z62" s="763"/>
      <c r="AA62" s="763"/>
      <c r="AB62" s="763"/>
      <c r="AC62" s="763"/>
      <c r="AD62" s="763"/>
      <c r="AF62"/>
    </row>
    <row r="63" spans="1:32" ht="14.25" customHeight="1" x14ac:dyDescent="0.25">
      <c r="A63" s="745" t="s">
        <v>1989</v>
      </c>
      <c r="B63" s="759" t="s">
        <v>1971</v>
      </c>
      <c r="C63" s="16" t="str">
        <f>IF(OR(Plans_action!J81=1,Plans_action!J76=1,Plans_action!J71=1,Plans_action!J41= 1), 1,"")</f>
        <v/>
      </c>
      <c r="D63" s="750"/>
      <c r="E63" s="751"/>
      <c r="F63" s="756">
        <v>46022</v>
      </c>
      <c r="G63" s="764" t="s">
        <v>652</v>
      </c>
      <c r="H63" s="758">
        <f>ES2E01</f>
        <v>1</v>
      </c>
      <c r="I63" s="743">
        <v>4</v>
      </c>
      <c r="J63" s="764" t="s">
        <v>715</v>
      </c>
      <c r="K63" s="758">
        <f>ES2E02</f>
        <v>1</v>
      </c>
      <c r="L63" s="743">
        <v>4</v>
      </c>
      <c r="M63" s="757" t="s">
        <v>645</v>
      </c>
      <c r="N63" s="758">
        <f>ES6A02</f>
        <v>0</v>
      </c>
      <c r="O63" s="743">
        <v>4</v>
      </c>
      <c r="P63" s="757"/>
      <c r="Q63" s="758"/>
      <c r="R63" s="743"/>
      <c r="S63" s="757"/>
      <c r="T63" s="758"/>
      <c r="U63" s="743"/>
      <c r="V63" s="757"/>
      <c r="W63" s="758"/>
      <c r="X63" s="758"/>
      <c r="Y63" s="757"/>
      <c r="Z63" s="758"/>
      <c r="AA63" s="758"/>
      <c r="AB63" s="757"/>
      <c r="AC63" s="758"/>
      <c r="AD63" s="758"/>
      <c r="AF63"/>
    </row>
    <row r="64" spans="1:32" ht="14.25" customHeight="1" x14ac:dyDescent="0.25">
      <c r="A64" s="745" t="s">
        <v>2111</v>
      </c>
      <c r="B64" s="759" t="s">
        <v>2112</v>
      </c>
      <c r="C64" s="16" t="str">
        <f>IF(OR(Plans_action!J82=1,Plans_action!J72= 1), 1,"")</f>
        <v/>
      </c>
      <c r="D64" s="750"/>
      <c r="E64" s="751"/>
      <c r="F64" s="756"/>
      <c r="G64" s="764" t="s">
        <v>795</v>
      </c>
      <c r="H64" s="758">
        <f>ES6B05</f>
        <v>1</v>
      </c>
      <c r="I64" s="743">
        <v>4</v>
      </c>
      <c r="J64" s="764"/>
      <c r="K64" s="758"/>
      <c r="L64" s="743"/>
      <c r="M64" s="757"/>
      <c r="N64" s="758"/>
      <c r="O64" s="743"/>
      <c r="P64" s="757"/>
      <c r="Q64" s="758"/>
      <c r="R64" s="743"/>
      <c r="S64" s="757"/>
      <c r="T64" s="758"/>
      <c r="U64" s="743"/>
      <c r="V64" s="757"/>
      <c r="W64" s="758"/>
      <c r="X64" s="758"/>
      <c r="Y64" s="757"/>
      <c r="Z64" s="758"/>
      <c r="AA64" s="758"/>
      <c r="AB64" s="757"/>
      <c r="AC64" s="758"/>
      <c r="AD64" s="758"/>
      <c r="AF64"/>
    </row>
    <row r="65" spans="1:32" x14ac:dyDescent="0.25">
      <c r="A65" s="760" t="s">
        <v>2250</v>
      </c>
      <c r="B65" s="761"/>
      <c r="C65" s="474" t="s">
        <v>824</v>
      </c>
      <c r="D65" s="961"/>
      <c r="E65" s="474"/>
      <c r="F65" s="762"/>
      <c r="G65" s="763"/>
      <c r="H65" s="763"/>
      <c r="I65" s="763"/>
      <c r="J65" s="763"/>
      <c r="K65" s="763"/>
      <c r="L65" s="763"/>
      <c r="M65" s="763"/>
      <c r="N65" s="763"/>
      <c r="O65" s="763"/>
      <c r="P65" s="763"/>
      <c r="Q65" s="763"/>
      <c r="R65" s="763"/>
      <c r="S65" s="763"/>
      <c r="T65" s="763"/>
      <c r="U65" s="763"/>
      <c r="V65" s="763"/>
      <c r="W65" s="763"/>
      <c r="X65" s="763"/>
      <c r="Y65" s="763"/>
      <c r="Z65" s="763"/>
      <c r="AA65" s="763"/>
      <c r="AB65" s="763"/>
      <c r="AC65" s="763"/>
      <c r="AD65" s="763"/>
      <c r="AF65"/>
    </row>
    <row r="66" spans="1:32" ht="14.25" customHeight="1" x14ac:dyDescent="0.25">
      <c r="A66" s="745" t="s">
        <v>2007</v>
      </c>
      <c r="B66" s="759" t="s">
        <v>4603</v>
      </c>
      <c r="C66" s="16" t="str">
        <f>IF(OR(Plans_action!J149=1,Plans_action!J12= 1), 1,"")</f>
        <v/>
      </c>
      <c r="D66" s="750"/>
      <c r="E66" s="751"/>
      <c r="F66" s="756"/>
      <c r="G66" s="764" t="s">
        <v>751</v>
      </c>
      <c r="H66" s="758">
        <f>ES4E02</f>
        <v>1</v>
      </c>
      <c r="I66" s="766">
        <v>4</v>
      </c>
      <c r="J66" s="764" t="s">
        <v>753</v>
      </c>
      <c r="K66" s="758">
        <f>ES4E04</f>
        <v>1</v>
      </c>
      <c r="L66" s="743">
        <v>4</v>
      </c>
      <c r="M66" s="764"/>
      <c r="N66" s="764"/>
      <c r="O66" s="764"/>
      <c r="P66" s="764"/>
      <c r="Q66" s="758"/>
      <c r="R66" s="743"/>
      <c r="S66" s="757"/>
      <c r="T66" s="758"/>
      <c r="U66" s="743"/>
      <c r="V66" s="757"/>
      <c r="W66" s="758"/>
      <c r="X66" s="758"/>
      <c r="Y66" s="757"/>
      <c r="Z66" s="758"/>
      <c r="AA66" s="758"/>
      <c r="AB66" s="757"/>
      <c r="AC66" s="758"/>
      <c r="AD66" s="758"/>
      <c r="AF66"/>
    </row>
    <row r="67" spans="1:32" ht="14.25" customHeight="1" x14ac:dyDescent="0.25">
      <c r="A67" s="745" t="s">
        <v>2006</v>
      </c>
      <c r="B67" s="759" t="s">
        <v>1968</v>
      </c>
      <c r="C67" s="16" t="str">
        <f>IF(OR(Plans_action!J107=1,Plans_action!J101= 1), 1,"")</f>
        <v/>
      </c>
      <c r="D67" s="750"/>
      <c r="E67" s="751"/>
      <c r="F67" s="756">
        <v>45291</v>
      </c>
      <c r="G67" s="764" t="s">
        <v>718</v>
      </c>
      <c r="H67" s="758">
        <f>ES2E04</f>
        <v>1</v>
      </c>
      <c r="I67" s="743">
        <v>4</v>
      </c>
      <c r="J67" s="757" t="s">
        <v>637</v>
      </c>
      <c r="K67" s="758">
        <f>ES4F01</f>
        <v>1</v>
      </c>
      <c r="L67" s="743">
        <v>4</v>
      </c>
      <c r="M67" s="757" t="s">
        <v>635</v>
      </c>
      <c r="N67" s="758">
        <f>ES4F02</f>
        <v>1</v>
      </c>
      <c r="O67" s="743">
        <v>4</v>
      </c>
      <c r="P67" s="757" t="s">
        <v>636</v>
      </c>
      <c r="Q67" s="758">
        <f>ES4F03</f>
        <v>1</v>
      </c>
      <c r="R67" s="743">
        <v>4</v>
      </c>
      <c r="S67" s="757"/>
      <c r="T67" s="758"/>
      <c r="U67" s="743"/>
      <c r="V67" s="757"/>
      <c r="W67" s="758"/>
      <c r="X67" s="758"/>
      <c r="Y67" s="757"/>
      <c r="Z67" s="758"/>
      <c r="AA67" s="758"/>
      <c r="AB67" s="757"/>
      <c r="AC67" s="758"/>
      <c r="AD67" s="758"/>
      <c r="AF67"/>
    </row>
    <row r="68" spans="1:32" ht="14.25" customHeight="1" x14ac:dyDescent="0.25">
      <c r="A68" s="1076" t="s">
        <v>6783</v>
      </c>
      <c r="B68" s="1076"/>
      <c r="C68" s="1076" t="s">
        <v>824</v>
      </c>
      <c r="D68" s="1076"/>
      <c r="E68" s="1076"/>
      <c r="F68" s="1076"/>
      <c r="G68" s="1076"/>
      <c r="H68" s="1076"/>
      <c r="I68" s="1076"/>
      <c r="J68" s="1076"/>
      <c r="K68" s="1076"/>
      <c r="L68" s="1076"/>
      <c r="M68" s="1076"/>
      <c r="N68" s="1076"/>
      <c r="O68" s="1076"/>
      <c r="P68" s="1076"/>
      <c r="Q68" s="1076"/>
      <c r="R68" s="1076"/>
      <c r="S68" s="1076"/>
      <c r="T68" s="1076"/>
      <c r="U68" s="1076"/>
      <c r="V68" s="1076"/>
      <c r="W68" s="1076"/>
      <c r="X68" s="1076"/>
      <c r="Y68" s="1076"/>
      <c r="Z68" s="1076"/>
      <c r="AA68" s="1076"/>
      <c r="AB68" s="1076"/>
      <c r="AC68" s="1076"/>
      <c r="AD68" s="1076"/>
      <c r="AF68"/>
    </row>
    <row r="69" spans="1:32" ht="14.25" customHeight="1" x14ac:dyDescent="0.25">
      <c r="A69" s="1073" t="s">
        <v>6784</v>
      </c>
      <c r="B69" s="1074" t="s">
        <v>6737</v>
      </c>
      <c r="C69" s="16" t="str">
        <f>IF(OR(Plans_action!J171= 1), 1,"")</f>
        <v/>
      </c>
      <c r="D69" s="1080"/>
      <c r="E69" s="1081"/>
      <c r="F69" s="1082"/>
      <c r="G69" s="1079" t="s">
        <v>6736</v>
      </c>
      <c r="H69" s="1083">
        <f>ES7B10</f>
        <v>1</v>
      </c>
      <c r="I69" s="1084">
        <v>4</v>
      </c>
      <c r="J69" s="1075"/>
      <c r="K69" s="1083"/>
      <c r="L69" s="1084"/>
      <c r="M69" s="1075"/>
      <c r="N69" s="1083"/>
      <c r="O69" s="1084"/>
      <c r="P69" s="1075"/>
      <c r="Q69" s="1083"/>
      <c r="R69" s="1084"/>
      <c r="S69" s="1075"/>
      <c r="T69" s="1083"/>
      <c r="U69" s="1084"/>
      <c r="V69" s="1075"/>
      <c r="W69" s="1083"/>
      <c r="X69" s="1083"/>
      <c r="Y69" s="1075"/>
      <c r="Z69" s="1083"/>
      <c r="AA69" s="1083"/>
      <c r="AB69" s="1075"/>
      <c r="AC69" s="1083"/>
      <c r="AD69" s="1083"/>
      <c r="AF69"/>
    </row>
    <row r="70" spans="1:32" ht="14.25" customHeight="1" x14ac:dyDescent="0.25">
      <c r="A70" s="767" t="s">
        <v>4659</v>
      </c>
      <c r="B70" s="768"/>
      <c r="C70" s="959" t="s">
        <v>824</v>
      </c>
      <c r="D70" s="769"/>
      <c r="E70" s="769"/>
      <c r="F70" s="769"/>
      <c r="G70" s="770"/>
      <c r="H70" s="770"/>
      <c r="I70" s="771"/>
      <c r="J70" s="770"/>
      <c r="K70" s="770"/>
      <c r="L70" s="771"/>
      <c r="M70" s="770"/>
      <c r="N70" s="770"/>
      <c r="O70" s="771"/>
      <c r="P70" s="770"/>
      <c r="Q70" s="770"/>
      <c r="R70" s="771"/>
      <c r="S70" s="770"/>
      <c r="T70" s="770"/>
      <c r="U70" s="771"/>
      <c r="V70" s="770"/>
      <c r="W70" s="770"/>
      <c r="X70" s="770"/>
      <c r="Y70" s="770"/>
      <c r="Z70" s="770"/>
      <c r="AA70" s="770"/>
      <c r="AB70" s="770"/>
      <c r="AC70" s="770"/>
      <c r="AD70" s="770"/>
      <c r="AF70"/>
    </row>
    <row r="71" spans="1:32" ht="14.25" customHeight="1" x14ac:dyDescent="0.25">
      <c r="A71" s="745" t="s">
        <v>1982</v>
      </c>
      <c r="B71" s="759" t="s">
        <v>4660</v>
      </c>
      <c r="C71" s="960" t="str">
        <f>IF(OR(Plans_action!J193= 1), 1,"")</f>
        <v/>
      </c>
      <c r="D71" s="750"/>
      <c r="E71" s="751"/>
      <c r="F71" s="756"/>
      <c r="G71" s="757" t="s">
        <v>797</v>
      </c>
      <c r="H71" s="758">
        <f>ES8A01</f>
        <v>0</v>
      </c>
      <c r="I71" s="743">
        <v>4</v>
      </c>
      <c r="J71" s="764" t="s">
        <v>799</v>
      </c>
      <c r="K71" s="758">
        <f>ES8A02</f>
        <v>1</v>
      </c>
      <c r="L71" s="774">
        <v>4</v>
      </c>
      <c r="M71" s="764" t="s">
        <v>800</v>
      </c>
      <c r="N71" s="758">
        <f>ES8A03</f>
        <v>1</v>
      </c>
      <c r="O71" s="743">
        <v>4</v>
      </c>
      <c r="P71" s="757"/>
      <c r="Q71" s="758"/>
      <c r="R71" s="743"/>
      <c r="S71" s="757"/>
      <c r="T71" s="758"/>
      <c r="U71" s="743"/>
      <c r="V71" s="757"/>
      <c r="W71" s="758"/>
      <c r="X71" s="758"/>
      <c r="Y71" s="757"/>
      <c r="Z71" s="758"/>
      <c r="AA71" s="758"/>
      <c r="AB71" s="757"/>
      <c r="AC71" s="758"/>
      <c r="AD71" s="758"/>
      <c r="AF71"/>
    </row>
    <row r="72" spans="1:32" ht="14.25" customHeight="1" x14ac:dyDescent="0.25">
      <c r="A72" s="745" t="s">
        <v>4662</v>
      </c>
      <c r="B72" s="759" t="s">
        <v>4661</v>
      </c>
      <c r="C72" s="960" t="str">
        <f>IF(OR(Plans_action!J198= 1), 1,"")</f>
        <v/>
      </c>
      <c r="D72" s="750"/>
      <c r="E72" s="751"/>
      <c r="F72" s="756"/>
      <c r="G72" s="757" t="s">
        <v>807</v>
      </c>
      <c r="H72" s="758">
        <f>ES8B01</f>
        <v>1</v>
      </c>
      <c r="I72" s="743">
        <v>4</v>
      </c>
      <c r="J72" s="764" t="s">
        <v>808</v>
      </c>
      <c r="K72" s="758">
        <f>ES8B02</f>
        <v>1</v>
      </c>
      <c r="L72" s="774">
        <v>4</v>
      </c>
      <c r="M72" s="764" t="s">
        <v>810</v>
      </c>
      <c r="N72" s="758">
        <f>ES8B03</f>
        <v>1</v>
      </c>
      <c r="O72" s="743">
        <v>4</v>
      </c>
      <c r="P72" s="757"/>
      <c r="Q72" s="758"/>
      <c r="R72" s="743"/>
      <c r="S72" s="757"/>
      <c r="T72" s="758"/>
      <c r="U72" s="743"/>
      <c r="V72" s="757"/>
      <c r="W72" s="758"/>
      <c r="X72" s="758"/>
      <c r="Y72" s="757"/>
      <c r="Z72" s="758"/>
      <c r="AA72" s="758"/>
      <c r="AB72" s="757"/>
      <c r="AC72" s="758"/>
      <c r="AD72" s="758"/>
      <c r="AF72"/>
    </row>
    <row r="73" spans="1:32" x14ac:dyDescent="0.25">
      <c r="C73" s="24" t="s">
        <v>824</v>
      </c>
      <c r="D73"/>
      <c r="E73"/>
      <c r="F73"/>
      <c r="G73"/>
      <c r="H73"/>
      <c r="I73"/>
      <c r="J73"/>
      <c r="K73"/>
      <c r="L73"/>
      <c r="M73"/>
      <c r="N73"/>
      <c r="O73"/>
      <c r="P73"/>
      <c r="Q73"/>
      <c r="R73"/>
      <c r="S73"/>
      <c r="T73"/>
      <c r="U73"/>
      <c r="V73"/>
      <c r="W73"/>
      <c r="X73"/>
      <c r="Y73"/>
      <c r="Z73"/>
      <c r="AA73"/>
      <c r="AB73"/>
      <c r="AC73"/>
      <c r="AD73"/>
      <c r="AF73"/>
    </row>
    <row r="74" spans="1:32" x14ac:dyDescent="0.25">
      <c r="D74"/>
      <c r="E74"/>
      <c r="F74"/>
      <c r="G74"/>
      <c r="H74"/>
      <c r="I74"/>
      <c r="J74"/>
      <c r="K74"/>
      <c r="L74"/>
      <c r="M74"/>
      <c r="N74"/>
      <c r="O74"/>
      <c r="P74"/>
      <c r="Q74"/>
      <c r="R74"/>
      <c r="S74"/>
      <c r="T74"/>
      <c r="U74"/>
      <c r="V74"/>
      <c r="W74"/>
      <c r="X74"/>
      <c r="Y74"/>
      <c r="Z74"/>
      <c r="AA74"/>
      <c r="AB74"/>
      <c r="AC74"/>
      <c r="AD74"/>
      <c r="AF74"/>
    </row>
    <row r="75" spans="1:32" x14ac:dyDescent="0.25">
      <c r="D75"/>
      <c r="E75"/>
      <c r="F75"/>
      <c r="G75"/>
      <c r="H75"/>
      <c r="I75"/>
      <c r="J75"/>
      <c r="K75"/>
      <c r="L75"/>
      <c r="M75"/>
      <c r="N75"/>
      <c r="O75"/>
      <c r="P75"/>
      <c r="Q75"/>
      <c r="R75"/>
      <c r="S75"/>
      <c r="T75"/>
      <c r="U75"/>
      <c r="V75"/>
      <c r="W75"/>
      <c r="X75"/>
      <c r="Y75"/>
      <c r="Z75"/>
      <c r="AA75"/>
      <c r="AB75"/>
      <c r="AC75"/>
      <c r="AD75"/>
      <c r="AF75"/>
    </row>
    <row r="76" spans="1:32" x14ac:dyDescent="0.25">
      <c r="D76"/>
      <c r="E76"/>
      <c r="F76"/>
      <c r="G76"/>
      <c r="H76"/>
      <c r="I76"/>
      <c r="J76"/>
      <c r="K76"/>
      <c r="L76"/>
      <c r="M76"/>
      <c r="N76"/>
      <c r="O76"/>
      <c r="P76"/>
      <c r="Q76"/>
      <c r="R76"/>
      <c r="S76"/>
      <c r="T76"/>
      <c r="U76"/>
      <c r="V76"/>
      <c r="W76"/>
      <c r="X76"/>
      <c r="Y76"/>
      <c r="Z76"/>
      <c r="AA76"/>
      <c r="AB76"/>
      <c r="AC76"/>
      <c r="AD76"/>
      <c r="AF76"/>
    </row>
    <row r="77" spans="1:32" x14ac:dyDescent="0.25">
      <c r="D77"/>
      <c r="E77"/>
      <c r="F77"/>
      <c r="G77"/>
      <c r="H77"/>
      <c r="I77"/>
      <c r="J77"/>
      <c r="K77"/>
      <c r="L77"/>
      <c r="M77"/>
      <c r="N77"/>
      <c r="O77"/>
      <c r="P77"/>
      <c r="Q77"/>
      <c r="R77"/>
      <c r="S77"/>
      <c r="T77"/>
      <c r="U77"/>
      <c r="V77"/>
      <c r="W77"/>
      <c r="X77"/>
      <c r="Y77"/>
      <c r="Z77"/>
      <c r="AA77"/>
      <c r="AB77"/>
      <c r="AC77"/>
      <c r="AD77"/>
      <c r="AF77"/>
    </row>
    <row r="78" spans="1:32" x14ac:dyDescent="0.25">
      <c r="D78"/>
      <c r="E78"/>
      <c r="F78"/>
      <c r="G78"/>
      <c r="H78"/>
      <c r="I78"/>
      <c r="J78"/>
      <c r="K78"/>
      <c r="L78"/>
      <c r="M78"/>
      <c r="N78"/>
      <c r="O78"/>
      <c r="P78"/>
      <c r="Q78"/>
      <c r="R78"/>
      <c r="S78"/>
      <c r="T78"/>
      <c r="U78"/>
      <c r="V78"/>
      <c r="W78"/>
      <c r="X78"/>
      <c r="Y78"/>
      <c r="Z78"/>
      <c r="AA78"/>
      <c r="AB78"/>
      <c r="AC78"/>
      <c r="AD78"/>
      <c r="AF78"/>
    </row>
    <row r="79" spans="1:32" x14ac:dyDescent="0.25">
      <c r="D79"/>
      <c r="E79"/>
      <c r="F79"/>
      <c r="G79"/>
      <c r="H79"/>
      <c r="I79"/>
      <c r="J79"/>
      <c r="K79"/>
      <c r="L79"/>
      <c r="M79"/>
      <c r="N79"/>
      <c r="O79"/>
      <c r="P79"/>
      <c r="Q79"/>
      <c r="R79"/>
      <c r="S79"/>
      <c r="T79"/>
      <c r="U79"/>
      <c r="V79"/>
      <c r="W79"/>
      <c r="X79"/>
      <c r="Y79"/>
      <c r="Z79"/>
      <c r="AA79"/>
      <c r="AB79"/>
      <c r="AC79"/>
      <c r="AD79"/>
      <c r="AF79"/>
    </row>
    <row r="80" spans="1:32" x14ac:dyDescent="0.25">
      <c r="D80"/>
      <c r="E80"/>
      <c r="F80"/>
      <c r="G80"/>
      <c r="H80"/>
      <c r="I80"/>
      <c r="J80"/>
      <c r="K80"/>
      <c r="L80"/>
      <c r="M80"/>
      <c r="N80"/>
      <c r="O80"/>
      <c r="P80"/>
      <c r="Q80"/>
      <c r="R80"/>
      <c r="S80"/>
      <c r="T80"/>
      <c r="U80"/>
      <c r="V80"/>
      <c r="W80"/>
      <c r="X80"/>
      <c r="Y80"/>
      <c r="Z80"/>
      <c r="AA80"/>
      <c r="AB80"/>
      <c r="AC80"/>
      <c r="AD80"/>
      <c r="AF80"/>
    </row>
    <row r="81" spans="4:32" x14ac:dyDescent="0.25">
      <c r="D81"/>
      <c r="E81"/>
      <c r="F81"/>
      <c r="G81"/>
      <c r="H81"/>
      <c r="I81"/>
      <c r="J81"/>
      <c r="K81"/>
      <c r="L81"/>
      <c r="M81"/>
      <c r="N81"/>
      <c r="O81"/>
      <c r="P81"/>
      <c r="Q81"/>
      <c r="R81"/>
      <c r="S81"/>
      <c r="T81"/>
      <c r="U81"/>
      <c r="V81"/>
      <c r="W81"/>
      <c r="X81"/>
      <c r="Y81"/>
      <c r="Z81"/>
      <c r="AA81"/>
      <c r="AB81"/>
      <c r="AC81"/>
      <c r="AD81"/>
      <c r="AF81"/>
    </row>
    <row r="82" spans="4:32" x14ac:dyDescent="0.25">
      <c r="D82"/>
      <c r="E82"/>
      <c r="F82"/>
      <c r="G82"/>
      <c r="H82"/>
      <c r="I82"/>
      <c r="J82"/>
      <c r="K82"/>
      <c r="L82"/>
      <c r="M82"/>
      <c r="N82"/>
      <c r="O82"/>
      <c r="P82"/>
      <c r="Q82"/>
      <c r="R82"/>
      <c r="S82"/>
      <c r="T82"/>
      <c r="U82"/>
      <c r="V82"/>
      <c r="W82"/>
      <c r="X82"/>
      <c r="Y82"/>
      <c r="Z82"/>
      <c r="AA82"/>
      <c r="AB82"/>
      <c r="AC82"/>
      <c r="AD82"/>
      <c r="AF82"/>
    </row>
    <row r="83" spans="4:32" x14ac:dyDescent="0.25">
      <c r="D83"/>
      <c r="E83"/>
      <c r="F83"/>
      <c r="G83"/>
      <c r="H83"/>
      <c r="I83"/>
      <c r="J83"/>
      <c r="K83"/>
      <c r="L83"/>
      <c r="M83"/>
      <c r="N83"/>
      <c r="O83"/>
      <c r="P83"/>
      <c r="Q83"/>
      <c r="R83"/>
      <c r="S83"/>
      <c r="T83"/>
      <c r="U83"/>
      <c r="V83"/>
      <c r="W83"/>
      <c r="X83"/>
      <c r="Y83"/>
      <c r="Z83"/>
      <c r="AA83"/>
      <c r="AB83"/>
      <c r="AC83"/>
      <c r="AD83"/>
      <c r="AF83"/>
    </row>
    <row r="84" spans="4:32" x14ac:dyDescent="0.25">
      <c r="D84"/>
      <c r="E84"/>
      <c r="F84"/>
      <c r="G84"/>
      <c r="H84"/>
      <c r="I84"/>
      <c r="J84"/>
      <c r="K84"/>
      <c r="L84"/>
      <c r="M84"/>
      <c r="N84"/>
      <c r="O84"/>
      <c r="P84"/>
      <c r="Q84"/>
      <c r="R84"/>
      <c r="S84"/>
      <c r="T84"/>
      <c r="U84"/>
      <c r="V84"/>
      <c r="W84"/>
      <c r="X84"/>
      <c r="Y84"/>
      <c r="Z84"/>
      <c r="AA84"/>
      <c r="AB84"/>
      <c r="AC84"/>
      <c r="AD84"/>
      <c r="AF84"/>
    </row>
    <row r="85" spans="4:32" x14ac:dyDescent="0.25">
      <c r="D85"/>
      <c r="E85"/>
      <c r="F85"/>
      <c r="G85"/>
      <c r="H85"/>
      <c r="I85"/>
      <c r="J85"/>
      <c r="K85"/>
      <c r="L85"/>
      <c r="M85"/>
      <c r="N85"/>
      <c r="O85"/>
      <c r="P85"/>
      <c r="Q85"/>
      <c r="R85"/>
      <c r="S85"/>
      <c r="T85"/>
      <c r="U85"/>
      <c r="V85"/>
      <c r="W85"/>
      <c r="X85"/>
      <c r="Y85"/>
      <c r="Z85"/>
      <c r="AA85"/>
      <c r="AB85"/>
      <c r="AC85"/>
      <c r="AD85"/>
      <c r="AF85"/>
    </row>
    <row r="86" spans="4:32" x14ac:dyDescent="0.25">
      <c r="D86"/>
      <c r="E86"/>
      <c r="F86"/>
      <c r="G86"/>
      <c r="H86"/>
      <c r="I86"/>
      <c r="J86"/>
      <c r="K86"/>
      <c r="L86"/>
      <c r="M86"/>
      <c r="N86"/>
      <c r="O86"/>
      <c r="P86"/>
      <c r="Q86"/>
      <c r="R86"/>
      <c r="S86"/>
      <c r="T86"/>
      <c r="U86"/>
      <c r="V86"/>
      <c r="W86"/>
      <c r="X86"/>
      <c r="Y86"/>
      <c r="Z86"/>
      <c r="AA86"/>
      <c r="AB86"/>
      <c r="AC86"/>
      <c r="AD86"/>
      <c r="AF86"/>
    </row>
    <row r="87" spans="4:32" x14ac:dyDescent="0.25">
      <c r="D87"/>
      <c r="E87"/>
      <c r="F87"/>
      <c r="G87"/>
      <c r="H87"/>
      <c r="I87"/>
      <c r="J87"/>
      <c r="K87"/>
      <c r="L87"/>
      <c r="M87"/>
      <c r="N87"/>
      <c r="O87"/>
      <c r="P87"/>
      <c r="Q87"/>
      <c r="R87"/>
      <c r="S87"/>
      <c r="T87"/>
      <c r="U87"/>
      <c r="V87"/>
      <c r="W87"/>
      <c r="X87"/>
      <c r="Y87"/>
      <c r="Z87"/>
      <c r="AA87"/>
      <c r="AB87"/>
      <c r="AC87"/>
      <c r="AD87"/>
      <c r="AF87"/>
    </row>
    <row r="88" spans="4:32" x14ac:dyDescent="0.25">
      <c r="D88"/>
      <c r="E88"/>
      <c r="F88"/>
      <c r="G88"/>
      <c r="H88"/>
      <c r="I88"/>
      <c r="J88"/>
      <c r="K88"/>
      <c r="L88"/>
      <c r="M88"/>
      <c r="N88"/>
      <c r="O88"/>
      <c r="P88"/>
      <c r="Q88"/>
      <c r="R88"/>
      <c r="S88"/>
      <c r="T88"/>
      <c r="U88"/>
      <c r="V88"/>
      <c r="W88"/>
      <c r="X88"/>
      <c r="Y88"/>
      <c r="Z88"/>
      <c r="AA88"/>
      <c r="AB88"/>
      <c r="AC88"/>
      <c r="AD88"/>
      <c r="AF88"/>
    </row>
    <row r="89" spans="4:32" x14ac:dyDescent="0.25">
      <c r="D89"/>
      <c r="E89"/>
      <c r="F89"/>
      <c r="G89"/>
      <c r="H89"/>
      <c r="I89"/>
      <c r="J89"/>
      <c r="K89"/>
      <c r="L89"/>
      <c r="M89"/>
      <c r="N89"/>
      <c r="O89"/>
      <c r="P89"/>
      <c r="Q89"/>
      <c r="R89"/>
      <c r="S89"/>
      <c r="T89"/>
      <c r="U89"/>
      <c r="V89"/>
      <c r="W89"/>
      <c r="X89"/>
      <c r="Y89"/>
      <c r="Z89"/>
      <c r="AA89"/>
      <c r="AB89"/>
      <c r="AC89"/>
      <c r="AD89"/>
      <c r="AF89"/>
    </row>
    <row r="90" spans="4:32" x14ac:dyDescent="0.25">
      <c r="D90"/>
      <c r="E90"/>
      <c r="F90"/>
      <c r="G90"/>
      <c r="H90"/>
      <c r="I90"/>
      <c r="J90"/>
      <c r="K90"/>
      <c r="L90"/>
      <c r="M90"/>
      <c r="N90"/>
      <c r="O90"/>
      <c r="P90"/>
      <c r="Q90"/>
      <c r="R90"/>
      <c r="S90"/>
      <c r="T90"/>
      <c r="U90"/>
      <c r="V90"/>
      <c r="W90"/>
      <c r="X90"/>
      <c r="Y90"/>
      <c r="Z90"/>
      <c r="AA90"/>
      <c r="AB90"/>
      <c r="AC90"/>
      <c r="AD90"/>
      <c r="AF90"/>
    </row>
    <row r="91" spans="4:32" x14ac:dyDescent="0.25">
      <c r="D91"/>
      <c r="E91"/>
      <c r="F91"/>
      <c r="G91"/>
      <c r="H91"/>
      <c r="I91"/>
      <c r="J91"/>
      <c r="K91"/>
      <c r="L91"/>
      <c r="M91"/>
      <c r="N91"/>
      <c r="O91"/>
      <c r="P91"/>
      <c r="Q91"/>
      <c r="R91"/>
      <c r="S91"/>
      <c r="T91"/>
      <c r="U91"/>
      <c r="V91"/>
      <c r="W91"/>
      <c r="X91"/>
      <c r="Y91"/>
      <c r="Z91"/>
      <c r="AA91"/>
      <c r="AB91"/>
      <c r="AC91"/>
      <c r="AD91"/>
      <c r="AF91"/>
    </row>
    <row r="92" spans="4:32" x14ac:dyDescent="0.25">
      <c r="D92"/>
      <c r="E92"/>
      <c r="F92"/>
      <c r="G92"/>
      <c r="H92"/>
      <c r="I92"/>
      <c r="J92"/>
      <c r="K92"/>
      <c r="L92"/>
      <c r="M92"/>
      <c r="N92"/>
      <c r="O92"/>
      <c r="P92"/>
      <c r="Q92"/>
      <c r="R92"/>
      <c r="S92"/>
      <c r="T92"/>
      <c r="U92"/>
      <c r="V92"/>
      <c r="W92"/>
      <c r="X92"/>
      <c r="Y92"/>
      <c r="Z92"/>
      <c r="AA92"/>
      <c r="AB92"/>
      <c r="AC92"/>
      <c r="AD92"/>
      <c r="AF92"/>
    </row>
    <row r="93" spans="4:32" x14ac:dyDescent="0.25">
      <c r="D93"/>
      <c r="E93"/>
      <c r="F93"/>
      <c r="G93"/>
      <c r="H93"/>
      <c r="I93"/>
      <c r="J93"/>
      <c r="K93"/>
      <c r="L93"/>
      <c r="M93"/>
      <c r="N93"/>
      <c r="O93"/>
      <c r="P93"/>
      <c r="Q93"/>
      <c r="R93"/>
      <c r="S93"/>
      <c r="T93"/>
      <c r="U93"/>
      <c r="V93"/>
      <c r="W93"/>
      <c r="X93"/>
      <c r="Y93"/>
      <c r="Z93"/>
      <c r="AA93"/>
      <c r="AB93"/>
      <c r="AC93"/>
      <c r="AD93"/>
      <c r="AF93"/>
    </row>
    <row r="94" spans="4:32" x14ac:dyDescent="0.25">
      <c r="D94"/>
      <c r="E94"/>
      <c r="F94"/>
      <c r="G94"/>
      <c r="H94"/>
      <c r="I94"/>
      <c r="J94"/>
      <c r="K94"/>
      <c r="L94"/>
      <c r="M94"/>
      <c r="N94"/>
      <c r="O94"/>
      <c r="P94"/>
      <c r="Q94"/>
      <c r="R94"/>
      <c r="S94"/>
      <c r="T94"/>
      <c r="U94"/>
      <c r="V94"/>
      <c r="W94"/>
      <c r="X94"/>
      <c r="Y94"/>
      <c r="Z94"/>
      <c r="AA94"/>
      <c r="AB94"/>
      <c r="AC94"/>
      <c r="AD94"/>
      <c r="AF94"/>
    </row>
    <row r="95" spans="4:32" x14ac:dyDescent="0.25">
      <c r="D95"/>
      <c r="E95"/>
      <c r="F95"/>
      <c r="G95"/>
      <c r="H95"/>
      <c r="I95"/>
      <c r="J95"/>
      <c r="K95"/>
      <c r="L95"/>
      <c r="M95"/>
      <c r="N95"/>
      <c r="O95"/>
      <c r="P95"/>
      <c r="Q95"/>
      <c r="R95"/>
      <c r="S95"/>
      <c r="T95"/>
      <c r="U95"/>
      <c r="V95"/>
      <c r="W95"/>
      <c r="X95"/>
      <c r="Y95"/>
      <c r="Z95"/>
      <c r="AA95"/>
      <c r="AB95"/>
      <c r="AC95"/>
      <c r="AD95"/>
      <c r="AF95"/>
    </row>
    <row r="96" spans="4:32" x14ac:dyDescent="0.25">
      <c r="D96"/>
      <c r="E96"/>
      <c r="F96"/>
      <c r="G96"/>
      <c r="H96"/>
      <c r="I96"/>
      <c r="J96"/>
      <c r="K96"/>
      <c r="L96"/>
      <c r="M96"/>
      <c r="N96"/>
      <c r="O96"/>
      <c r="P96"/>
      <c r="Q96"/>
      <c r="R96"/>
      <c r="S96"/>
      <c r="T96"/>
      <c r="U96"/>
      <c r="V96"/>
      <c r="W96"/>
      <c r="X96"/>
      <c r="Y96"/>
      <c r="Z96"/>
      <c r="AA96"/>
      <c r="AB96"/>
      <c r="AC96"/>
      <c r="AD96"/>
      <c r="AF96"/>
    </row>
    <row r="97" spans="4:32" x14ac:dyDescent="0.25">
      <c r="D97"/>
      <c r="E97"/>
      <c r="F97"/>
      <c r="G97"/>
      <c r="H97"/>
      <c r="I97"/>
      <c r="J97"/>
      <c r="K97"/>
      <c r="L97"/>
      <c r="M97"/>
      <c r="N97"/>
      <c r="O97"/>
      <c r="P97"/>
      <c r="Q97"/>
      <c r="R97"/>
      <c r="S97"/>
      <c r="T97"/>
      <c r="U97"/>
      <c r="V97"/>
      <c r="W97"/>
      <c r="X97"/>
      <c r="Y97"/>
      <c r="Z97"/>
      <c r="AA97"/>
      <c r="AB97"/>
      <c r="AC97"/>
      <c r="AD97"/>
      <c r="AF97"/>
    </row>
    <row r="98" spans="4:32" x14ac:dyDescent="0.25">
      <c r="D98"/>
      <c r="E98"/>
      <c r="F98"/>
      <c r="G98"/>
      <c r="H98"/>
      <c r="I98"/>
      <c r="J98"/>
      <c r="K98"/>
      <c r="L98"/>
      <c r="M98"/>
      <c r="N98"/>
      <c r="O98"/>
      <c r="P98"/>
      <c r="Q98"/>
      <c r="R98"/>
      <c r="S98"/>
      <c r="T98"/>
      <c r="U98"/>
      <c r="V98"/>
      <c r="W98"/>
      <c r="X98"/>
      <c r="Y98"/>
      <c r="Z98"/>
      <c r="AA98"/>
      <c r="AB98"/>
      <c r="AC98"/>
      <c r="AD98"/>
      <c r="AF98"/>
    </row>
    <row r="99" spans="4:32" x14ac:dyDescent="0.25">
      <c r="D99"/>
      <c r="E99"/>
      <c r="F99"/>
      <c r="G99"/>
      <c r="H99"/>
      <c r="I99"/>
      <c r="J99"/>
      <c r="K99"/>
      <c r="L99"/>
      <c r="M99"/>
      <c r="N99"/>
      <c r="O99"/>
      <c r="P99"/>
      <c r="Q99"/>
      <c r="R99"/>
      <c r="S99"/>
      <c r="T99"/>
      <c r="U99"/>
      <c r="V99"/>
      <c r="W99"/>
      <c r="X99"/>
      <c r="Y99"/>
      <c r="Z99"/>
      <c r="AA99"/>
      <c r="AB99"/>
      <c r="AC99"/>
      <c r="AD99"/>
      <c r="AF99"/>
    </row>
    <row r="100" spans="4:32" x14ac:dyDescent="0.25">
      <c r="D100"/>
      <c r="E100"/>
      <c r="F100"/>
      <c r="G100"/>
      <c r="H100"/>
      <c r="I100"/>
      <c r="J100"/>
      <c r="K100"/>
      <c r="L100"/>
      <c r="M100"/>
      <c r="N100"/>
      <c r="O100"/>
      <c r="P100"/>
      <c r="Q100"/>
      <c r="R100"/>
      <c r="S100"/>
      <c r="T100"/>
      <c r="U100"/>
      <c r="V100"/>
      <c r="W100"/>
      <c r="X100"/>
      <c r="Y100"/>
      <c r="Z100"/>
      <c r="AA100"/>
      <c r="AB100"/>
      <c r="AC100"/>
      <c r="AD100"/>
      <c r="AF100"/>
    </row>
    <row r="101" spans="4:32" x14ac:dyDescent="0.25">
      <c r="D101"/>
      <c r="E101"/>
      <c r="F101"/>
      <c r="G101"/>
      <c r="H101"/>
      <c r="I101"/>
      <c r="J101"/>
      <c r="K101"/>
      <c r="L101"/>
      <c r="M101"/>
      <c r="N101"/>
      <c r="O101"/>
      <c r="P101"/>
      <c r="Q101"/>
      <c r="R101"/>
      <c r="S101"/>
      <c r="T101"/>
      <c r="U101"/>
      <c r="V101"/>
      <c r="W101"/>
      <c r="X101"/>
      <c r="Y101"/>
      <c r="Z101"/>
      <c r="AA101"/>
      <c r="AB101"/>
      <c r="AC101"/>
      <c r="AD101"/>
      <c r="AF101"/>
    </row>
    <row r="102" spans="4:32" x14ac:dyDescent="0.25">
      <c r="D102"/>
      <c r="E102"/>
      <c r="F102"/>
      <c r="G102"/>
      <c r="H102"/>
      <c r="I102"/>
      <c r="J102"/>
      <c r="K102"/>
      <c r="L102"/>
      <c r="M102"/>
      <c r="N102"/>
      <c r="O102"/>
      <c r="P102"/>
      <c r="Q102"/>
      <c r="R102"/>
      <c r="S102"/>
      <c r="T102"/>
      <c r="U102"/>
      <c r="V102"/>
      <c r="W102"/>
      <c r="X102"/>
      <c r="Y102"/>
      <c r="Z102"/>
      <c r="AA102"/>
      <c r="AB102"/>
      <c r="AC102"/>
      <c r="AD102"/>
      <c r="AF102"/>
    </row>
    <row r="103" spans="4:32" x14ac:dyDescent="0.25">
      <c r="D103"/>
      <c r="E103"/>
      <c r="F103"/>
      <c r="G103"/>
      <c r="H103"/>
      <c r="I103"/>
      <c r="J103"/>
      <c r="K103"/>
      <c r="L103"/>
      <c r="M103"/>
      <c r="N103"/>
      <c r="O103"/>
      <c r="P103"/>
      <c r="Q103"/>
      <c r="R103"/>
      <c r="S103"/>
      <c r="T103"/>
      <c r="U103"/>
      <c r="V103"/>
      <c r="W103"/>
      <c r="X103"/>
      <c r="Y103"/>
      <c r="Z103"/>
      <c r="AA103"/>
      <c r="AB103"/>
      <c r="AC103"/>
      <c r="AD103"/>
      <c r="AF103"/>
    </row>
    <row r="104" spans="4:32" x14ac:dyDescent="0.25">
      <c r="D104"/>
      <c r="E104"/>
      <c r="F104"/>
      <c r="G104"/>
      <c r="H104"/>
      <c r="I104"/>
      <c r="J104"/>
      <c r="K104"/>
      <c r="L104"/>
      <c r="M104"/>
      <c r="N104"/>
      <c r="O104"/>
      <c r="P104"/>
      <c r="Q104"/>
      <c r="R104"/>
      <c r="S104"/>
      <c r="T104"/>
      <c r="U104"/>
      <c r="V104"/>
      <c r="W104"/>
      <c r="X104"/>
      <c r="Y104"/>
      <c r="Z104"/>
      <c r="AA104"/>
      <c r="AB104"/>
      <c r="AC104"/>
      <c r="AD104"/>
      <c r="AF104"/>
    </row>
    <row r="105" spans="4:32" x14ac:dyDescent="0.25">
      <c r="D105"/>
      <c r="E105"/>
      <c r="F105"/>
      <c r="G105"/>
      <c r="H105"/>
      <c r="I105"/>
      <c r="J105"/>
      <c r="K105"/>
      <c r="L105"/>
      <c r="M105"/>
      <c r="N105"/>
      <c r="O105"/>
      <c r="P105"/>
      <c r="Q105"/>
      <c r="R105"/>
      <c r="S105"/>
      <c r="T105"/>
      <c r="U105"/>
      <c r="V105"/>
      <c r="W105"/>
      <c r="X105"/>
      <c r="Y105"/>
      <c r="Z105"/>
      <c r="AA105"/>
      <c r="AB105"/>
      <c r="AC105"/>
      <c r="AD105"/>
      <c r="AF105"/>
    </row>
    <row r="106" spans="4:32" x14ac:dyDescent="0.25">
      <c r="D106"/>
      <c r="E106"/>
      <c r="F106"/>
      <c r="G106"/>
      <c r="H106"/>
      <c r="I106"/>
      <c r="J106"/>
      <c r="K106"/>
      <c r="L106"/>
      <c r="M106"/>
      <c r="N106"/>
      <c r="O106"/>
      <c r="P106"/>
      <c r="Q106"/>
      <c r="R106"/>
      <c r="S106"/>
      <c r="T106"/>
      <c r="U106"/>
      <c r="V106"/>
      <c r="W106"/>
      <c r="X106"/>
      <c r="Y106"/>
      <c r="Z106"/>
      <c r="AA106"/>
      <c r="AB106"/>
      <c r="AC106"/>
      <c r="AD106"/>
      <c r="AF106"/>
    </row>
    <row r="107" spans="4:32" x14ac:dyDescent="0.25">
      <c r="D107"/>
      <c r="E107"/>
      <c r="F107"/>
      <c r="G107"/>
      <c r="H107"/>
      <c r="I107"/>
      <c r="J107"/>
      <c r="K107"/>
      <c r="L107"/>
      <c r="M107"/>
      <c r="N107"/>
      <c r="O107"/>
      <c r="P107"/>
      <c r="Q107"/>
      <c r="R107"/>
      <c r="S107"/>
      <c r="T107"/>
      <c r="U107"/>
      <c r="V107"/>
      <c r="W107"/>
      <c r="X107"/>
      <c r="Y107"/>
      <c r="Z107"/>
      <c r="AA107"/>
      <c r="AB107"/>
      <c r="AC107"/>
      <c r="AD107"/>
      <c r="AF107"/>
    </row>
    <row r="108" spans="4:32" x14ac:dyDescent="0.25">
      <c r="D108"/>
      <c r="E108"/>
      <c r="F108"/>
      <c r="G108"/>
      <c r="H108"/>
      <c r="I108"/>
      <c r="J108"/>
      <c r="K108"/>
      <c r="L108"/>
      <c r="M108"/>
      <c r="N108"/>
      <c r="O108"/>
      <c r="P108"/>
      <c r="Q108"/>
      <c r="R108"/>
      <c r="S108"/>
      <c r="T108"/>
      <c r="U108"/>
      <c r="V108"/>
      <c r="W108"/>
      <c r="X108"/>
      <c r="Y108"/>
      <c r="Z108"/>
      <c r="AA108"/>
      <c r="AB108"/>
      <c r="AC108"/>
      <c r="AD108"/>
      <c r="AF108"/>
    </row>
    <row r="109" spans="4:32" x14ac:dyDescent="0.25">
      <c r="D109"/>
      <c r="E109"/>
      <c r="F109"/>
      <c r="G109"/>
      <c r="H109"/>
      <c r="I109"/>
      <c r="J109"/>
      <c r="K109"/>
      <c r="L109"/>
      <c r="M109"/>
      <c r="N109"/>
      <c r="O109"/>
      <c r="P109"/>
      <c r="Q109"/>
      <c r="R109"/>
      <c r="S109"/>
      <c r="T109"/>
      <c r="U109"/>
      <c r="V109"/>
      <c r="W109"/>
      <c r="X109"/>
      <c r="Y109"/>
      <c r="Z109"/>
      <c r="AA109"/>
      <c r="AB109"/>
      <c r="AC109"/>
      <c r="AD109"/>
      <c r="AF109"/>
    </row>
    <row r="110" spans="4:32" x14ac:dyDescent="0.25">
      <c r="D110"/>
      <c r="E110"/>
      <c r="F110"/>
      <c r="G110"/>
      <c r="H110"/>
      <c r="I110"/>
      <c r="J110"/>
      <c r="K110"/>
      <c r="L110"/>
      <c r="M110"/>
      <c r="N110"/>
      <c r="O110"/>
      <c r="P110"/>
      <c r="Q110"/>
      <c r="R110"/>
      <c r="S110"/>
      <c r="T110"/>
      <c r="U110"/>
      <c r="V110"/>
      <c r="W110"/>
      <c r="X110"/>
      <c r="Y110"/>
      <c r="Z110"/>
      <c r="AA110"/>
      <c r="AB110"/>
      <c r="AC110"/>
      <c r="AD110"/>
      <c r="AF110"/>
    </row>
    <row r="111" spans="4:32" x14ac:dyDescent="0.25">
      <c r="D111"/>
      <c r="E111"/>
      <c r="F111"/>
      <c r="G111"/>
      <c r="H111"/>
      <c r="I111"/>
      <c r="J111"/>
      <c r="K111"/>
      <c r="L111"/>
      <c r="M111"/>
      <c r="N111"/>
      <c r="O111"/>
      <c r="P111"/>
      <c r="Q111"/>
      <c r="R111"/>
      <c r="S111"/>
      <c r="T111"/>
      <c r="U111"/>
      <c r="V111"/>
      <c r="W111"/>
      <c r="X111"/>
      <c r="Y111"/>
      <c r="Z111"/>
      <c r="AA111"/>
      <c r="AB111"/>
      <c r="AC111"/>
      <c r="AD111"/>
      <c r="AF111"/>
    </row>
    <row r="112" spans="4:32" x14ac:dyDescent="0.25">
      <c r="D112"/>
      <c r="E112"/>
      <c r="F112"/>
      <c r="G112"/>
      <c r="H112"/>
      <c r="I112"/>
      <c r="J112"/>
      <c r="K112"/>
      <c r="L112"/>
      <c r="M112"/>
      <c r="N112"/>
      <c r="O112"/>
      <c r="P112"/>
      <c r="Q112"/>
      <c r="R112"/>
      <c r="S112"/>
      <c r="T112"/>
      <c r="U112"/>
      <c r="V112"/>
      <c r="W112"/>
      <c r="X112"/>
      <c r="Y112"/>
      <c r="Z112"/>
      <c r="AA112"/>
      <c r="AB112"/>
      <c r="AC112"/>
      <c r="AD112"/>
      <c r="AF112"/>
    </row>
    <row r="113" spans="4:32" x14ac:dyDescent="0.25">
      <c r="D113"/>
      <c r="E113"/>
      <c r="F113"/>
      <c r="G113"/>
      <c r="H113"/>
      <c r="I113"/>
      <c r="J113"/>
      <c r="K113"/>
      <c r="L113"/>
      <c r="M113"/>
      <c r="N113"/>
      <c r="O113"/>
      <c r="P113"/>
      <c r="Q113"/>
      <c r="R113"/>
      <c r="S113"/>
      <c r="T113"/>
      <c r="U113"/>
      <c r="V113"/>
      <c r="W113"/>
      <c r="X113"/>
      <c r="Y113"/>
      <c r="Z113"/>
      <c r="AA113"/>
      <c r="AB113"/>
      <c r="AC113"/>
      <c r="AD113"/>
      <c r="AF113"/>
    </row>
    <row r="114" spans="4:32" x14ac:dyDescent="0.25">
      <c r="D114"/>
      <c r="E114"/>
      <c r="F114"/>
      <c r="G114"/>
      <c r="H114"/>
      <c r="I114"/>
      <c r="J114"/>
      <c r="K114"/>
      <c r="L114"/>
      <c r="M114"/>
      <c r="N114"/>
      <c r="O114"/>
      <c r="P114"/>
      <c r="Q114"/>
      <c r="R114"/>
      <c r="S114"/>
      <c r="T114"/>
      <c r="U114"/>
      <c r="V114"/>
      <c r="W114"/>
      <c r="X114"/>
      <c r="Y114"/>
      <c r="Z114"/>
      <c r="AA114"/>
      <c r="AB114"/>
      <c r="AC114"/>
      <c r="AD114"/>
      <c r="AF114"/>
    </row>
    <row r="115" spans="4:32" x14ac:dyDescent="0.25">
      <c r="D115"/>
      <c r="E115"/>
      <c r="F115"/>
      <c r="G115"/>
      <c r="H115"/>
      <c r="I115"/>
      <c r="J115"/>
      <c r="K115"/>
      <c r="L115"/>
      <c r="M115"/>
      <c r="N115"/>
      <c r="O115"/>
      <c r="P115"/>
      <c r="Q115"/>
      <c r="R115"/>
      <c r="S115"/>
      <c r="T115"/>
      <c r="U115"/>
      <c r="V115"/>
      <c r="W115"/>
      <c r="X115"/>
      <c r="Y115"/>
      <c r="Z115"/>
      <c r="AA115"/>
      <c r="AB115"/>
      <c r="AC115"/>
      <c r="AD115"/>
      <c r="AF115"/>
    </row>
    <row r="116" spans="4:32" x14ac:dyDescent="0.25">
      <c r="D116"/>
      <c r="E116"/>
      <c r="F116"/>
      <c r="G116"/>
      <c r="H116"/>
      <c r="I116"/>
      <c r="J116"/>
      <c r="K116"/>
      <c r="L116"/>
      <c r="M116"/>
      <c r="N116"/>
      <c r="O116"/>
      <c r="P116"/>
      <c r="Q116"/>
      <c r="R116"/>
      <c r="S116"/>
      <c r="T116"/>
      <c r="U116"/>
      <c r="V116"/>
      <c r="W116"/>
      <c r="X116"/>
      <c r="Y116"/>
      <c r="Z116"/>
      <c r="AA116"/>
      <c r="AB116"/>
      <c r="AC116"/>
      <c r="AD116"/>
      <c r="AF116"/>
    </row>
    <row r="117" spans="4:32" x14ac:dyDescent="0.25">
      <c r="D117"/>
      <c r="E117"/>
      <c r="F117"/>
      <c r="G117"/>
      <c r="H117"/>
      <c r="I117"/>
      <c r="J117"/>
      <c r="K117"/>
      <c r="L117"/>
      <c r="M117"/>
      <c r="N117"/>
      <c r="O117"/>
      <c r="P117"/>
      <c r="Q117"/>
      <c r="R117"/>
      <c r="S117"/>
      <c r="T117"/>
      <c r="U117"/>
      <c r="V117"/>
      <c r="W117"/>
      <c r="X117"/>
      <c r="Y117"/>
      <c r="Z117"/>
      <c r="AA117"/>
      <c r="AB117"/>
      <c r="AC117"/>
      <c r="AD117"/>
      <c r="AF117"/>
    </row>
    <row r="118" spans="4:32" x14ac:dyDescent="0.25">
      <c r="D118"/>
      <c r="E118"/>
      <c r="F118"/>
      <c r="G118"/>
      <c r="H118"/>
      <c r="I118"/>
      <c r="J118"/>
      <c r="K118"/>
      <c r="L118"/>
      <c r="M118"/>
      <c r="N118"/>
      <c r="O118"/>
      <c r="P118"/>
      <c r="Q118"/>
      <c r="R118"/>
      <c r="S118"/>
      <c r="T118"/>
      <c r="U118"/>
      <c r="V118"/>
      <c r="W118"/>
      <c r="X118"/>
      <c r="Y118"/>
      <c r="Z118"/>
      <c r="AA118"/>
      <c r="AB118"/>
      <c r="AC118"/>
      <c r="AD118"/>
      <c r="AF118"/>
    </row>
    <row r="119" spans="4:32" x14ac:dyDescent="0.25">
      <c r="D119"/>
      <c r="E119"/>
      <c r="F119"/>
      <c r="G119"/>
      <c r="H119"/>
      <c r="I119"/>
      <c r="J119"/>
      <c r="K119"/>
      <c r="L119"/>
      <c r="M119"/>
      <c r="N119"/>
      <c r="O119"/>
      <c r="P119"/>
      <c r="Q119"/>
      <c r="R119"/>
      <c r="S119"/>
      <c r="T119"/>
      <c r="U119"/>
      <c r="V119"/>
      <c r="W119"/>
      <c r="X119"/>
      <c r="Y119"/>
      <c r="Z119"/>
      <c r="AA119"/>
      <c r="AB119"/>
      <c r="AC119"/>
      <c r="AD119"/>
      <c r="AF119"/>
    </row>
    <row r="120" spans="4:32" x14ac:dyDescent="0.25">
      <c r="D120"/>
      <c r="E120"/>
      <c r="F120"/>
      <c r="G120"/>
      <c r="H120"/>
      <c r="I120"/>
      <c r="J120"/>
      <c r="K120"/>
      <c r="L120"/>
      <c r="M120"/>
      <c r="N120"/>
      <c r="O120"/>
      <c r="P120"/>
      <c r="Q120"/>
      <c r="R120"/>
      <c r="S120"/>
      <c r="T120"/>
      <c r="U120"/>
      <c r="V120"/>
      <c r="W120"/>
      <c r="X120"/>
      <c r="Y120"/>
      <c r="Z120"/>
      <c r="AA120"/>
      <c r="AB120"/>
      <c r="AC120"/>
      <c r="AD120"/>
      <c r="AF120"/>
    </row>
    <row r="121" spans="4:32" x14ac:dyDescent="0.25">
      <c r="D121"/>
      <c r="E121"/>
      <c r="F121"/>
      <c r="G121"/>
      <c r="H121"/>
      <c r="I121"/>
      <c r="J121"/>
      <c r="K121"/>
      <c r="L121"/>
      <c r="M121"/>
      <c r="N121"/>
      <c r="O121"/>
      <c r="P121"/>
      <c r="Q121"/>
      <c r="R121"/>
      <c r="S121"/>
      <c r="T121"/>
      <c r="U121"/>
      <c r="V121"/>
      <c r="W121"/>
      <c r="X121"/>
      <c r="Y121"/>
      <c r="Z121"/>
      <c r="AA121"/>
      <c r="AB121"/>
      <c r="AC121"/>
      <c r="AD121"/>
      <c r="AF121"/>
    </row>
    <row r="122" spans="4:32" x14ac:dyDescent="0.25">
      <c r="D122"/>
      <c r="E122"/>
      <c r="F122"/>
      <c r="G122"/>
      <c r="H122"/>
      <c r="I122"/>
      <c r="J122"/>
      <c r="K122"/>
      <c r="L122"/>
      <c r="M122"/>
      <c r="N122"/>
      <c r="O122"/>
      <c r="P122"/>
      <c r="Q122"/>
      <c r="R122"/>
      <c r="S122"/>
      <c r="T122"/>
      <c r="U122"/>
      <c r="V122"/>
      <c r="W122"/>
      <c r="X122"/>
      <c r="Y122"/>
      <c r="Z122"/>
      <c r="AA122"/>
      <c r="AB122"/>
      <c r="AC122"/>
      <c r="AD122"/>
      <c r="AF122"/>
    </row>
    <row r="123" spans="4:32" x14ac:dyDescent="0.25">
      <c r="D123"/>
      <c r="E123"/>
      <c r="F123"/>
      <c r="G123"/>
      <c r="H123"/>
      <c r="I123"/>
      <c r="J123"/>
      <c r="K123"/>
      <c r="L123"/>
      <c r="M123"/>
      <c r="N123"/>
      <c r="O123"/>
      <c r="P123"/>
      <c r="Q123"/>
      <c r="R123"/>
      <c r="S123"/>
      <c r="T123"/>
      <c r="U123"/>
      <c r="V123"/>
      <c r="W123"/>
      <c r="X123"/>
      <c r="Y123"/>
      <c r="Z123"/>
      <c r="AA123"/>
      <c r="AB123"/>
      <c r="AC123"/>
      <c r="AD123"/>
      <c r="AF123"/>
    </row>
    <row r="124" spans="4:32" x14ac:dyDescent="0.25">
      <c r="D124"/>
      <c r="E124"/>
      <c r="F124"/>
      <c r="G124"/>
      <c r="H124"/>
      <c r="I124"/>
      <c r="J124"/>
      <c r="K124"/>
      <c r="L124"/>
      <c r="M124"/>
      <c r="N124"/>
      <c r="O124"/>
      <c r="P124"/>
      <c r="Q124"/>
      <c r="R124"/>
      <c r="S124"/>
      <c r="T124"/>
      <c r="U124"/>
      <c r="V124"/>
      <c r="W124"/>
      <c r="X124"/>
      <c r="Y124"/>
      <c r="Z124"/>
      <c r="AA124"/>
      <c r="AB124"/>
      <c r="AC124"/>
      <c r="AD124"/>
      <c r="AF124"/>
    </row>
    <row r="125" spans="4:32" x14ac:dyDescent="0.25">
      <c r="D125"/>
      <c r="E125"/>
      <c r="F125"/>
      <c r="G125"/>
      <c r="H125"/>
      <c r="I125"/>
      <c r="J125"/>
      <c r="K125"/>
      <c r="L125"/>
      <c r="M125"/>
      <c r="N125"/>
      <c r="O125"/>
      <c r="P125"/>
      <c r="Q125"/>
      <c r="R125"/>
      <c r="S125"/>
      <c r="T125"/>
      <c r="U125"/>
      <c r="V125"/>
      <c r="W125"/>
      <c r="X125"/>
      <c r="Y125"/>
      <c r="Z125"/>
      <c r="AA125"/>
      <c r="AB125"/>
      <c r="AC125"/>
      <c r="AD125"/>
      <c r="AF125"/>
    </row>
    <row r="126" spans="4:32" x14ac:dyDescent="0.25">
      <c r="D126"/>
      <c r="E126"/>
      <c r="F126"/>
      <c r="G126"/>
      <c r="H126"/>
      <c r="I126"/>
      <c r="J126"/>
      <c r="K126"/>
      <c r="L126"/>
      <c r="M126"/>
      <c r="N126"/>
      <c r="O126"/>
      <c r="P126"/>
      <c r="Q126"/>
      <c r="R126"/>
      <c r="S126"/>
      <c r="T126"/>
      <c r="U126"/>
      <c r="V126"/>
      <c r="W126"/>
      <c r="X126"/>
      <c r="Y126"/>
      <c r="Z126"/>
      <c r="AA126"/>
      <c r="AB126"/>
      <c r="AC126"/>
      <c r="AD126"/>
      <c r="AF126"/>
    </row>
    <row r="127" spans="4:32" x14ac:dyDescent="0.25">
      <c r="D127"/>
      <c r="E127"/>
      <c r="F127"/>
      <c r="G127"/>
      <c r="H127"/>
      <c r="I127"/>
      <c r="J127"/>
      <c r="K127"/>
      <c r="L127"/>
      <c r="M127"/>
      <c r="N127"/>
      <c r="O127"/>
      <c r="P127"/>
      <c r="Q127"/>
      <c r="R127"/>
      <c r="S127"/>
      <c r="T127"/>
      <c r="U127"/>
      <c r="V127"/>
      <c r="W127"/>
      <c r="X127"/>
      <c r="Y127"/>
      <c r="Z127"/>
      <c r="AA127"/>
      <c r="AB127"/>
      <c r="AC127"/>
      <c r="AD127"/>
      <c r="AF127"/>
    </row>
    <row r="128" spans="4:32" x14ac:dyDescent="0.25">
      <c r="D128"/>
      <c r="E128"/>
      <c r="F128"/>
      <c r="G128"/>
      <c r="H128"/>
      <c r="I128"/>
      <c r="J128"/>
      <c r="K128"/>
      <c r="L128"/>
      <c r="M128"/>
      <c r="N128"/>
      <c r="O128"/>
      <c r="P128"/>
      <c r="Q128"/>
      <c r="R128"/>
      <c r="S128"/>
      <c r="T128"/>
      <c r="U128"/>
      <c r="V128"/>
      <c r="W128"/>
      <c r="X128"/>
      <c r="Y128"/>
      <c r="Z128"/>
      <c r="AA128"/>
      <c r="AB128"/>
      <c r="AC128"/>
      <c r="AD128"/>
      <c r="AF128"/>
    </row>
    <row r="129" spans="4:32" x14ac:dyDescent="0.25">
      <c r="D129"/>
      <c r="E129"/>
      <c r="F129"/>
      <c r="G129"/>
      <c r="H129"/>
      <c r="I129"/>
      <c r="J129"/>
      <c r="K129"/>
      <c r="L129"/>
      <c r="M129"/>
      <c r="N129"/>
      <c r="O129"/>
      <c r="P129"/>
      <c r="Q129"/>
      <c r="R129"/>
      <c r="S129"/>
      <c r="T129"/>
      <c r="U129"/>
      <c r="V129"/>
      <c r="W129"/>
      <c r="X129"/>
      <c r="Y129"/>
      <c r="Z129"/>
      <c r="AA129"/>
      <c r="AB129"/>
      <c r="AC129"/>
      <c r="AD129"/>
      <c r="AF129"/>
    </row>
    <row r="130" spans="4:32" x14ac:dyDescent="0.25">
      <c r="D130"/>
      <c r="E130"/>
      <c r="F130"/>
      <c r="G130"/>
      <c r="H130"/>
      <c r="I130"/>
      <c r="J130"/>
      <c r="K130"/>
      <c r="L130"/>
      <c r="M130"/>
      <c r="N130"/>
      <c r="O130"/>
      <c r="P130"/>
      <c r="Q130"/>
      <c r="R130"/>
      <c r="S130"/>
      <c r="T130"/>
      <c r="U130"/>
      <c r="V130"/>
      <c r="W130"/>
      <c r="X130"/>
      <c r="Y130"/>
      <c r="Z130"/>
      <c r="AA130"/>
      <c r="AB130"/>
      <c r="AC130"/>
      <c r="AD130"/>
      <c r="AF130"/>
    </row>
    <row r="131" spans="4:32" x14ac:dyDescent="0.25">
      <c r="D131"/>
      <c r="E131"/>
      <c r="F131"/>
      <c r="G131"/>
      <c r="H131"/>
      <c r="I131"/>
      <c r="J131"/>
      <c r="K131"/>
      <c r="L131"/>
      <c r="M131"/>
      <c r="N131"/>
      <c r="O131"/>
      <c r="P131"/>
      <c r="Q131"/>
      <c r="R131"/>
      <c r="S131"/>
      <c r="T131"/>
      <c r="U131"/>
      <c r="V131"/>
      <c r="W131"/>
      <c r="X131"/>
      <c r="Y131"/>
      <c r="Z131"/>
      <c r="AA131"/>
      <c r="AB131"/>
      <c r="AC131"/>
      <c r="AD131"/>
      <c r="AF131"/>
    </row>
    <row r="132" spans="4:32" x14ac:dyDescent="0.25">
      <c r="D132"/>
      <c r="E132"/>
      <c r="F132"/>
      <c r="G132"/>
      <c r="H132"/>
      <c r="I132"/>
      <c r="J132"/>
      <c r="K132"/>
      <c r="L132"/>
      <c r="M132"/>
      <c r="N132"/>
      <c r="O132"/>
      <c r="P132"/>
      <c r="Q132"/>
      <c r="R132"/>
      <c r="S132"/>
      <c r="T132"/>
      <c r="U132"/>
      <c r="V132"/>
      <c r="W132"/>
      <c r="X132"/>
      <c r="Y132"/>
      <c r="Z132"/>
      <c r="AA132"/>
      <c r="AB132"/>
      <c r="AC132"/>
      <c r="AD132"/>
      <c r="AF132"/>
    </row>
    <row r="133" spans="4:32" x14ac:dyDescent="0.25">
      <c r="D133"/>
      <c r="E133"/>
      <c r="F133"/>
      <c r="G133"/>
      <c r="H133"/>
      <c r="I133"/>
      <c r="J133"/>
      <c r="K133"/>
      <c r="L133"/>
      <c r="M133"/>
      <c r="N133"/>
      <c r="O133"/>
      <c r="P133"/>
      <c r="Q133"/>
      <c r="R133"/>
      <c r="S133"/>
      <c r="T133"/>
      <c r="U133"/>
      <c r="V133"/>
      <c r="W133"/>
      <c r="X133"/>
      <c r="Y133"/>
      <c r="Z133"/>
      <c r="AA133"/>
      <c r="AB133"/>
      <c r="AC133"/>
      <c r="AD133"/>
      <c r="AF133"/>
    </row>
    <row r="134" spans="4:32" x14ac:dyDescent="0.25">
      <c r="D134"/>
      <c r="E134"/>
      <c r="F134"/>
      <c r="G134"/>
      <c r="H134"/>
      <c r="I134"/>
      <c r="J134"/>
      <c r="K134"/>
      <c r="L134"/>
      <c r="M134"/>
      <c r="N134"/>
      <c r="O134"/>
      <c r="P134"/>
      <c r="Q134"/>
      <c r="R134"/>
      <c r="S134"/>
      <c r="T134"/>
      <c r="U134"/>
      <c r="V134"/>
      <c r="W134"/>
      <c r="X134"/>
      <c r="Y134"/>
      <c r="Z134"/>
      <c r="AA134"/>
      <c r="AB134"/>
      <c r="AC134"/>
      <c r="AD134"/>
      <c r="AF134"/>
    </row>
    <row r="135" spans="4:32" x14ac:dyDescent="0.25">
      <c r="D135"/>
      <c r="E135"/>
      <c r="F135"/>
      <c r="G135"/>
      <c r="H135"/>
      <c r="I135"/>
      <c r="J135"/>
      <c r="K135"/>
      <c r="L135"/>
      <c r="M135"/>
      <c r="N135"/>
      <c r="O135"/>
      <c r="P135"/>
      <c r="Q135"/>
      <c r="R135"/>
      <c r="S135"/>
      <c r="T135"/>
      <c r="U135"/>
      <c r="V135"/>
      <c r="W135"/>
      <c r="X135"/>
      <c r="Y135"/>
      <c r="Z135"/>
      <c r="AA135"/>
      <c r="AB135"/>
      <c r="AC135"/>
      <c r="AD135"/>
      <c r="AF135"/>
    </row>
    <row r="136" spans="4:32" x14ac:dyDescent="0.25">
      <c r="D136"/>
      <c r="E136"/>
      <c r="F136"/>
      <c r="G136"/>
      <c r="H136"/>
      <c r="I136"/>
      <c r="J136"/>
      <c r="K136"/>
      <c r="L136"/>
      <c r="M136"/>
      <c r="N136"/>
      <c r="O136"/>
      <c r="P136"/>
      <c r="Q136"/>
      <c r="R136"/>
      <c r="S136"/>
      <c r="T136"/>
      <c r="U136"/>
      <c r="V136"/>
      <c r="W136"/>
      <c r="X136"/>
      <c r="Y136"/>
      <c r="Z136"/>
      <c r="AA136"/>
      <c r="AB136"/>
      <c r="AC136"/>
      <c r="AD136"/>
      <c r="AF136"/>
    </row>
    <row r="137" spans="4:32" x14ac:dyDescent="0.25">
      <c r="D137"/>
      <c r="E137"/>
      <c r="F137"/>
      <c r="G137"/>
      <c r="H137"/>
      <c r="I137"/>
      <c r="J137"/>
      <c r="K137"/>
      <c r="L137"/>
      <c r="M137"/>
      <c r="N137"/>
      <c r="O137"/>
      <c r="P137"/>
      <c r="Q137"/>
      <c r="R137"/>
      <c r="S137"/>
      <c r="T137"/>
      <c r="U137"/>
      <c r="V137"/>
      <c r="W137"/>
      <c r="X137"/>
      <c r="Y137"/>
      <c r="Z137"/>
      <c r="AA137"/>
      <c r="AB137"/>
      <c r="AC137"/>
      <c r="AD137"/>
      <c r="AF137"/>
    </row>
    <row r="138" spans="4:32" x14ac:dyDescent="0.25">
      <c r="D138"/>
      <c r="E138"/>
      <c r="F138"/>
      <c r="G138"/>
      <c r="H138"/>
      <c r="I138"/>
      <c r="J138"/>
      <c r="K138"/>
      <c r="L138"/>
      <c r="M138"/>
      <c r="N138"/>
      <c r="O138"/>
      <c r="P138"/>
      <c r="Q138"/>
      <c r="R138"/>
      <c r="S138"/>
      <c r="T138"/>
      <c r="U138"/>
      <c r="V138"/>
      <c r="W138"/>
      <c r="X138"/>
      <c r="Y138"/>
      <c r="Z138"/>
      <c r="AA138"/>
      <c r="AB138"/>
      <c r="AC138"/>
      <c r="AD138"/>
      <c r="AF138"/>
    </row>
    <row r="139" spans="4:32" x14ac:dyDescent="0.25">
      <c r="D139"/>
      <c r="E139"/>
      <c r="F139"/>
      <c r="G139"/>
      <c r="H139"/>
      <c r="I139"/>
      <c r="J139"/>
      <c r="K139"/>
      <c r="L139"/>
      <c r="M139"/>
      <c r="N139"/>
      <c r="O139"/>
      <c r="P139"/>
      <c r="Q139"/>
      <c r="R139"/>
      <c r="S139"/>
      <c r="T139"/>
      <c r="U139"/>
      <c r="V139"/>
      <c r="W139"/>
      <c r="X139"/>
      <c r="Y139"/>
      <c r="Z139"/>
      <c r="AA139"/>
      <c r="AB139"/>
      <c r="AC139"/>
      <c r="AD139"/>
      <c r="AF139"/>
    </row>
    <row r="140" spans="4:32" x14ac:dyDescent="0.25">
      <c r="D140"/>
      <c r="E140"/>
      <c r="F140"/>
      <c r="G140"/>
      <c r="H140"/>
      <c r="I140"/>
      <c r="J140"/>
      <c r="K140"/>
      <c r="L140"/>
      <c r="M140"/>
      <c r="N140"/>
      <c r="O140"/>
      <c r="P140"/>
      <c r="Q140"/>
      <c r="R140"/>
      <c r="S140"/>
      <c r="T140"/>
      <c r="U140"/>
      <c r="V140"/>
      <c r="W140"/>
      <c r="X140"/>
      <c r="Y140"/>
      <c r="Z140"/>
      <c r="AA140"/>
      <c r="AB140"/>
      <c r="AC140"/>
      <c r="AD140"/>
      <c r="AF140"/>
    </row>
    <row r="141" spans="4:32" x14ac:dyDescent="0.25">
      <c r="D141"/>
      <c r="E141"/>
      <c r="F141"/>
      <c r="G141"/>
      <c r="H141"/>
      <c r="I141"/>
      <c r="J141"/>
      <c r="K141"/>
      <c r="L141"/>
      <c r="M141"/>
      <c r="N141"/>
      <c r="O141"/>
      <c r="P141"/>
      <c r="Q141"/>
      <c r="R141"/>
      <c r="S141"/>
      <c r="T141"/>
      <c r="U141"/>
      <c r="V141"/>
      <c r="W141"/>
      <c r="X141"/>
      <c r="Y141"/>
      <c r="Z141"/>
      <c r="AA141"/>
      <c r="AB141"/>
      <c r="AC141"/>
      <c r="AD141"/>
      <c r="AF141"/>
    </row>
    <row r="142" spans="4:32" x14ac:dyDescent="0.25">
      <c r="D142"/>
      <c r="E142"/>
      <c r="F142"/>
      <c r="G142"/>
      <c r="H142"/>
      <c r="I142"/>
      <c r="J142"/>
      <c r="K142"/>
      <c r="L142"/>
      <c r="M142"/>
      <c r="N142"/>
      <c r="O142"/>
      <c r="P142"/>
      <c r="Q142"/>
      <c r="R142"/>
      <c r="S142"/>
      <c r="T142"/>
      <c r="U142"/>
      <c r="V142"/>
      <c r="W142"/>
      <c r="X142"/>
      <c r="Y142"/>
      <c r="Z142"/>
      <c r="AA142"/>
      <c r="AB142"/>
      <c r="AC142"/>
      <c r="AD142"/>
      <c r="AF142"/>
    </row>
    <row r="143" spans="4:32" x14ac:dyDescent="0.25">
      <c r="D143"/>
      <c r="E143"/>
      <c r="F143"/>
      <c r="G143"/>
      <c r="H143"/>
      <c r="I143"/>
      <c r="J143"/>
      <c r="K143"/>
      <c r="L143"/>
      <c r="M143"/>
      <c r="N143"/>
      <c r="O143"/>
      <c r="P143"/>
      <c r="Q143"/>
      <c r="R143"/>
      <c r="S143"/>
      <c r="T143"/>
      <c r="U143"/>
      <c r="V143"/>
      <c r="W143"/>
      <c r="X143"/>
      <c r="Y143"/>
      <c r="Z143"/>
      <c r="AA143"/>
      <c r="AB143"/>
      <c r="AC143"/>
      <c r="AD143"/>
      <c r="AF143"/>
    </row>
    <row r="144" spans="4:32" x14ac:dyDescent="0.25">
      <c r="D144"/>
      <c r="E144"/>
      <c r="F144"/>
      <c r="G144"/>
      <c r="H144"/>
      <c r="I144"/>
      <c r="J144"/>
      <c r="K144"/>
      <c r="L144"/>
      <c r="M144"/>
      <c r="N144"/>
      <c r="O144"/>
      <c r="P144"/>
      <c r="Q144"/>
      <c r="R144"/>
      <c r="S144"/>
      <c r="T144"/>
      <c r="U144"/>
      <c r="V144"/>
      <c r="W144"/>
      <c r="X144"/>
      <c r="Y144"/>
      <c r="Z144"/>
      <c r="AA144"/>
      <c r="AB144"/>
      <c r="AC144"/>
      <c r="AD144"/>
      <c r="AF144"/>
    </row>
    <row r="145" spans="4:32" x14ac:dyDescent="0.25">
      <c r="D145"/>
      <c r="E145"/>
      <c r="F145"/>
      <c r="G145"/>
      <c r="H145"/>
      <c r="I145"/>
      <c r="J145"/>
      <c r="K145"/>
      <c r="L145"/>
      <c r="M145"/>
      <c r="N145"/>
      <c r="O145"/>
      <c r="P145"/>
      <c r="Q145"/>
      <c r="R145"/>
      <c r="S145"/>
      <c r="T145"/>
      <c r="U145"/>
      <c r="V145"/>
      <c r="W145"/>
      <c r="X145"/>
      <c r="Y145"/>
      <c r="Z145"/>
      <c r="AA145"/>
      <c r="AB145"/>
      <c r="AC145"/>
      <c r="AD145"/>
      <c r="AF145"/>
    </row>
    <row r="146" spans="4:32" x14ac:dyDescent="0.25">
      <c r="D146"/>
      <c r="E146"/>
      <c r="F146"/>
      <c r="G146"/>
      <c r="H146"/>
      <c r="I146"/>
      <c r="J146"/>
      <c r="K146"/>
      <c r="L146"/>
      <c r="M146"/>
      <c r="N146"/>
      <c r="O146"/>
      <c r="P146"/>
      <c r="Q146"/>
      <c r="R146"/>
      <c r="S146"/>
      <c r="T146"/>
      <c r="U146"/>
      <c r="V146"/>
      <c r="W146"/>
      <c r="X146"/>
      <c r="Y146"/>
      <c r="Z146"/>
      <c r="AA146"/>
      <c r="AB146"/>
      <c r="AC146"/>
      <c r="AD146"/>
      <c r="AF146"/>
    </row>
    <row r="147" spans="4:32" x14ac:dyDescent="0.25">
      <c r="D147"/>
      <c r="E147"/>
      <c r="F147"/>
      <c r="G147"/>
      <c r="H147"/>
      <c r="I147"/>
      <c r="J147"/>
      <c r="K147"/>
      <c r="L147"/>
      <c r="M147"/>
      <c r="N147"/>
      <c r="O147"/>
      <c r="P147"/>
      <c r="Q147"/>
      <c r="R147"/>
      <c r="S147"/>
      <c r="T147"/>
      <c r="U147"/>
      <c r="V147"/>
      <c r="W147"/>
      <c r="X147"/>
      <c r="Y147"/>
      <c r="Z147"/>
      <c r="AA147"/>
      <c r="AB147"/>
      <c r="AC147"/>
      <c r="AD147"/>
      <c r="AF147"/>
    </row>
    <row r="148" spans="4:32" x14ac:dyDescent="0.25">
      <c r="D148"/>
      <c r="E148"/>
      <c r="F148"/>
      <c r="G148"/>
      <c r="H148"/>
      <c r="I148"/>
      <c r="J148"/>
      <c r="K148"/>
      <c r="L148"/>
      <c r="M148"/>
      <c r="N148"/>
      <c r="O148"/>
      <c r="P148"/>
      <c r="Q148"/>
      <c r="R148"/>
      <c r="S148"/>
      <c r="T148"/>
      <c r="U148"/>
      <c r="V148"/>
      <c r="W148"/>
      <c r="X148"/>
      <c r="Y148"/>
      <c r="Z148"/>
      <c r="AA148"/>
      <c r="AB148"/>
      <c r="AC148"/>
      <c r="AD148"/>
      <c r="AF148"/>
    </row>
    <row r="149" spans="4:32" x14ac:dyDescent="0.25">
      <c r="D149"/>
      <c r="E149"/>
      <c r="F149"/>
      <c r="G149"/>
      <c r="H149"/>
      <c r="I149"/>
      <c r="J149"/>
      <c r="K149"/>
      <c r="L149"/>
      <c r="M149"/>
      <c r="N149"/>
      <c r="O149"/>
      <c r="P149"/>
      <c r="Q149"/>
      <c r="R149"/>
      <c r="S149"/>
      <c r="T149"/>
      <c r="U149"/>
      <c r="V149"/>
      <c r="W149"/>
      <c r="X149"/>
      <c r="Y149"/>
      <c r="Z149"/>
      <c r="AA149"/>
      <c r="AB149"/>
      <c r="AC149"/>
      <c r="AD149"/>
      <c r="AF149"/>
    </row>
    <row r="150" spans="4:32" x14ac:dyDescent="0.25">
      <c r="D150"/>
      <c r="E150"/>
      <c r="F150"/>
      <c r="G150"/>
      <c r="H150"/>
      <c r="I150"/>
      <c r="J150"/>
      <c r="K150"/>
      <c r="L150"/>
      <c r="M150"/>
      <c r="N150"/>
      <c r="O150"/>
      <c r="P150"/>
      <c r="Q150"/>
      <c r="R150"/>
      <c r="S150"/>
      <c r="T150"/>
      <c r="U150"/>
      <c r="V150"/>
      <c r="W150"/>
      <c r="X150"/>
      <c r="Y150"/>
      <c r="Z150"/>
      <c r="AA150"/>
      <c r="AB150"/>
      <c r="AC150"/>
      <c r="AD150"/>
      <c r="AF150"/>
    </row>
    <row r="151" spans="4:32" x14ac:dyDescent="0.25">
      <c r="D151"/>
      <c r="E151"/>
      <c r="F151"/>
      <c r="G151"/>
      <c r="H151"/>
      <c r="I151"/>
      <c r="J151"/>
      <c r="K151"/>
      <c r="L151"/>
      <c r="M151"/>
      <c r="N151"/>
      <c r="O151"/>
      <c r="P151"/>
      <c r="Q151"/>
      <c r="R151"/>
      <c r="S151"/>
      <c r="T151"/>
      <c r="U151"/>
      <c r="V151"/>
      <c r="W151"/>
      <c r="X151"/>
      <c r="Y151"/>
      <c r="Z151"/>
      <c r="AA151"/>
      <c r="AB151"/>
      <c r="AC151"/>
      <c r="AD151"/>
      <c r="AF151"/>
    </row>
    <row r="152" spans="4:32" x14ac:dyDescent="0.25">
      <c r="D152"/>
      <c r="E152"/>
      <c r="F152"/>
      <c r="G152"/>
      <c r="H152"/>
      <c r="I152"/>
      <c r="J152"/>
      <c r="K152"/>
      <c r="L152"/>
      <c r="M152"/>
      <c r="N152"/>
      <c r="O152"/>
      <c r="P152"/>
      <c r="Q152"/>
      <c r="R152"/>
      <c r="S152"/>
      <c r="T152"/>
      <c r="U152"/>
      <c r="V152"/>
      <c r="W152"/>
      <c r="X152"/>
      <c r="Y152"/>
      <c r="Z152"/>
      <c r="AA152"/>
      <c r="AB152"/>
      <c r="AC152"/>
      <c r="AD152"/>
      <c r="AF152"/>
    </row>
    <row r="153" spans="4:32" x14ac:dyDescent="0.25">
      <c r="D153"/>
      <c r="E153"/>
      <c r="F153"/>
      <c r="G153"/>
      <c r="H153"/>
      <c r="I153"/>
      <c r="J153"/>
      <c r="K153"/>
      <c r="L153"/>
      <c r="M153"/>
      <c r="N153"/>
      <c r="O153"/>
      <c r="P153"/>
      <c r="Q153"/>
      <c r="R153"/>
      <c r="S153"/>
      <c r="T153"/>
      <c r="U153"/>
      <c r="V153"/>
      <c r="W153"/>
      <c r="X153"/>
      <c r="Y153"/>
      <c r="Z153"/>
      <c r="AA153"/>
      <c r="AB153"/>
      <c r="AC153"/>
      <c r="AD153"/>
      <c r="AF153"/>
    </row>
    <row r="154" spans="4:32" x14ac:dyDescent="0.25">
      <c r="D154"/>
      <c r="E154"/>
      <c r="F154"/>
      <c r="G154"/>
      <c r="H154"/>
      <c r="I154"/>
      <c r="J154"/>
      <c r="K154"/>
      <c r="L154"/>
      <c r="M154"/>
      <c r="N154"/>
      <c r="O154"/>
      <c r="P154"/>
      <c r="Q154"/>
      <c r="R154"/>
      <c r="S154"/>
      <c r="T154"/>
      <c r="U154"/>
      <c r="V154"/>
      <c r="W154"/>
      <c r="X154"/>
      <c r="Y154"/>
      <c r="Z154"/>
      <c r="AA154"/>
      <c r="AB154"/>
      <c r="AC154"/>
      <c r="AD154"/>
      <c r="AF154"/>
    </row>
    <row r="155" spans="4:32" x14ac:dyDescent="0.25">
      <c r="D155"/>
      <c r="E155"/>
      <c r="F155"/>
      <c r="G155"/>
      <c r="H155"/>
      <c r="I155"/>
      <c r="J155"/>
      <c r="K155"/>
      <c r="L155"/>
      <c r="M155"/>
      <c r="N155"/>
      <c r="O155"/>
      <c r="P155"/>
      <c r="Q155"/>
      <c r="R155"/>
      <c r="S155"/>
      <c r="T155"/>
      <c r="U155"/>
      <c r="V155"/>
      <c r="W155"/>
      <c r="X155"/>
      <c r="Y155"/>
      <c r="Z155"/>
      <c r="AA155"/>
      <c r="AB155"/>
      <c r="AC155"/>
      <c r="AD155"/>
      <c r="AF155"/>
    </row>
    <row r="156" spans="4:32" x14ac:dyDescent="0.25">
      <c r="D156"/>
      <c r="E156"/>
      <c r="F156"/>
      <c r="G156"/>
      <c r="H156"/>
      <c r="I156"/>
      <c r="J156"/>
      <c r="K156"/>
      <c r="L156"/>
      <c r="M156"/>
      <c r="N156"/>
      <c r="O156"/>
      <c r="P156"/>
      <c r="Q156"/>
      <c r="R156"/>
      <c r="S156"/>
      <c r="T156"/>
      <c r="U156"/>
      <c r="V156"/>
      <c r="W156"/>
      <c r="X156"/>
      <c r="Y156"/>
      <c r="Z156"/>
      <c r="AA156"/>
      <c r="AB156"/>
      <c r="AC156"/>
      <c r="AD156"/>
      <c r="AF156"/>
    </row>
    <row r="157" spans="4:32" x14ac:dyDescent="0.25">
      <c r="D157"/>
      <c r="E157"/>
      <c r="F157"/>
      <c r="G157"/>
      <c r="H157"/>
      <c r="I157"/>
      <c r="J157"/>
      <c r="K157"/>
      <c r="L157"/>
      <c r="M157"/>
      <c r="N157"/>
      <c r="O157"/>
      <c r="P157"/>
      <c r="Q157"/>
      <c r="R157"/>
      <c r="S157"/>
      <c r="T157"/>
      <c r="U157"/>
      <c r="V157"/>
      <c r="W157"/>
      <c r="X157"/>
      <c r="Y157"/>
      <c r="Z157"/>
      <c r="AA157"/>
      <c r="AB157"/>
      <c r="AC157"/>
      <c r="AD157"/>
      <c r="AF157"/>
    </row>
    <row r="158" spans="4:32" x14ac:dyDescent="0.25">
      <c r="D158"/>
      <c r="E158"/>
      <c r="F158"/>
      <c r="G158"/>
      <c r="H158"/>
      <c r="I158"/>
      <c r="J158"/>
      <c r="K158"/>
      <c r="L158"/>
      <c r="M158"/>
      <c r="N158"/>
      <c r="O158"/>
      <c r="P158"/>
      <c r="Q158"/>
      <c r="R158"/>
      <c r="S158"/>
      <c r="T158"/>
      <c r="U158"/>
      <c r="V158"/>
      <c r="W158"/>
      <c r="X158"/>
      <c r="Y158"/>
      <c r="Z158"/>
      <c r="AA158"/>
      <c r="AB158"/>
      <c r="AC158"/>
      <c r="AD158"/>
      <c r="AF158"/>
    </row>
    <row r="159" spans="4:32" x14ac:dyDescent="0.25">
      <c r="D159"/>
      <c r="E159"/>
      <c r="F159"/>
      <c r="G159"/>
      <c r="H159"/>
      <c r="I159"/>
      <c r="J159"/>
      <c r="K159"/>
      <c r="L159"/>
      <c r="M159"/>
      <c r="N159"/>
      <c r="O159"/>
      <c r="P159"/>
      <c r="Q159"/>
      <c r="R159"/>
      <c r="S159"/>
      <c r="T159"/>
      <c r="U159"/>
      <c r="V159"/>
      <c r="W159"/>
      <c r="X159"/>
      <c r="Y159"/>
      <c r="Z159"/>
      <c r="AA159"/>
      <c r="AB159"/>
      <c r="AC159"/>
      <c r="AD159"/>
      <c r="AF159"/>
    </row>
    <row r="160" spans="4:32" x14ac:dyDescent="0.25">
      <c r="D160"/>
      <c r="E160"/>
      <c r="F160"/>
      <c r="G160"/>
      <c r="H160"/>
      <c r="I160"/>
      <c r="J160"/>
      <c r="K160"/>
      <c r="L160"/>
      <c r="M160"/>
      <c r="N160"/>
      <c r="O160"/>
      <c r="P160"/>
      <c r="Q160"/>
      <c r="R160"/>
      <c r="S160"/>
      <c r="T160"/>
      <c r="U160"/>
      <c r="V160"/>
      <c r="W160"/>
      <c r="X160"/>
      <c r="Y160"/>
      <c r="Z160"/>
      <c r="AA160"/>
      <c r="AB160"/>
      <c r="AC160"/>
      <c r="AD160"/>
      <c r="AF160"/>
    </row>
    <row r="161" spans="4:32" x14ac:dyDescent="0.25">
      <c r="D161"/>
      <c r="E161"/>
      <c r="F161"/>
      <c r="G161"/>
      <c r="H161"/>
      <c r="I161"/>
      <c r="J161"/>
      <c r="K161"/>
      <c r="L161"/>
      <c r="M161"/>
      <c r="N161"/>
      <c r="O161"/>
      <c r="P161"/>
      <c r="Q161"/>
      <c r="R161"/>
      <c r="S161"/>
      <c r="T161"/>
      <c r="U161"/>
      <c r="V161"/>
      <c r="W161"/>
      <c r="X161"/>
      <c r="Y161"/>
      <c r="Z161"/>
      <c r="AA161"/>
      <c r="AB161"/>
      <c r="AC161"/>
      <c r="AD161"/>
      <c r="AF161"/>
    </row>
    <row r="162" spans="4:32" x14ac:dyDescent="0.25">
      <c r="D162"/>
      <c r="E162"/>
      <c r="F162"/>
      <c r="G162"/>
      <c r="H162"/>
      <c r="I162"/>
      <c r="J162"/>
      <c r="K162"/>
      <c r="L162"/>
      <c r="M162"/>
      <c r="N162"/>
      <c r="O162"/>
      <c r="P162"/>
      <c r="Q162"/>
      <c r="R162"/>
      <c r="S162"/>
      <c r="T162"/>
      <c r="U162"/>
      <c r="V162"/>
      <c r="W162"/>
      <c r="X162"/>
      <c r="Y162"/>
      <c r="Z162"/>
      <c r="AA162"/>
      <c r="AB162"/>
      <c r="AC162"/>
      <c r="AD162"/>
      <c r="AF162"/>
    </row>
    <row r="163" spans="4:32" x14ac:dyDescent="0.25">
      <c r="D163"/>
      <c r="E163"/>
      <c r="F163"/>
      <c r="G163"/>
      <c r="H163"/>
      <c r="I163"/>
      <c r="J163"/>
      <c r="K163"/>
      <c r="L163"/>
      <c r="M163"/>
      <c r="N163"/>
      <c r="O163"/>
      <c r="P163"/>
      <c r="Q163"/>
      <c r="R163"/>
      <c r="S163"/>
      <c r="T163"/>
      <c r="U163"/>
      <c r="V163"/>
      <c r="W163"/>
      <c r="X163"/>
      <c r="Y163"/>
      <c r="Z163"/>
      <c r="AA163"/>
      <c r="AB163"/>
      <c r="AC163"/>
      <c r="AD163"/>
      <c r="AF163"/>
    </row>
    <row r="164" spans="4:32" x14ac:dyDescent="0.25">
      <c r="D164"/>
      <c r="E164"/>
      <c r="F164"/>
      <c r="G164"/>
      <c r="H164"/>
      <c r="I164"/>
      <c r="J164"/>
      <c r="K164"/>
      <c r="L164"/>
      <c r="M164"/>
      <c r="N164"/>
      <c r="O164"/>
      <c r="P164"/>
      <c r="Q164"/>
      <c r="R164"/>
      <c r="S164"/>
      <c r="T164"/>
      <c r="U164"/>
      <c r="V164"/>
      <c r="W164"/>
      <c r="X164"/>
      <c r="Y164"/>
      <c r="Z164"/>
      <c r="AA164"/>
      <c r="AB164"/>
      <c r="AC164"/>
      <c r="AD164"/>
      <c r="AF164"/>
    </row>
    <row r="165" spans="4:32" x14ac:dyDescent="0.25">
      <c r="D165"/>
      <c r="E165"/>
      <c r="F165"/>
      <c r="G165"/>
      <c r="H165"/>
      <c r="I165"/>
      <c r="J165"/>
      <c r="K165"/>
      <c r="L165"/>
      <c r="M165"/>
      <c r="N165"/>
      <c r="O165"/>
      <c r="P165"/>
      <c r="Q165"/>
      <c r="R165"/>
      <c r="S165"/>
      <c r="T165"/>
      <c r="U165"/>
      <c r="V165"/>
      <c r="W165"/>
      <c r="X165"/>
      <c r="Y165"/>
      <c r="Z165"/>
      <c r="AA165"/>
      <c r="AB165"/>
      <c r="AC165"/>
      <c r="AD165"/>
      <c r="AF165"/>
    </row>
    <row r="166" spans="4:32" x14ac:dyDescent="0.25">
      <c r="D166"/>
      <c r="E166"/>
      <c r="F166"/>
      <c r="G166"/>
      <c r="H166"/>
      <c r="I166"/>
      <c r="J166"/>
      <c r="K166"/>
      <c r="L166"/>
      <c r="M166"/>
      <c r="N166"/>
      <c r="O166"/>
      <c r="P166"/>
      <c r="Q166"/>
      <c r="R166"/>
      <c r="S166"/>
      <c r="T166"/>
      <c r="U166"/>
      <c r="V166"/>
      <c r="W166"/>
      <c r="X166"/>
      <c r="Y166"/>
      <c r="Z166"/>
      <c r="AA166"/>
      <c r="AB166"/>
      <c r="AC166"/>
      <c r="AD166"/>
      <c r="AF166"/>
    </row>
    <row r="167" spans="4:32" x14ac:dyDescent="0.25">
      <c r="D167"/>
      <c r="E167"/>
      <c r="F167"/>
      <c r="G167"/>
      <c r="H167"/>
      <c r="I167"/>
      <c r="J167"/>
      <c r="K167"/>
      <c r="L167"/>
      <c r="M167"/>
      <c r="N167"/>
      <c r="O167"/>
      <c r="P167"/>
      <c r="Q167"/>
      <c r="R167"/>
      <c r="S167"/>
      <c r="T167"/>
      <c r="U167"/>
      <c r="V167"/>
      <c r="W167"/>
      <c r="X167"/>
      <c r="Y167"/>
      <c r="Z167"/>
      <c r="AA167"/>
      <c r="AB167"/>
      <c r="AC167"/>
      <c r="AD167"/>
      <c r="AF167"/>
    </row>
    <row r="168" spans="4:32" x14ac:dyDescent="0.25">
      <c r="D168"/>
      <c r="E168"/>
      <c r="F168"/>
      <c r="G168"/>
      <c r="H168"/>
      <c r="I168"/>
      <c r="J168"/>
      <c r="K168"/>
      <c r="L168"/>
      <c r="M168"/>
      <c r="N168"/>
      <c r="O168"/>
      <c r="P168"/>
      <c r="Q168"/>
      <c r="R168"/>
      <c r="S168"/>
      <c r="T168"/>
      <c r="U168"/>
      <c r="V168"/>
      <c r="W168"/>
      <c r="X168"/>
      <c r="Y168"/>
      <c r="Z168"/>
      <c r="AA168"/>
      <c r="AB168"/>
      <c r="AC168"/>
      <c r="AD168"/>
      <c r="AF168"/>
    </row>
    <row r="169" spans="4:32" x14ac:dyDescent="0.25">
      <c r="D169"/>
      <c r="E169"/>
      <c r="F169"/>
      <c r="G169"/>
      <c r="H169"/>
      <c r="I169"/>
      <c r="J169"/>
      <c r="K169"/>
      <c r="L169"/>
      <c r="M169"/>
      <c r="N169"/>
      <c r="O169"/>
      <c r="P169"/>
      <c r="Q169"/>
      <c r="R169"/>
      <c r="S169"/>
      <c r="T169"/>
      <c r="U169"/>
      <c r="V169"/>
      <c r="W169"/>
      <c r="X169"/>
      <c r="Y169"/>
      <c r="Z169"/>
      <c r="AA169"/>
      <c r="AB169"/>
      <c r="AC169"/>
      <c r="AD169"/>
      <c r="AF169"/>
    </row>
    <row r="170" spans="4:32" x14ac:dyDescent="0.25">
      <c r="D170"/>
      <c r="E170"/>
      <c r="F170"/>
      <c r="G170"/>
      <c r="H170"/>
      <c r="I170"/>
      <c r="J170"/>
      <c r="K170"/>
      <c r="L170"/>
      <c r="M170"/>
      <c r="N170"/>
      <c r="O170"/>
      <c r="P170"/>
      <c r="Q170"/>
      <c r="R170"/>
      <c r="S170"/>
      <c r="T170"/>
      <c r="U170"/>
      <c r="V170"/>
      <c r="W170"/>
      <c r="X170"/>
      <c r="Y170"/>
      <c r="Z170"/>
      <c r="AA170"/>
      <c r="AB170"/>
      <c r="AC170"/>
      <c r="AD170"/>
      <c r="AF170"/>
    </row>
    <row r="171" spans="4:32" x14ac:dyDescent="0.25">
      <c r="D171"/>
      <c r="E171"/>
      <c r="F171"/>
      <c r="G171"/>
      <c r="H171"/>
      <c r="I171"/>
      <c r="J171"/>
      <c r="K171"/>
      <c r="L171"/>
      <c r="M171"/>
      <c r="N171"/>
      <c r="O171"/>
      <c r="P171"/>
      <c r="Q171"/>
      <c r="R171"/>
      <c r="S171"/>
      <c r="T171"/>
      <c r="U171"/>
      <c r="V171"/>
      <c r="W171"/>
      <c r="X171"/>
      <c r="Y171"/>
      <c r="Z171"/>
      <c r="AA171"/>
      <c r="AB171"/>
      <c r="AC171"/>
      <c r="AD171"/>
      <c r="AF171"/>
    </row>
    <row r="172" spans="4:32" x14ac:dyDescent="0.25">
      <c r="D172"/>
      <c r="E172"/>
      <c r="F172"/>
      <c r="G172"/>
      <c r="H172"/>
      <c r="I172"/>
      <c r="J172"/>
      <c r="K172"/>
      <c r="L172"/>
      <c r="M172"/>
      <c r="N172"/>
      <c r="O172"/>
      <c r="P172"/>
      <c r="Q172"/>
      <c r="R172"/>
      <c r="S172"/>
      <c r="T172"/>
      <c r="U172"/>
      <c r="V172"/>
      <c r="W172"/>
      <c r="X172"/>
      <c r="Y172"/>
      <c r="Z172"/>
      <c r="AA172"/>
      <c r="AB172"/>
      <c r="AC172"/>
      <c r="AD172"/>
      <c r="AF172"/>
    </row>
    <row r="173" spans="4:32" x14ac:dyDescent="0.25">
      <c r="D173"/>
      <c r="E173"/>
      <c r="F173"/>
      <c r="G173"/>
      <c r="H173"/>
      <c r="I173"/>
      <c r="J173"/>
      <c r="K173"/>
      <c r="L173"/>
      <c r="M173"/>
      <c r="N173"/>
      <c r="O173"/>
      <c r="P173"/>
      <c r="Q173"/>
      <c r="R173"/>
      <c r="S173"/>
      <c r="T173"/>
      <c r="U173"/>
      <c r="V173"/>
      <c r="W173"/>
      <c r="X173"/>
      <c r="Y173"/>
      <c r="Z173"/>
      <c r="AA173"/>
      <c r="AB173"/>
      <c r="AC173"/>
      <c r="AD173"/>
      <c r="AF173"/>
    </row>
    <row r="174" spans="4:32" x14ac:dyDescent="0.25">
      <c r="D174"/>
      <c r="E174"/>
      <c r="F174"/>
      <c r="G174"/>
      <c r="H174"/>
      <c r="I174"/>
      <c r="J174"/>
      <c r="K174"/>
      <c r="L174"/>
      <c r="M174"/>
      <c r="N174"/>
      <c r="O174"/>
      <c r="P174"/>
      <c r="Q174"/>
      <c r="R174"/>
      <c r="S174"/>
      <c r="T174"/>
      <c r="U174"/>
      <c r="V174"/>
      <c r="W174"/>
      <c r="X174"/>
      <c r="Y174"/>
      <c r="Z174"/>
      <c r="AA174"/>
      <c r="AB174"/>
      <c r="AC174"/>
      <c r="AD174"/>
      <c r="AF174"/>
    </row>
    <row r="175" spans="4:32" x14ac:dyDescent="0.25">
      <c r="D175"/>
      <c r="E175"/>
      <c r="F175"/>
      <c r="G175"/>
      <c r="H175"/>
      <c r="I175"/>
      <c r="J175"/>
      <c r="K175"/>
      <c r="L175"/>
      <c r="M175"/>
      <c r="N175"/>
      <c r="O175"/>
      <c r="P175"/>
      <c r="Q175"/>
      <c r="R175"/>
      <c r="S175"/>
      <c r="T175"/>
      <c r="U175"/>
      <c r="V175"/>
      <c r="W175"/>
      <c r="X175"/>
      <c r="Y175"/>
      <c r="Z175"/>
      <c r="AA175"/>
      <c r="AB175"/>
      <c r="AC175"/>
      <c r="AD175"/>
      <c r="AF175"/>
    </row>
    <row r="176" spans="4:32" x14ac:dyDescent="0.25">
      <c r="D176"/>
      <c r="E176"/>
      <c r="F176"/>
      <c r="G176"/>
      <c r="H176"/>
      <c r="I176"/>
      <c r="J176"/>
      <c r="K176"/>
      <c r="L176"/>
      <c r="M176"/>
      <c r="N176"/>
      <c r="O176"/>
      <c r="P176"/>
      <c r="Q176"/>
      <c r="R176"/>
      <c r="S176"/>
      <c r="T176"/>
      <c r="U176"/>
      <c r="V176"/>
      <c r="W176"/>
      <c r="X176"/>
      <c r="Y176"/>
      <c r="Z176"/>
      <c r="AA176"/>
      <c r="AB176"/>
      <c r="AC176"/>
      <c r="AD176"/>
      <c r="AF176"/>
    </row>
    <row r="177" spans="4:32" x14ac:dyDescent="0.25">
      <c r="D177"/>
      <c r="E177"/>
      <c r="F177"/>
      <c r="G177"/>
      <c r="H177"/>
      <c r="I177"/>
      <c r="J177"/>
      <c r="K177"/>
      <c r="L177"/>
      <c r="M177"/>
      <c r="N177"/>
      <c r="O177"/>
      <c r="P177"/>
      <c r="Q177"/>
      <c r="R177"/>
      <c r="S177"/>
      <c r="T177"/>
      <c r="U177"/>
      <c r="V177"/>
      <c r="W177"/>
      <c r="X177"/>
      <c r="Y177"/>
      <c r="Z177"/>
      <c r="AA177"/>
      <c r="AB177"/>
      <c r="AC177"/>
      <c r="AD177"/>
      <c r="AF177"/>
    </row>
    <row r="178" spans="4:32" x14ac:dyDescent="0.25">
      <c r="D178"/>
      <c r="E178"/>
      <c r="F178"/>
      <c r="G178"/>
      <c r="H178"/>
      <c r="I178"/>
      <c r="J178"/>
      <c r="K178"/>
      <c r="L178"/>
      <c r="M178"/>
      <c r="N178"/>
      <c r="O178"/>
      <c r="P178"/>
      <c r="Q178"/>
      <c r="R178"/>
      <c r="S178"/>
      <c r="T178"/>
      <c r="U178"/>
      <c r="V178"/>
      <c r="W178"/>
      <c r="X178"/>
      <c r="Y178"/>
      <c r="Z178"/>
      <c r="AA178"/>
      <c r="AB178"/>
      <c r="AC178"/>
      <c r="AD178"/>
      <c r="AF178"/>
    </row>
    <row r="179" spans="4:32" x14ac:dyDescent="0.25">
      <c r="D179"/>
      <c r="E179"/>
      <c r="F179"/>
      <c r="G179"/>
      <c r="H179"/>
      <c r="I179"/>
      <c r="J179"/>
      <c r="K179"/>
      <c r="L179"/>
      <c r="M179"/>
      <c r="N179"/>
      <c r="O179"/>
      <c r="P179"/>
      <c r="Q179"/>
      <c r="R179"/>
      <c r="S179"/>
      <c r="T179"/>
      <c r="U179"/>
      <c r="V179"/>
      <c r="W179"/>
      <c r="X179"/>
      <c r="Y179"/>
      <c r="Z179"/>
      <c r="AA179"/>
      <c r="AB179"/>
      <c r="AC179"/>
      <c r="AD179"/>
      <c r="AF179"/>
    </row>
    <row r="180" spans="4:32" x14ac:dyDescent="0.25">
      <c r="D180"/>
      <c r="E180"/>
      <c r="F180"/>
      <c r="G180"/>
      <c r="H180"/>
      <c r="I180"/>
      <c r="J180"/>
      <c r="K180"/>
      <c r="L180"/>
      <c r="M180"/>
      <c r="N180"/>
      <c r="O180"/>
      <c r="P180"/>
      <c r="Q180"/>
      <c r="R180"/>
      <c r="S180"/>
      <c r="T180"/>
      <c r="U180"/>
      <c r="V180"/>
      <c r="W180"/>
      <c r="X180"/>
      <c r="Y180"/>
      <c r="Z180"/>
      <c r="AA180"/>
      <c r="AB180"/>
      <c r="AC180"/>
      <c r="AD180"/>
      <c r="AF180"/>
    </row>
    <row r="181" spans="4:32" x14ac:dyDescent="0.25">
      <c r="D181"/>
      <c r="E181"/>
      <c r="F181"/>
      <c r="G181"/>
      <c r="H181"/>
      <c r="I181"/>
      <c r="J181"/>
      <c r="K181"/>
      <c r="L181"/>
      <c r="M181"/>
      <c r="N181"/>
      <c r="O181"/>
      <c r="P181"/>
      <c r="Q181"/>
      <c r="R181"/>
      <c r="S181"/>
      <c r="T181"/>
      <c r="U181"/>
      <c r="V181"/>
      <c r="W181"/>
      <c r="X181"/>
      <c r="Y181"/>
      <c r="Z181"/>
      <c r="AA181"/>
      <c r="AB181"/>
      <c r="AC181"/>
      <c r="AD181"/>
      <c r="AF181"/>
    </row>
    <row r="182" spans="4:32" x14ac:dyDescent="0.25">
      <c r="D182"/>
      <c r="E182"/>
      <c r="F182"/>
      <c r="G182"/>
      <c r="H182"/>
      <c r="I182"/>
      <c r="J182"/>
      <c r="K182"/>
      <c r="L182"/>
      <c r="M182"/>
      <c r="N182"/>
      <c r="O182"/>
      <c r="P182"/>
      <c r="Q182"/>
      <c r="R182"/>
      <c r="S182"/>
      <c r="T182"/>
      <c r="U182"/>
      <c r="V182"/>
      <c r="W182"/>
      <c r="X182"/>
      <c r="Y182"/>
      <c r="Z182"/>
      <c r="AA182"/>
      <c r="AB182"/>
      <c r="AC182"/>
      <c r="AD182"/>
      <c r="AF182"/>
    </row>
    <row r="183" spans="4:32" x14ac:dyDescent="0.25">
      <c r="D183"/>
      <c r="E183"/>
      <c r="F183"/>
      <c r="G183"/>
      <c r="H183"/>
      <c r="I183"/>
      <c r="J183"/>
      <c r="K183"/>
      <c r="L183"/>
      <c r="M183"/>
      <c r="N183"/>
      <c r="O183"/>
      <c r="P183"/>
      <c r="Q183"/>
      <c r="R183"/>
      <c r="S183"/>
      <c r="T183"/>
      <c r="U183"/>
      <c r="V183"/>
      <c r="W183"/>
      <c r="X183"/>
      <c r="Y183"/>
      <c r="Z183"/>
      <c r="AA183"/>
      <c r="AB183"/>
      <c r="AC183"/>
      <c r="AD183"/>
      <c r="AF183"/>
    </row>
    <row r="184" spans="4:32" x14ac:dyDescent="0.25">
      <c r="D184"/>
      <c r="E184"/>
      <c r="F184"/>
      <c r="G184"/>
      <c r="H184"/>
      <c r="I184"/>
      <c r="J184"/>
      <c r="K184"/>
      <c r="L184"/>
      <c r="M184"/>
      <c r="N184"/>
      <c r="O184"/>
      <c r="P184"/>
      <c r="Q184"/>
      <c r="R184"/>
      <c r="S184"/>
      <c r="T184"/>
      <c r="U184"/>
      <c r="V184"/>
      <c r="W184"/>
      <c r="X184"/>
      <c r="Y184"/>
      <c r="Z184"/>
      <c r="AA184"/>
      <c r="AB184"/>
      <c r="AC184"/>
      <c r="AD184"/>
      <c r="AF184"/>
    </row>
    <row r="185" spans="4:32" x14ac:dyDescent="0.25">
      <c r="D185"/>
      <c r="E185"/>
      <c r="F185"/>
      <c r="G185"/>
      <c r="H185"/>
      <c r="I185"/>
      <c r="J185"/>
      <c r="K185"/>
      <c r="L185"/>
      <c r="M185"/>
      <c r="N185"/>
      <c r="O185"/>
      <c r="P185"/>
      <c r="Q185"/>
      <c r="R185"/>
      <c r="S185"/>
      <c r="T185"/>
      <c r="U185"/>
      <c r="V185"/>
      <c r="W185"/>
      <c r="X185"/>
      <c r="Y185"/>
      <c r="Z185"/>
      <c r="AA185"/>
      <c r="AB185"/>
      <c r="AC185"/>
      <c r="AD185"/>
      <c r="AF185"/>
    </row>
    <row r="186" spans="4:32" x14ac:dyDescent="0.25">
      <c r="D186"/>
      <c r="E186"/>
      <c r="F186"/>
      <c r="G186"/>
      <c r="H186"/>
      <c r="I186"/>
      <c r="J186"/>
      <c r="K186"/>
      <c r="L186"/>
      <c r="M186"/>
      <c r="N186"/>
      <c r="O186"/>
      <c r="P186"/>
      <c r="Q186"/>
      <c r="R186"/>
      <c r="S186"/>
      <c r="T186"/>
      <c r="U186"/>
      <c r="V186"/>
      <c r="W186"/>
      <c r="X186"/>
      <c r="Y186"/>
      <c r="Z186"/>
      <c r="AA186"/>
      <c r="AB186"/>
      <c r="AC186"/>
      <c r="AD186"/>
      <c r="AF186"/>
    </row>
    <row r="187" spans="4:32" x14ac:dyDescent="0.25">
      <c r="D187"/>
      <c r="E187"/>
      <c r="F187"/>
      <c r="G187"/>
      <c r="H187"/>
      <c r="I187"/>
      <c r="J187"/>
      <c r="K187"/>
      <c r="L187"/>
      <c r="M187"/>
      <c r="N187"/>
      <c r="O187"/>
      <c r="P187"/>
      <c r="Q187"/>
      <c r="R187"/>
      <c r="S187"/>
      <c r="T187"/>
      <c r="U187"/>
      <c r="V187"/>
      <c r="W187"/>
      <c r="X187"/>
      <c r="Y187"/>
      <c r="Z187"/>
      <c r="AA187"/>
      <c r="AB187"/>
      <c r="AC187"/>
      <c r="AD187"/>
      <c r="AF187"/>
    </row>
    <row r="188" spans="4:32" x14ac:dyDescent="0.25">
      <c r="D188"/>
      <c r="E188"/>
      <c r="F188"/>
      <c r="G188"/>
      <c r="H188"/>
      <c r="I188"/>
      <c r="J188"/>
      <c r="K188"/>
      <c r="L188"/>
      <c r="M188"/>
      <c r="N188"/>
      <c r="O188"/>
      <c r="P188"/>
      <c r="Q188"/>
      <c r="R188"/>
      <c r="S188"/>
      <c r="T188"/>
      <c r="U188"/>
      <c r="V188"/>
      <c r="W188"/>
      <c r="X188"/>
      <c r="Y188"/>
      <c r="Z188"/>
      <c r="AA188"/>
      <c r="AB188"/>
      <c r="AC188"/>
      <c r="AD188"/>
      <c r="AF188"/>
    </row>
    <row r="189" spans="4:32" x14ac:dyDescent="0.25">
      <c r="D189"/>
      <c r="E189"/>
      <c r="F189"/>
      <c r="G189"/>
      <c r="H189"/>
      <c r="I189"/>
      <c r="J189"/>
      <c r="K189"/>
      <c r="L189"/>
      <c r="M189"/>
      <c r="N189"/>
      <c r="O189"/>
      <c r="P189"/>
      <c r="Q189"/>
      <c r="R189"/>
      <c r="S189"/>
      <c r="T189"/>
      <c r="U189"/>
      <c r="V189"/>
      <c r="W189"/>
      <c r="X189"/>
      <c r="Y189"/>
      <c r="Z189"/>
      <c r="AA189"/>
      <c r="AB189"/>
      <c r="AC189"/>
      <c r="AD189"/>
      <c r="AF189"/>
    </row>
    <row r="190" spans="4:32" x14ac:dyDescent="0.25">
      <c r="D190"/>
      <c r="E190"/>
      <c r="F190"/>
      <c r="G190"/>
      <c r="H190"/>
      <c r="I190"/>
      <c r="J190"/>
      <c r="K190"/>
      <c r="L190"/>
      <c r="M190"/>
      <c r="N190"/>
      <c r="O190"/>
      <c r="P190"/>
      <c r="Q190"/>
      <c r="R190"/>
      <c r="S190"/>
      <c r="T190"/>
      <c r="U190"/>
      <c r="V190"/>
      <c r="W190"/>
      <c r="X190"/>
      <c r="Y190"/>
      <c r="Z190"/>
      <c r="AA190"/>
      <c r="AB190"/>
      <c r="AC190"/>
      <c r="AD190"/>
      <c r="AF190"/>
    </row>
    <row r="191" spans="4:32" x14ac:dyDescent="0.25">
      <c r="D191"/>
      <c r="E191"/>
      <c r="F191"/>
      <c r="G191"/>
      <c r="H191"/>
      <c r="I191"/>
      <c r="J191"/>
      <c r="K191"/>
      <c r="L191"/>
      <c r="M191"/>
      <c r="N191"/>
      <c r="O191"/>
      <c r="P191"/>
      <c r="Q191"/>
      <c r="R191"/>
      <c r="S191"/>
      <c r="T191"/>
      <c r="U191"/>
      <c r="V191"/>
      <c r="W191"/>
      <c r="X191"/>
      <c r="Y191"/>
      <c r="Z191"/>
      <c r="AA191"/>
      <c r="AB191"/>
      <c r="AC191"/>
      <c r="AD191"/>
      <c r="AF191"/>
    </row>
    <row r="192" spans="4:32" x14ac:dyDescent="0.25">
      <c r="D192"/>
      <c r="E192"/>
      <c r="F192"/>
      <c r="G192"/>
      <c r="H192"/>
      <c r="I192"/>
      <c r="J192"/>
      <c r="K192"/>
      <c r="L192"/>
      <c r="M192"/>
      <c r="N192"/>
      <c r="O192"/>
      <c r="P192"/>
      <c r="Q192"/>
      <c r="R192"/>
      <c r="S192"/>
      <c r="T192"/>
      <c r="U192"/>
      <c r="V192"/>
      <c r="W192"/>
      <c r="X192"/>
      <c r="Y192"/>
      <c r="Z192"/>
      <c r="AA192"/>
      <c r="AB192"/>
      <c r="AC192"/>
      <c r="AD192"/>
      <c r="AF192"/>
    </row>
    <row r="193" spans="4:32" x14ac:dyDescent="0.25">
      <c r="D193"/>
      <c r="E193"/>
      <c r="F193"/>
      <c r="G193"/>
      <c r="H193"/>
      <c r="I193"/>
      <c r="J193"/>
      <c r="K193"/>
      <c r="L193"/>
      <c r="M193"/>
      <c r="N193"/>
      <c r="O193"/>
      <c r="P193"/>
      <c r="Q193"/>
      <c r="R193"/>
      <c r="S193"/>
      <c r="T193"/>
      <c r="U193"/>
      <c r="V193"/>
      <c r="W193"/>
      <c r="X193"/>
      <c r="Y193"/>
      <c r="Z193"/>
      <c r="AA193"/>
      <c r="AB193"/>
      <c r="AC193"/>
      <c r="AD193"/>
      <c r="AF193"/>
    </row>
    <row r="194" spans="4:32" x14ac:dyDescent="0.25">
      <c r="D194"/>
      <c r="E194"/>
      <c r="F194"/>
      <c r="G194"/>
      <c r="H194"/>
      <c r="I194"/>
      <c r="J194"/>
      <c r="K194"/>
      <c r="L194"/>
      <c r="M194"/>
      <c r="N194"/>
      <c r="O194"/>
      <c r="P194"/>
      <c r="Q194"/>
      <c r="R194"/>
      <c r="S194"/>
      <c r="T194"/>
      <c r="U194"/>
      <c r="V194"/>
      <c r="W194"/>
      <c r="X194"/>
      <c r="Y194"/>
      <c r="Z194"/>
      <c r="AA194"/>
      <c r="AB194"/>
      <c r="AC194"/>
      <c r="AD194"/>
      <c r="AF194"/>
    </row>
    <row r="195" spans="4:32" x14ac:dyDescent="0.25">
      <c r="D195"/>
      <c r="E195"/>
      <c r="F195"/>
      <c r="G195"/>
      <c r="H195"/>
      <c r="I195"/>
      <c r="J195"/>
      <c r="K195"/>
      <c r="L195"/>
      <c r="M195"/>
      <c r="N195"/>
      <c r="O195"/>
      <c r="P195"/>
      <c r="Q195"/>
      <c r="R195"/>
      <c r="S195"/>
      <c r="T195"/>
      <c r="U195"/>
      <c r="V195"/>
      <c r="W195"/>
      <c r="X195"/>
      <c r="Y195"/>
      <c r="Z195"/>
      <c r="AA195"/>
      <c r="AB195"/>
      <c r="AC195"/>
      <c r="AD195"/>
      <c r="AF195"/>
    </row>
    <row r="196" spans="4:32" x14ac:dyDescent="0.25">
      <c r="D196"/>
      <c r="E196"/>
      <c r="F196"/>
      <c r="G196"/>
      <c r="H196"/>
      <c r="I196"/>
      <c r="J196"/>
      <c r="K196"/>
      <c r="L196"/>
      <c r="M196"/>
      <c r="N196"/>
      <c r="O196"/>
      <c r="P196"/>
      <c r="Q196"/>
      <c r="R196"/>
      <c r="S196"/>
      <c r="T196"/>
      <c r="U196"/>
      <c r="V196"/>
      <c r="W196"/>
      <c r="X196"/>
      <c r="Y196"/>
      <c r="Z196"/>
      <c r="AA196"/>
      <c r="AB196"/>
      <c r="AC196"/>
      <c r="AD196"/>
      <c r="AF196"/>
    </row>
    <row r="197" spans="4:32" x14ac:dyDescent="0.25">
      <c r="D197"/>
      <c r="E197"/>
      <c r="F197"/>
      <c r="G197"/>
      <c r="H197"/>
      <c r="I197"/>
      <c r="J197"/>
      <c r="K197"/>
      <c r="L197"/>
      <c r="M197"/>
      <c r="N197"/>
      <c r="O197"/>
      <c r="P197"/>
      <c r="Q197"/>
      <c r="R197"/>
      <c r="S197"/>
      <c r="T197"/>
      <c r="U197"/>
      <c r="V197"/>
      <c r="W197"/>
      <c r="X197"/>
      <c r="Y197"/>
      <c r="Z197"/>
      <c r="AA197"/>
      <c r="AB197"/>
      <c r="AC197"/>
      <c r="AD197"/>
      <c r="AF197"/>
    </row>
    <row r="198" spans="4:32" x14ac:dyDescent="0.25">
      <c r="D198"/>
      <c r="E198"/>
      <c r="F198"/>
      <c r="G198"/>
      <c r="H198"/>
      <c r="I198"/>
      <c r="J198"/>
      <c r="K198"/>
      <c r="L198"/>
      <c r="M198"/>
      <c r="N198"/>
      <c r="O198"/>
      <c r="P198"/>
      <c r="Q198"/>
      <c r="R198"/>
      <c r="S198"/>
      <c r="T198"/>
      <c r="U198"/>
      <c r="V198"/>
      <c r="W198"/>
      <c r="X198"/>
      <c r="Y198"/>
      <c r="Z198"/>
      <c r="AA198"/>
      <c r="AB198"/>
      <c r="AC198"/>
      <c r="AD198"/>
      <c r="AF198"/>
    </row>
    <row r="199" spans="4:32" x14ac:dyDescent="0.25">
      <c r="D199"/>
      <c r="E199"/>
      <c r="F199"/>
      <c r="G199"/>
      <c r="H199"/>
      <c r="I199"/>
      <c r="J199"/>
      <c r="K199"/>
      <c r="L199"/>
      <c r="M199"/>
      <c r="N199"/>
      <c r="O199"/>
      <c r="P199"/>
      <c r="Q199"/>
      <c r="R199"/>
      <c r="S199"/>
      <c r="T199"/>
      <c r="U199"/>
      <c r="V199"/>
      <c r="W199"/>
      <c r="X199"/>
      <c r="Y199"/>
      <c r="Z199"/>
      <c r="AA199"/>
      <c r="AB199"/>
      <c r="AC199"/>
      <c r="AD199"/>
      <c r="AF199"/>
    </row>
    <row r="200" spans="4:32" x14ac:dyDescent="0.25">
      <c r="D200"/>
      <c r="E200"/>
      <c r="F200"/>
      <c r="G200"/>
      <c r="H200"/>
      <c r="I200"/>
      <c r="J200"/>
      <c r="K200"/>
      <c r="L200"/>
      <c r="M200"/>
      <c r="N200"/>
      <c r="O200"/>
      <c r="P200"/>
      <c r="Q200"/>
      <c r="R200"/>
      <c r="S200"/>
      <c r="T200"/>
      <c r="U200"/>
      <c r="V200"/>
      <c r="W200"/>
      <c r="X200"/>
      <c r="Y200"/>
      <c r="Z200"/>
      <c r="AA200"/>
      <c r="AB200"/>
      <c r="AC200"/>
      <c r="AD200"/>
      <c r="AF200"/>
    </row>
    <row r="201" spans="4:32" x14ac:dyDescent="0.25">
      <c r="D201"/>
      <c r="E201"/>
      <c r="F201"/>
      <c r="G201"/>
      <c r="H201"/>
      <c r="I201"/>
      <c r="J201"/>
      <c r="K201"/>
      <c r="L201"/>
      <c r="M201"/>
      <c r="N201"/>
      <c r="O201"/>
      <c r="P201"/>
      <c r="Q201"/>
      <c r="R201"/>
      <c r="S201"/>
      <c r="T201"/>
      <c r="U201"/>
      <c r="V201"/>
      <c r="W201"/>
      <c r="X201"/>
      <c r="Y201"/>
      <c r="Z201"/>
      <c r="AA201"/>
      <c r="AB201"/>
      <c r="AC201"/>
      <c r="AD201"/>
      <c r="AF201"/>
    </row>
    <row r="202" spans="4:32" x14ac:dyDescent="0.25">
      <c r="E202"/>
      <c r="F202"/>
      <c r="G202"/>
      <c r="H202"/>
      <c r="I202"/>
      <c r="J202"/>
      <c r="K202"/>
      <c r="L202"/>
      <c r="M202"/>
      <c r="N202"/>
      <c r="O202"/>
      <c r="P202"/>
      <c r="Q202"/>
      <c r="R202"/>
      <c r="S202"/>
      <c r="T202"/>
      <c r="U202"/>
      <c r="V202"/>
      <c r="W202"/>
      <c r="X202"/>
      <c r="Y202"/>
      <c r="Z202"/>
      <c r="AA202"/>
      <c r="AB202"/>
      <c r="AC202"/>
      <c r="AD202"/>
      <c r="AF202"/>
    </row>
    <row r="203" spans="4:32" x14ac:dyDescent="0.25">
      <c r="E203"/>
      <c r="F203"/>
      <c r="G203"/>
      <c r="H203"/>
      <c r="I203"/>
      <c r="J203"/>
      <c r="K203"/>
      <c r="L203"/>
      <c r="M203"/>
      <c r="N203"/>
      <c r="O203"/>
      <c r="P203"/>
      <c r="Q203"/>
      <c r="R203"/>
      <c r="S203"/>
      <c r="T203"/>
      <c r="U203"/>
      <c r="V203"/>
      <c r="W203"/>
      <c r="X203"/>
      <c r="Y203"/>
      <c r="Z203"/>
      <c r="AA203"/>
      <c r="AB203"/>
      <c r="AC203"/>
      <c r="AD203"/>
      <c r="AF203"/>
    </row>
    <row r="204" spans="4:32" x14ac:dyDescent="0.25">
      <c r="E204"/>
      <c r="F204"/>
      <c r="G204"/>
      <c r="H204"/>
      <c r="I204"/>
      <c r="J204"/>
      <c r="K204"/>
      <c r="L204"/>
      <c r="M204"/>
      <c r="N204"/>
      <c r="O204"/>
      <c r="P204"/>
      <c r="Q204"/>
      <c r="R204"/>
      <c r="S204"/>
      <c r="T204"/>
      <c r="U204"/>
      <c r="V204"/>
      <c r="W204"/>
      <c r="X204"/>
      <c r="Y204"/>
      <c r="Z204"/>
      <c r="AA204"/>
      <c r="AB204"/>
      <c r="AC204"/>
      <c r="AD204"/>
      <c r="AF204"/>
    </row>
    <row r="205" spans="4:32" x14ac:dyDescent="0.25">
      <c r="E205"/>
      <c r="F205"/>
      <c r="G205"/>
      <c r="H205"/>
      <c r="I205"/>
      <c r="J205"/>
      <c r="K205"/>
      <c r="L205"/>
      <c r="M205"/>
      <c r="N205"/>
      <c r="O205"/>
      <c r="P205"/>
      <c r="Q205"/>
      <c r="R205"/>
      <c r="S205"/>
      <c r="T205"/>
      <c r="U205"/>
      <c r="V205"/>
      <c r="W205"/>
      <c r="X205"/>
      <c r="Y205"/>
      <c r="Z205"/>
      <c r="AA205"/>
      <c r="AB205"/>
      <c r="AC205"/>
      <c r="AD205"/>
      <c r="AF205"/>
    </row>
    <row r="206" spans="4:32" x14ac:dyDescent="0.25">
      <c r="E206"/>
      <c r="F206"/>
      <c r="G206"/>
      <c r="H206"/>
      <c r="I206"/>
      <c r="J206"/>
      <c r="K206"/>
      <c r="L206"/>
      <c r="M206"/>
      <c r="N206"/>
      <c r="O206"/>
      <c r="P206"/>
      <c r="Q206"/>
      <c r="R206"/>
      <c r="S206"/>
      <c r="T206"/>
      <c r="U206"/>
      <c r="V206"/>
      <c r="W206"/>
      <c r="X206"/>
      <c r="Y206"/>
      <c r="Z206"/>
      <c r="AA206"/>
      <c r="AB206"/>
      <c r="AC206"/>
      <c r="AD206"/>
      <c r="AF206"/>
    </row>
    <row r="207" spans="4:32" x14ac:dyDescent="0.25">
      <c r="E207"/>
      <c r="F207"/>
      <c r="G207"/>
      <c r="H207"/>
      <c r="I207"/>
      <c r="J207"/>
      <c r="K207"/>
      <c r="L207"/>
      <c r="M207"/>
      <c r="N207"/>
      <c r="O207"/>
      <c r="P207"/>
      <c r="Q207"/>
      <c r="R207"/>
      <c r="S207"/>
      <c r="T207"/>
      <c r="U207"/>
      <c r="V207"/>
      <c r="W207"/>
      <c r="X207"/>
      <c r="Y207"/>
      <c r="Z207"/>
      <c r="AA207"/>
      <c r="AB207"/>
      <c r="AC207"/>
      <c r="AD207"/>
      <c r="AF207"/>
    </row>
    <row r="208" spans="4:32" x14ac:dyDescent="0.25">
      <c r="E208"/>
      <c r="F208"/>
      <c r="G208"/>
      <c r="H208"/>
      <c r="I208"/>
      <c r="J208"/>
      <c r="K208"/>
      <c r="L208"/>
      <c r="M208"/>
      <c r="N208"/>
      <c r="O208"/>
      <c r="P208"/>
      <c r="Q208"/>
      <c r="R208"/>
      <c r="S208"/>
      <c r="T208"/>
      <c r="U208"/>
      <c r="V208"/>
      <c r="W208"/>
      <c r="X208"/>
      <c r="Y208"/>
      <c r="Z208"/>
      <c r="AA208"/>
      <c r="AB208"/>
      <c r="AC208"/>
      <c r="AD208"/>
      <c r="AF208"/>
    </row>
    <row r="209" spans="5:32" x14ac:dyDescent="0.25">
      <c r="E209"/>
      <c r="F209"/>
      <c r="G209"/>
      <c r="H209"/>
      <c r="I209"/>
      <c r="J209"/>
      <c r="K209"/>
      <c r="L209"/>
      <c r="M209"/>
      <c r="N209"/>
      <c r="O209"/>
      <c r="P209"/>
      <c r="Q209"/>
      <c r="R209"/>
      <c r="S209"/>
      <c r="T209"/>
      <c r="U209"/>
      <c r="V209"/>
      <c r="W209"/>
      <c r="X209"/>
      <c r="Y209"/>
      <c r="Z209"/>
      <c r="AA209"/>
      <c r="AB209"/>
      <c r="AC209"/>
      <c r="AD209"/>
      <c r="AF209"/>
    </row>
    <row r="210" spans="5:32" x14ac:dyDescent="0.25">
      <c r="E210"/>
      <c r="F210"/>
      <c r="G210"/>
      <c r="H210"/>
      <c r="I210"/>
      <c r="J210"/>
      <c r="K210"/>
      <c r="L210"/>
      <c r="M210"/>
      <c r="N210"/>
      <c r="O210"/>
      <c r="P210"/>
      <c r="Q210"/>
      <c r="R210"/>
      <c r="S210"/>
      <c r="T210"/>
      <c r="U210"/>
      <c r="V210"/>
      <c r="W210"/>
      <c r="X210"/>
      <c r="Y210"/>
      <c r="Z210"/>
      <c r="AA210"/>
      <c r="AB210"/>
      <c r="AC210"/>
      <c r="AD210"/>
      <c r="AF210"/>
    </row>
    <row r="211" spans="5:32" x14ac:dyDescent="0.25">
      <c r="E211"/>
      <c r="F211"/>
      <c r="G211"/>
      <c r="H211"/>
      <c r="I211"/>
      <c r="J211"/>
      <c r="K211"/>
      <c r="L211"/>
      <c r="M211"/>
      <c r="N211"/>
      <c r="O211"/>
      <c r="P211"/>
      <c r="Q211"/>
      <c r="R211"/>
      <c r="S211"/>
      <c r="T211"/>
      <c r="U211"/>
      <c r="V211"/>
      <c r="W211"/>
      <c r="X211"/>
      <c r="Y211"/>
      <c r="Z211"/>
      <c r="AA211"/>
      <c r="AB211"/>
      <c r="AC211"/>
      <c r="AD211"/>
      <c r="AF211"/>
    </row>
    <row r="212" spans="5:32" x14ac:dyDescent="0.25">
      <c r="E212"/>
      <c r="F212"/>
      <c r="G212"/>
      <c r="H212"/>
      <c r="I212"/>
      <c r="J212"/>
      <c r="K212"/>
      <c r="L212"/>
      <c r="M212"/>
      <c r="N212"/>
      <c r="O212"/>
      <c r="P212"/>
      <c r="Q212"/>
      <c r="R212"/>
      <c r="S212"/>
      <c r="T212"/>
      <c r="U212"/>
      <c r="V212"/>
      <c r="W212"/>
      <c r="X212"/>
      <c r="Y212"/>
      <c r="Z212"/>
      <c r="AA212"/>
      <c r="AB212"/>
      <c r="AC212"/>
      <c r="AD212"/>
      <c r="AF212"/>
    </row>
    <row r="213" spans="5:32" x14ac:dyDescent="0.25">
      <c r="E213"/>
      <c r="F213"/>
      <c r="G213"/>
      <c r="H213"/>
      <c r="I213"/>
      <c r="J213"/>
      <c r="K213"/>
      <c r="L213"/>
      <c r="M213"/>
      <c r="N213"/>
      <c r="O213"/>
      <c r="P213"/>
      <c r="Q213"/>
      <c r="R213"/>
      <c r="S213"/>
      <c r="T213"/>
      <c r="U213"/>
      <c r="V213"/>
      <c r="W213"/>
      <c r="X213"/>
      <c r="Y213"/>
      <c r="Z213"/>
      <c r="AA213"/>
      <c r="AB213"/>
      <c r="AC213"/>
      <c r="AD213"/>
      <c r="AF213"/>
    </row>
    <row r="214" spans="5:32" x14ac:dyDescent="0.25">
      <c r="E214"/>
      <c r="F214"/>
      <c r="G214"/>
      <c r="H214"/>
      <c r="I214"/>
      <c r="J214"/>
      <c r="K214"/>
      <c r="L214"/>
      <c r="M214"/>
      <c r="N214"/>
      <c r="O214"/>
      <c r="P214"/>
      <c r="Q214"/>
      <c r="R214"/>
      <c r="S214"/>
      <c r="T214"/>
      <c r="U214"/>
      <c r="V214"/>
      <c r="W214"/>
      <c r="X214"/>
      <c r="Y214"/>
      <c r="Z214"/>
      <c r="AA214"/>
      <c r="AB214"/>
      <c r="AC214"/>
      <c r="AD214"/>
      <c r="AF214"/>
    </row>
    <row r="215" spans="5:32" x14ac:dyDescent="0.25">
      <c r="E215"/>
      <c r="F215"/>
      <c r="G215"/>
      <c r="H215"/>
      <c r="I215"/>
      <c r="J215"/>
      <c r="K215"/>
      <c r="L215"/>
      <c r="M215"/>
      <c r="N215"/>
      <c r="O215"/>
      <c r="P215"/>
      <c r="Q215"/>
      <c r="R215"/>
      <c r="S215"/>
      <c r="T215"/>
      <c r="U215"/>
      <c r="V215"/>
      <c r="W215"/>
      <c r="X215"/>
      <c r="Y215"/>
      <c r="Z215"/>
      <c r="AA215"/>
      <c r="AB215"/>
      <c r="AC215"/>
      <c r="AD215"/>
      <c r="AF215"/>
    </row>
    <row r="216" spans="5:32" x14ac:dyDescent="0.25">
      <c r="E216"/>
      <c r="F216"/>
      <c r="G216"/>
      <c r="H216"/>
      <c r="I216"/>
      <c r="J216"/>
      <c r="K216"/>
      <c r="L216"/>
      <c r="M216"/>
      <c r="N216"/>
      <c r="O216"/>
      <c r="P216"/>
      <c r="Q216"/>
      <c r="R216"/>
      <c r="S216"/>
      <c r="T216"/>
      <c r="U216"/>
      <c r="V216"/>
      <c r="W216"/>
      <c r="X216"/>
      <c r="Y216"/>
      <c r="Z216"/>
      <c r="AA216"/>
      <c r="AB216"/>
      <c r="AC216"/>
      <c r="AD216"/>
      <c r="AF216"/>
    </row>
    <row r="217" spans="5:32" x14ac:dyDescent="0.25">
      <c r="E217"/>
      <c r="F217"/>
      <c r="G217"/>
      <c r="H217"/>
      <c r="I217"/>
      <c r="J217"/>
      <c r="K217"/>
      <c r="L217"/>
      <c r="M217"/>
      <c r="N217"/>
      <c r="O217"/>
      <c r="P217"/>
      <c r="Q217"/>
      <c r="R217"/>
      <c r="S217"/>
      <c r="T217"/>
      <c r="U217"/>
      <c r="V217"/>
      <c r="W217"/>
      <c r="X217"/>
      <c r="Y217"/>
      <c r="Z217"/>
      <c r="AA217"/>
      <c r="AB217"/>
      <c r="AC217"/>
      <c r="AD217"/>
      <c r="AF217"/>
    </row>
    <row r="218" spans="5:32" x14ac:dyDescent="0.25">
      <c r="E218"/>
      <c r="F218"/>
      <c r="G218"/>
      <c r="H218"/>
      <c r="I218"/>
      <c r="J218"/>
      <c r="K218"/>
      <c r="L218"/>
      <c r="M218"/>
      <c r="N218"/>
      <c r="O218"/>
      <c r="P218"/>
      <c r="Q218"/>
      <c r="R218"/>
      <c r="S218"/>
      <c r="T218"/>
      <c r="U218"/>
      <c r="V218"/>
      <c r="W218"/>
      <c r="X218"/>
      <c r="Y218"/>
      <c r="Z218"/>
      <c r="AA218"/>
      <c r="AB218"/>
      <c r="AC218"/>
      <c r="AD218"/>
      <c r="AF218"/>
    </row>
    <row r="219" spans="5:32" x14ac:dyDescent="0.25">
      <c r="E219"/>
      <c r="F219"/>
      <c r="G219"/>
      <c r="H219"/>
      <c r="I219"/>
      <c r="J219"/>
      <c r="K219"/>
      <c r="L219"/>
      <c r="M219"/>
      <c r="N219"/>
      <c r="O219"/>
      <c r="P219"/>
      <c r="Q219"/>
      <c r="R219"/>
      <c r="S219"/>
      <c r="T219"/>
      <c r="U219"/>
      <c r="V219"/>
      <c r="W219"/>
      <c r="X219"/>
      <c r="Y219"/>
      <c r="Z219"/>
      <c r="AA219"/>
      <c r="AB219"/>
      <c r="AC219"/>
      <c r="AD219"/>
      <c r="AF219"/>
    </row>
    <row r="220" spans="5:32" x14ac:dyDescent="0.25">
      <c r="E220"/>
      <c r="F220"/>
      <c r="G220"/>
      <c r="H220"/>
      <c r="I220"/>
      <c r="J220"/>
      <c r="K220"/>
      <c r="L220"/>
      <c r="M220"/>
      <c r="N220"/>
      <c r="O220"/>
      <c r="P220"/>
      <c r="Q220"/>
      <c r="R220"/>
      <c r="S220"/>
      <c r="T220"/>
      <c r="U220"/>
      <c r="V220"/>
      <c r="W220"/>
      <c r="X220"/>
      <c r="Y220"/>
      <c r="Z220"/>
      <c r="AA220"/>
      <c r="AB220"/>
      <c r="AC220"/>
      <c r="AD220"/>
      <c r="AF220"/>
    </row>
    <row r="221" spans="5:32" x14ac:dyDescent="0.25">
      <c r="E221"/>
      <c r="F221"/>
      <c r="G221"/>
      <c r="H221"/>
      <c r="I221"/>
      <c r="J221"/>
      <c r="K221"/>
      <c r="L221"/>
      <c r="M221"/>
      <c r="N221"/>
      <c r="O221"/>
      <c r="P221"/>
      <c r="Q221"/>
      <c r="R221"/>
      <c r="S221"/>
      <c r="T221"/>
      <c r="U221"/>
      <c r="V221"/>
      <c r="W221"/>
      <c r="X221"/>
      <c r="Y221"/>
      <c r="Z221"/>
      <c r="AA221"/>
      <c r="AB221"/>
      <c r="AC221"/>
      <c r="AD221"/>
      <c r="AF221"/>
    </row>
    <row r="222" spans="5:32" x14ac:dyDescent="0.25">
      <c r="E222"/>
      <c r="F222"/>
      <c r="G222"/>
      <c r="H222"/>
      <c r="I222"/>
      <c r="J222"/>
      <c r="K222"/>
      <c r="L222"/>
      <c r="M222"/>
      <c r="N222"/>
      <c r="O222"/>
      <c r="P222"/>
      <c r="Q222"/>
      <c r="R222"/>
      <c r="S222"/>
      <c r="T222"/>
      <c r="U222"/>
      <c r="V222"/>
      <c r="W222"/>
      <c r="X222"/>
      <c r="Y222"/>
      <c r="Z222"/>
      <c r="AA222"/>
      <c r="AB222"/>
      <c r="AC222"/>
      <c r="AD222"/>
      <c r="AF222"/>
    </row>
    <row r="223" spans="5:32" x14ac:dyDescent="0.25">
      <c r="E223"/>
      <c r="F223"/>
      <c r="G223"/>
      <c r="H223"/>
      <c r="I223"/>
      <c r="J223"/>
      <c r="K223"/>
      <c r="L223"/>
      <c r="M223"/>
      <c r="N223"/>
      <c r="O223"/>
      <c r="P223"/>
      <c r="Q223"/>
      <c r="R223"/>
      <c r="S223"/>
      <c r="T223"/>
      <c r="U223"/>
      <c r="V223"/>
      <c r="W223"/>
      <c r="X223"/>
      <c r="Y223"/>
      <c r="Z223"/>
      <c r="AA223"/>
      <c r="AB223"/>
      <c r="AC223"/>
      <c r="AD223"/>
      <c r="AF223"/>
    </row>
    <row r="224" spans="5:32" x14ac:dyDescent="0.25">
      <c r="E224"/>
      <c r="F224"/>
      <c r="G224"/>
      <c r="H224"/>
      <c r="I224"/>
      <c r="J224"/>
      <c r="K224"/>
      <c r="L224"/>
      <c r="M224"/>
      <c r="N224"/>
      <c r="O224"/>
      <c r="P224"/>
      <c r="Q224"/>
      <c r="R224"/>
      <c r="S224"/>
      <c r="T224"/>
      <c r="U224"/>
      <c r="V224"/>
      <c r="W224"/>
      <c r="X224"/>
      <c r="Y224"/>
      <c r="Z224"/>
      <c r="AA224"/>
      <c r="AB224"/>
      <c r="AC224"/>
      <c r="AD224"/>
      <c r="AF224"/>
    </row>
    <row r="225" spans="5:32" x14ac:dyDescent="0.25">
      <c r="E225"/>
      <c r="F225"/>
      <c r="G225"/>
      <c r="H225"/>
      <c r="I225"/>
      <c r="J225"/>
      <c r="K225"/>
      <c r="L225"/>
      <c r="M225"/>
      <c r="N225"/>
      <c r="O225"/>
      <c r="P225"/>
      <c r="Q225"/>
      <c r="R225"/>
      <c r="S225"/>
      <c r="T225"/>
      <c r="U225"/>
      <c r="V225"/>
      <c r="W225"/>
      <c r="X225"/>
      <c r="Y225"/>
      <c r="Z225"/>
      <c r="AA225"/>
      <c r="AB225"/>
      <c r="AC225"/>
      <c r="AD225"/>
      <c r="AF225"/>
    </row>
    <row r="226" spans="5:32" x14ac:dyDescent="0.25">
      <c r="E226"/>
      <c r="F226"/>
      <c r="G226"/>
      <c r="H226"/>
      <c r="I226"/>
      <c r="J226"/>
      <c r="K226"/>
      <c r="L226"/>
      <c r="M226"/>
      <c r="N226"/>
      <c r="O226"/>
      <c r="P226"/>
      <c r="Q226"/>
      <c r="R226"/>
      <c r="S226"/>
      <c r="T226"/>
      <c r="U226"/>
      <c r="V226"/>
      <c r="W226"/>
      <c r="X226"/>
      <c r="Y226"/>
      <c r="Z226"/>
      <c r="AA226"/>
      <c r="AB226"/>
      <c r="AC226"/>
      <c r="AD226"/>
      <c r="AF226"/>
    </row>
    <row r="227" spans="5:32" x14ac:dyDescent="0.25">
      <c r="E227"/>
      <c r="F227"/>
      <c r="G227"/>
      <c r="H227"/>
      <c r="I227"/>
      <c r="J227"/>
      <c r="K227"/>
      <c r="L227"/>
      <c r="M227"/>
      <c r="N227"/>
      <c r="O227"/>
      <c r="P227"/>
      <c r="Q227"/>
      <c r="R227"/>
      <c r="S227"/>
      <c r="T227"/>
      <c r="U227"/>
      <c r="V227"/>
      <c r="W227"/>
      <c r="X227"/>
      <c r="Y227"/>
      <c r="Z227"/>
      <c r="AA227"/>
      <c r="AB227"/>
      <c r="AC227"/>
      <c r="AD227"/>
      <c r="AF227"/>
    </row>
    <row r="228" spans="5:32" x14ac:dyDescent="0.25">
      <c r="E228"/>
      <c r="F228"/>
      <c r="G228"/>
      <c r="H228"/>
      <c r="I228"/>
      <c r="J228"/>
      <c r="K228"/>
      <c r="L228"/>
      <c r="M228"/>
      <c r="N228"/>
      <c r="O228"/>
      <c r="P228"/>
      <c r="Q228"/>
      <c r="R228"/>
      <c r="S228"/>
      <c r="T228"/>
      <c r="U228"/>
      <c r="V228"/>
      <c r="W228"/>
      <c r="X228"/>
      <c r="Y228"/>
      <c r="Z228"/>
      <c r="AA228"/>
      <c r="AB228"/>
      <c r="AC228"/>
      <c r="AD228"/>
      <c r="AF228"/>
    </row>
    <row r="229" spans="5:32" x14ac:dyDescent="0.25">
      <c r="E229"/>
      <c r="F229"/>
      <c r="G229"/>
      <c r="H229"/>
      <c r="I229"/>
      <c r="J229"/>
      <c r="K229"/>
      <c r="L229"/>
      <c r="M229"/>
      <c r="N229"/>
      <c r="O229"/>
      <c r="P229"/>
      <c r="Q229"/>
      <c r="R229"/>
      <c r="S229"/>
      <c r="T229"/>
      <c r="U229"/>
      <c r="V229"/>
      <c r="W229"/>
      <c r="X229"/>
      <c r="Y229"/>
      <c r="Z229"/>
      <c r="AA229"/>
      <c r="AB229"/>
      <c r="AC229"/>
      <c r="AD229"/>
      <c r="AF229"/>
    </row>
    <row r="230" spans="5:32" x14ac:dyDescent="0.25">
      <c r="E230"/>
      <c r="F230"/>
      <c r="G230"/>
      <c r="H230"/>
      <c r="I230"/>
      <c r="J230"/>
      <c r="K230"/>
      <c r="L230"/>
      <c r="M230"/>
      <c r="N230"/>
      <c r="O230"/>
      <c r="P230"/>
      <c r="Q230"/>
      <c r="R230"/>
      <c r="S230"/>
      <c r="T230"/>
      <c r="U230"/>
      <c r="V230"/>
      <c r="W230"/>
      <c r="X230"/>
      <c r="Y230"/>
      <c r="Z230"/>
      <c r="AA230"/>
      <c r="AB230"/>
      <c r="AC230"/>
      <c r="AD230"/>
      <c r="AF230"/>
    </row>
    <row r="231" spans="5:32" x14ac:dyDescent="0.25">
      <c r="E231"/>
      <c r="F231"/>
      <c r="G231"/>
      <c r="H231"/>
      <c r="I231"/>
      <c r="J231"/>
      <c r="K231"/>
      <c r="L231"/>
      <c r="M231"/>
      <c r="N231"/>
      <c r="O231"/>
      <c r="P231"/>
      <c r="Q231"/>
      <c r="R231"/>
      <c r="S231"/>
      <c r="T231"/>
      <c r="U231"/>
      <c r="V231"/>
      <c r="W231"/>
      <c r="X231"/>
      <c r="Y231"/>
      <c r="Z231"/>
      <c r="AA231"/>
      <c r="AB231"/>
      <c r="AC231"/>
      <c r="AD231"/>
      <c r="AF231"/>
    </row>
    <row r="232" spans="5:32" x14ac:dyDescent="0.25">
      <c r="E232"/>
      <c r="F232"/>
      <c r="G232"/>
      <c r="H232"/>
      <c r="I232"/>
      <c r="J232"/>
      <c r="K232"/>
      <c r="L232"/>
      <c r="M232"/>
      <c r="N232"/>
      <c r="O232"/>
      <c r="P232"/>
      <c r="Q232"/>
      <c r="R232"/>
      <c r="S232"/>
      <c r="T232"/>
      <c r="U232"/>
      <c r="V232"/>
      <c r="W232"/>
      <c r="X232"/>
      <c r="Y232"/>
      <c r="Z232"/>
      <c r="AA232"/>
      <c r="AB232"/>
      <c r="AC232"/>
      <c r="AD232"/>
      <c r="AF232"/>
    </row>
    <row r="233" spans="5:32" x14ac:dyDescent="0.25">
      <c r="E233"/>
      <c r="F233"/>
      <c r="G233"/>
      <c r="H233"/>
      <c r="I233"/>
      <c r="J233"/>
      <c r="K233"/>
      <c r="L233"/>
      <c r="M233"/>
      <c r="N233"/>
      <c r="O233"/>
      <c r="P233"/>
      <c r="Q233"/>
      <c r="R233"/>
      <c r="S233"/>
      <c r="T233"/>
      <c r="U233"/>
      <c r="V233"/>
      <c r="W233"/>
      <c r="X233"/>
      <c r="Y233"/>
      <c r="Z233"/>
      <c r="AA233"/>
      <c r="AB233"/>
      <c r="AC233"/>
      <c r="AD233"/>
      <c r="AF233"/>
    </row>
    <row r="234" spans="5:32" x14ac:dyDescent="0.25">
      <c r="E234"/>
      <c r="F234"/>
      <c r="G234"/>
      <c r="H234"/>
      <c r="I234"/>
      <c r="J234"/>
      <c r="K234"/>
      <c r="L234"/>
      <c r="M234"/>
      <c r="N234"/>
      <c r="O234"/>
      <c r="P234"/>
      <c r="Q234"/>
      <c r="R234"/>
      <c r="S234"/>
      <c r="T234"/>
      <c r="U234"/>
      <c r="V234"/>
      <c r="W234"/>
      <c r="X234"/>
      <c r="Y234"/>
      <c r="Z234"/>
      <c r="AA234"/>
      <c r="AB234"/>
      <c r="AC234"/>
      <c r="AD234"/>
      <c r="AF234"/>
    </row>
    <row r="235" spans="5:32" x14ac:dyDescent="0.25">
      <c r="E235"/>
      <c r="F235"/>
      <c r="G235"/>
      <c r="H235"/>
      <c r="I235"/>
      <c r="J235"/>
      <c r="K235"/>
      <c r="L235"/>
      <c r="M235"/>
      <c r="N235"/>
      <c r="O235"/>
      <c r="P235"/>
      <c r="Q235"/>
      <c r="R235"/>
      <c r="S235"/>
      <c r="T235"/>
      <c r="U235"/>
      <c r="V235"/>
      <c r="W235"/>
      <c r="X235"/>
      <c r="Y235"/>
      <c r="Z235"/>
      <c r="AA235"/>
      <c r="AB235"/>
      <c r="AC235"/>
      <c r="AD235"/>
      <c r="AF235"/>
    </row>
    <row r="236" spans="5:32" x14ac:dyDescent="0.25">
      <c r="E236"/>
      <c r="F236"/>
      <c r="G236"/>
      <c r="H236"/>
      <c r="I236"/>
      <c r="J236"/>
      <c r="K236"/>
      <c r="L236"/>
      <c r="M236"/>
      <c r="N236"/>
      <c r="O236"/>
      <c r="P236"/>
      <c r="Q236"/>
      <c r="R236"/>
      <c r="S236"/>
      <c r="T236"/>
      <c r="U236"/>
      <c r="V236"/>
      <c r="W236"/>
      <c r="X236"/>
      <c r="Y236"/>
      <c r="Z236"/>
      <c r="AA236"/>
      <c r="AB236"/>
      <c r="AC236"/>
      <c r="AD236"/>
      <c r="AF236"/>
    </row>
    <row r="237" spans="5:32" x14ac:dyDescent="0.25">
      <c r="E237"/>
      <c r="F237"/>
      <c r="G237"/>
      <c r="H237"/>
      <c r="I237"/>
      <c r="J237"/>
      <c r="K237"/>
      <c r="L237"/>
      <c r="M237"/>
      <c r="N237"/>
      <c r="O237"/>
      <c r="P237"/>
      <c r="Q237"/>
      <c r="R237"/>
      <c r="S237"/>
      <c r="T237"/>
      <c r="U237"/>
      <c r="V237"/>
      <c r="W237"/>
      <c r="X237"/>
      <c r="Y237"/>
      <c r="Z237"/>
      <c r="AA237"/>
      <c r="AB237"/>
      <c r="AC237"/>
      <c r="AD237"/>
      <c r="AF237"/>
    </row>
    <row r="238" spans="5:32" x14ac:dyDescent="0.25">
      <c r="E238"/>
      <c r="F238"/>
      <c r="G238"/>
      <c r="H238"/>
      <c r="I238"/>
      <c r="J238"/>
      <c r="K238"/>
      <c r="L238"/>
      <c r="M238"/>
      <c r="N238"/>
      <c r="O238"/>
      <c r="P238"/>
      <c r="Q238"/>
      <c r="R238"/>
      <c r="S238"/>
      <c r="T238"/>
      <c r="U238"/>
      <c r="V238"/>
      <c r="W238"/>
      <c r="X238"/>
      <c r="Y238"/>
      <c r="Z238"/>
      <c r="AA238"/>
      <c r="AB238"/>
      <c r="AC238"/>
      <c r="AD238"/>
      <c r="AF238"/>
    </row>
    <row r="239" spans="5:32" x14ac:dyDescent="0.25">
      <c r="E239"/>
      <c r="F239"/>
      <c r="G239"/>
      <c r="H239"/>
      <c r="I239"/>
      <c r="J239"/>
      <c r="K239"/>
      <c r="L239"/>
      <c r="M239"/>
      <c r="N239"/>
      <c r="O239"/>
      <c r="P239"/>
      <c r="Q239"/>
      <c r="R239"/>
      <c r="S239"/>
      <c r="T239"/>
      <c r="U239"/>
      <c r="V239"/>
      <c r="W239"/>
      <c r="X239"/>
      <c r="Y239"/>
      <c r="Z239"/>
      <c r="AA239"/>
      <c r="AB239"/>
      <c r="AC239"/>
      <c r="AD239"/>
      <c r="AF239"/>
    </row>
    <row r="240" spans="5:32" x14ac:dyDescent="0.25">
      <c r="E240"/>
      <c r="F240"/>
      <c r="G240"/>
      <c r="H240"/>
      <c r="I240"/>
      <c r="J240"/>
      <c r="K240"/>
      <c r="L240"/>
      <c r="M240"/>
      <c r="N240"/>
      <c r="O240"/>
      <c r="P240"/>
      <c r="Q240"/>
      <c r="R240"/>
      <c r="S240"/>
      <c r="T240"/>
      <c r="U240"/>
      <c r="V240"/>
      <c r="W240"/>
      <c r="X240"/>
      <c r="Y240"/>
      <c r="Z240"/>
      <c r="AA240"/>
      <c r="AB240"/>
      <c r="AC240"/>
      <c r="AD240"/>
      <c r="AF240"/>
    </row>
    <row r="241" spans="5:32" x14ac:dyDescent="0.25">
      <c r="E241"/>
      <c r="F241"/>
      <c r="G241"/>
      <c r="H241"/>
      <c r="I241"/>
      <c r="J241"/>
      <c r="K241"/>
      <c r="L241"/>
      <c r="M241"/>
      <c r="N241"/>
      <c r="O241"/>
      <c r="P241"/>
      <c r="Q241"/>
      <c r="R241"/>
      <c r="S241"/>
      <c r="T241"/>
      <c r="U241"/>
      <c r="V241"/>
      <c r="W241"/>
      <c r="X241"/>
      <c r="Y241"/>
      <c r="Z241"/>
      <c r="AA241"/>
      <c r="AB241"/>
      <c r="AC241"/>
      <c r="AD241"/>
      <c r="AF241"/>
    </row>
    <row r="242" spans="5:32" x14ac:dyDescent="0.25">
      <c r="E242"/>
      <c r="F242"/>
      <c r="G242"/>
      <c r="H242"/>
      <c r="I242"/>
      <c r="J242"/>
      <c r="K242"/>
      <c r="L242"/>
      <c r="M242"/>
      <c r="N242"/>
      <c r="O242"/>
      <c r="P242"/>
      <c r="Q242"/>
      <c r="R242"/>
      <c r="S242"/>
      <c r="T242"/>
      <c r="U242"/>
      <c r="V242"/>
      <c r="W242"/>
      <c r="X242"/>
      <c r="Y242"/>
      <c r="Z242"/>
      <c r="AA242"/>
      <c r="AB242"/>
      <c r="AC242"/>
      <c r="AD242"/>
      <c r="AF242"/>
    </row>
    <row r="243" spans="5:32" x14ac:dyDescent="0.25">
      <c r="E243"/>
      <c r="F243"/>
      <c r="G243"/>
      <c r="H243"/>
      <c r="I243"/>
      <c r="J243"/>
      <c r="K243"/>
      <c r="L243"/>
      <c r="M243"/>
      <c r="N243"/>
      <c r="O243"/>
      <c r="P243"/>
      <c r="Q243"/>
      <c r="R243"/>
      <c r="S243"/>
      <c r="T243"/>
      <c r="U243"/>
      <c r="V243"/>
      <c r="W243"/>
      <c r="X243"/>
      <c r="Y243"/>
      <c r="Z243"/>
      <c r="AA243"/>
      <c r="AB243"/>
      <c r="AC243"/>
      <c r="AD243"/>
      <c r="AF243"/>
    </row>
    <row r="244" spans="5:32" x14ac:dyDescent="0.25">
      <c r="E244"/>
      <c r="F244"/>
      <c r="G244"/>
      <c r="H244"/>
      <c r="I244"/>
      <c r="J244"/>
      <c r="K244"/>
      <c r="L244"/>
      <c r="M244"/>
      <c r="N244"/>
      <c r="O244"/>
      <c r="P244"/>
      <c r="Q244"/>
      <c r="R244"/>
      <c r="S244"/>
      <c r="T244"/>
      <c r="U244"/>
      <c r="V244"/>
      <c r="W244"/>
      <c r="X244"/>
      <c r="Y244"/>
      <c r="Z244"/>
      <c r="AA244"/>
      <c r="AB244"/>
      <c r="AC244"/>
      <c r="AD244"/>
      <c r="AF244"/>
    </row>
    <row r="245" spans="5:32" x14ac:dyDescent="0.25">
      <c r="E245"/>
      <c r="F245"/>
      <c r="G245"/>
      <c r="H245"/>
      <c r="I245"/>
      <c r="J245"/>
      <c r="K245"/>
      <c r="L245"/>
      <c r="M245"/>
      <c r="N245"/>
      <c r="O245"/>
      <c r="P245"/>
      <c r="Q245"/>
      <c r="R245"/>
      <c r="S245"/>
      <c r="T245"/>
      <c r="U245"/>
      <c r="V245"/>
      <c r="W245"/>
      <c r="X245"/>
      <c r="Y245"/>
      <c r="Z245"/>
      <c r="AA245"/>
      <c r="AB245"/>
      <c r="AC245"/>
      <c r="AD245"/>
      <c r="AF245"/>
    </row>
    <row r="246" spans="5:32" x14ac:dyDescent="0.25">
      <c r="E246"/>
      <c r="F246"/>
      <c r="G246"/>
      <c r="H246"/>
      <c r="I246"/>
      <c r="J246"/>
      <c r="K246"/>
      <c r="L246"/>
      <c r="M246"/>
      <c r="N246"/>
      <c r="O246"/>
      <c r="P246"/>
      <c r="Q246"/>
      <c r="R246"/>
      <c r="S246"/>
      <c r="T246"/>
      <c r="U246"/>
      <c r="V246"/>
      <c r="W246"/>
      <c r="X246"/>
      <c r="Y246"/>
      <c r="Z246"/>
      <c r="AA246"/>
      <c r="AB246"/>
      <c r="AC246"/>
      <c r="AD246"/>
      <c r="AF246"/>
    </row>
    <row r="247" spans="5:32" x14ac:dyDescent="0.25">
      <c r="E247"/>
      <c r="F247"/>
      <c r="G247"/>
      <c r="H247"/>
      <c r="I247"/>
      <c r="J247"/>
      <c r="K247"/>
      <c r="L247"/>
      <c r="M247"/>
      <c r="N247"/>
      <c r="O247"/>
      <c r="P247"/>
      <c r="Q247"/>
      <c r="R247"/>
      <c r="S247"/>
      <c r="T247"/>
      <c r="U247"/>
      <c r="V247"/>
      <c r="W247"/>
      <c r="X247"/>
      <c r="Y247"/>
      <c r="Z247"/>
      <c r="AA247"/>
      <c r="AB247"/>
      <c r="AC247"/>
      <c r="AD247"/>
      <c r="AF247"/>
    </row>
    <row r="248" spans="5:32" x14ac:dyDescent="0.25">
      <c r="E248"/>
      <c r="F248"/>
      <c r="G248"/>
      <c r="H248"/>
      <c r="I248"/>
      <c r="J248"/>
      <c r="K248"/>
      <c r="L248"/>
      <c r="M248"/>
      <c r="N248"/>
      <c r="O248"/>
      <c r="P248"/>
      <c r="Q248"/>
      <c r="R248"/>
      <c r="S248"/>
      <c r="T248"/>
      <c r="U248"/>
      <c r="V248"/>
      <c r="W248"/>
      <c r="X248"/>
      <c r="Y248"/>
      <c r="Z248"/>
      <c r="AA248"/>
      <c r="AB248"/>
      <c r="AC248"/>
      <c r="AD248"/>
      <c r="AF248"/>
    </row>
    <row r="249" spans="5:32" x14ac:dyDescent="0.25">
      <c r="E249"/>
      <c r="F249"/>
      <c r="G249"/>
      <c r="H249"/>
      <c r="I249"/>
      <c r="J249"/>
      <c r="K249"/>
      <c r="L249"/>
      <c r="M249"/>
      <c r="N249"/>
      <c r="O249"/>
      <c r="P249"/>
      <c r="Q249"/>
      <c r="R249"/>
      <c r="S249"/>
      <c r="T249"/>
      <c r="U249"/>
      <c r="V249"/>
      <c r="W249"/>
      <c r="X249"/>
      <c r="Y249"/>
      <c r="Z249"/>
      <c r="AA249"/>
      <c r="AB249"/>
      <c r="AC249"/>
      <c r="AD249"/>
      <c r="AF249"/>
    </row>
    <row r="250" spans="5:32" x14ac:dyDescent="0.25">
      <c r="E250"/>
      <c r="F250"/>
      <c r="G250"/>
      <c r="H250"/>
      <c r="I250"/>
      <c r="J250"/>
      <c r="K250"/>
      <c r="L250"/>
      <c r="M250"/>
      <c r="N250"/>
      <c r="O250"/>
      <c r="P250"/>
      <c r="Q250"/>
      <c r="R250"/>
      <c r="S250"/>
      <c r="T250"/>
      <c r="U250"/>
      <c r="V250"/>
      <c r="W250"/>
      <c r="X250"/>
      <c r="Y250"/>
      <c r="Z250"/>
      <c r="AA250"/>
      <c r="AB250"/>
      <c r="AC250"/>
      <c r="AD250"/>
      <c r="AF250"/>
    </row>
    <row r="251" spans="5:32" x14ac:dyDescent="0.25">
      <c r="E251"/>
      <c r="F251"/>
      <c r="G251"/>
      <c r="H251"/>
      <c r="I251"/>
      <c r="J251"/>
      <c r="K251"/>
      <c r="L251"/>
      <c r="M251"/>
      <c r="N251"/>
      <c r="O251"/>
      <c r="P251"/>
      <c r="Q251"/>
      <c r="R251"/>
      <c r="S251"/>
      <c r="T251"/>
      <c r="U251"/>
      <c r="V251"/>
      <c r="W251"/>
      <c r="X251"/>
      <c r="Y251"/>
      <c r="Z251"/>
      <c r="AA251"/>
      <c r="AB251"/>
      <c r="AC251"/>
      <c r="AD251"/>
      <c r="AF251"/>
    </row>
    <row r="252" spans="5:32" x14ac:dyDescent="0.25">
      <c r="E252"/>
      <c r="F252"/>
      <c r="G252"/>
      <c r="H252"/>
      <c r="I252"/>
      <c r="J252"/>
      <c r="K252"/>
      <c r="L252"/>
      <c r="M252"/>
      <c r="N252"/>
      <c r="O252"/>
      <c r="P252"/>
      <c r="Q252"/>
      <c r="R252"/>
      <c r="S252"/>
      <c r="T252"/>
      <c r="U252"/>
      <c r="V252"/>
      <c r="W252"/>
      <c r="X252"/>
      <c r="Y252"/>
      <c r="Z252"/>
      <c r="AA252"/>
      <c r="AB252"/>
      <c r="AC252"/>
      <c r="AD252"/>
      <c r="AF252"/>
    </row>
    <row r="253" spans="5:32" x14ac:dyDescent="0.25">
      <c r="E253"/>
      <c r="F253"/>
      <c r="G253"/>
      <c r="H253"/>
      <c r="I253"/>
      <c r="J253"/>
      <c r="K253"/>
      <c r="L253"/>
      <c r="M253"/>
      <c r="N253"/>
      <c r="O253"/>
      <c r="P253"/>
      <c r="Q253"/>
      <c r="R253"/>
      <c r="S253"/>
      <c r="T253"/>
      <c r="U253"/>
      <c r="V253"/>
      <c r="W253"/>
      <c r="X253"/>
      <c r="Y253"/>
      <c r="Z253"/>
      <c r="AA253"/>
      <c r="AB253"/>
      <c r="AC253"/>
      <c r="AD253"/>
      <c r="AF253"/>
    </row>
    <row r="254" spans="5:32" x14ac:dyDescent="0.25">
      <c r="E254"/>
      <c r="F254"/>
      <c r="G254"/>
      <c r="H254"/>
      <c r="I254"/>
      <c r="J254"/>
      <c r="K254"/>
      <c r="L254"/>
      <c r="M254"/>
      <c r="N254"/>
      <c r="O254"/>
      <c r="P254"/>
      <c r="Q254"/>
      <c r="R254"/>
      <c r="S254"/>
      <c r="T254"/>
      <c r="U254"/>
      <c r="V254"/>
      <c r="W254"/>
      <c r="X254"/>
      <c r="Y254"/>
      <c r="Z254"/>
      <c r="AA254"/>
      <c r="AB254"/>
      <c r="AC254"/>
      <c r="AD254"/>
      <c r="AF254"/>
    </row>
    <row r="255" spans="5:32" x14ac:dyDescent="0.25">
      <c r="E255"/>
      <c r="F255"/>
      <c r="G255"/>
      <c r="H255"/>
      <c r="I255"/>
      <c r="J255"/>
      <c r="K255"/>
      <c r="L255"/>
      <c r="M255"/>
      <c r="N255"/>
      <c r="O255"/>
      <c r="P255"/>
      <c r="Q255"/>
      <c r="R255"/>
      <c r="S255"/>
      <c r="T255"/>
      <c r="U255"/>
      <c r="V255"/>
      <c r="W255"/>
      <c r="X255"/>
      <c r="Y255"/>
      <c r="Z255"/>
      <c r="AA255"/>
      <c r="AB255"/>
      <c r="AC255"/>
      <c r="AD255"/>
      <c r="AF255"/>
    </row>
    <row r="256" spans="5:32" x14ac:dyDescent="0.25">
      <c r="E256"/>
      <c r="F256"/>
      <c r="G256"/>
      <c r="H256"/>
      <c r="I256"/>
      <c r="J256"/>
      <c r="K256"/>
      <c r="L256"/>
      <c r="M256"/>
      <c r="N256"/>
      <c r="O256"/>
      <c r="P256"/>
      <c r="Q256"/>
      <c r="R256"/>
      <c r="S256"/>
      <c r="T256"/>
      <c r="U256"/>
      <c r="V256"/>
      <c r="W256"/>
      <c r="X256"/>
      <c r="Y256"/>
      <c r="Z256"/>
      <c r="AA256"/>
      <c r="AB256"/>
      <c r="AC256"/>
      <c r="AD256"/>
      <c r="AF256"/>
    </row>
    <row r="257" spans="5:32" x14ac:dyDescent="0.25">
      <c r="E257"/>
      <c r="F257"/>
      <c r="G257"/>
      <c r="H257"/>
      <c r="I257"/>
      <c r="J257"/>
      <c r="K257"/>
      <c r="L257"/>
      <c r="M257"/>
      <c r="N257"/>
      <c r="O257"/>
      <c r="P257"/>
      <c r="Q257"/>
      <c r="R257"/>
      <c r="S257"/>
      <c r="T257"/>
      <c r="U257"/>
      <c r="V257"/>
      <c r="W257"/>
      <c r="X257"/>
      <c r="Y257"/>
      <c r="Z257"/>
      <c r="AA257"/>
      <c r="AB257"/>
      <c r="AC257"/>
      <c r="AD257"/>
      <c r="AF257"/>
    </row>
    <row r="258" spans="5:32" x14ac:dyDescent="0.25">
      <c r="E258"/>
      <c r="F258"/>
      <c r="G258"/>
      <c r="H258"/>
      <c r="I258"/>
      <c r="J258"/>
      <c r="K258"/>
      <c r="L258"/>
      <c r="M258"/>
      <c r="N258"/>
      <c r="O258"/>
      <c r="P258"/>
      <c r="Q258"/>
      <c r="R258"/>
      <c r="S258"/>
      <c r="T258"/>
      <c r="U258"/>
      <c r="V258"/>
      <c r="W258"/>
      <c r="X258"/>
      <c r="Y258"/>
      <c r="Z258"/>
      <c r="AA258"/>
      <c r="AB258"/>
      <c r="AC258"/>
      <c r="AD258"/>
      <c r="AF258"/>
    </row>
    <row r="259" spans="5:32" x14ac:dyDescent="0.25">
      <c r="E259"/>
      <c r="F259"/>
      <c r="G259"/>
      <c r="H259"/>
      <c r="I259"/>
      <c r="J259"/>
      <c r="K259"/>
      <c r="L259"/>
      <c r="M259"/>
      <c r="N259"/>
      <c r="O259"/>
      <c r="P259"/>
      <c r="Q259"/>
      <c r="R259"/>
      <c r="S259"/>
      <c r="T259"/>
      <c r="U259"/>
      <c r="V259"/>
      <c r="W259"/>
      <c r="X259"/>
      <c r="Y259"/>
      <c r="Z259"/>
      <c r="AA259"/>
      <c r="AB259"/>
      <c r="AC259"/>
      <c r="AD259"/>
      <c r="AF259"/>
    </row>
    <row r="260" spans="5:32" x14ac:dyDescent="0.25">
      <c r="E260"/>
      <c r="F260"/>
      <c r="G260"/>
      <c r="H260"/>
      <c r="I260"/>
      <c r="J260"/>
      <c r="K260"/>
      <c r="L260"/>
      <c r="M260"/>
      <c r="N260"/>
      <c r="O260"/>
      <c r="P260"/>
      <c r="Q260"/>
      <c r="R260"/>
      <c r="S260"/>
      <c r="T260"/>
      <c r="U260"/>
      <c r="V260"/>
      <c r="W260"/>
      <c r="X260"/>
      <c r="Y260"/>
      <c r="Z260"/>
      <c r="AA260"/>
      <c r="AB260"/>
      <c r="AC260"/>
      <c r="AD260"/>
      <c r="AF260"/>
    </row>
    <row r="261" spans="5:32" x14ac:dyDescent="0.25">
      <c r="E261"/>
      <c r="F261"/>
      <c r="G261"/>
      <c r="H261"/>
      <c r="I261"/>
      <c r="J261"/>
      <c r="K261"/>
      <c r="L261"/>
      <c r="M261"/>
      <c r="N261"/>
      <c r="O261"/>
      <c r="P261"/>
      <c r="Q261"/>
      <c r="R261"/>
      <c r="S261"/>
      <c r="T261"/>
      <c r="U261"/>
      <c r="V261"/>
      <c r="W261"/>
      <c r="X261"/>
      <c r="Y261"/>
      <c r="Z261"/>
      <c r="AA261"/>
      <c r="AB261"/>
      <c r="AC261"/>
      <c r="AD261"/>
      <c r="AF261"/>
    </row>
    <row r="262" spans="5:32" x14ac:dyDescent="0.25">
      <c r="E262"/>
      <c r="F262"/>
      <c r="G262"/>
      <c r="H262"/>
      <c r="I262"/>
      <c r="J262"/>
      <c r="K262"/>
      <c r="L262"/>
      <c r="M262"/>
      <c r="N262"/>
      <c r="O262"/>
      <c r="P262"/>
      <c r="Q262"/>
      <c r="R262"/>
      <c r="S262"/>
      <c r="T262"/>
      <c r="U262"/>
      <c r="V262"/>
      <c r="W262"/>
      <c r="X262"/>
      <c r="Y262"/>
      <c r="Z262"/>
      <c r="AA262"/>
      <c r="AB262"/>
      <c r="AC262"/>
      <c r="AD262"/>
      <c r="AF262"/>
    </row>
    <row r="263" spans="5:32" x14ac:dyDescent="0.25">
      <c r="E263"/>
      <c r="F263"/>
      <c r="G263"/>
      <c r="H263"/>
      <c r="I263"/>
      <c r="J263"/>
      <c r="K263"/>
      <c r="L263"/>
      <c r="M263"/>
      <c r="N263"/>
      <c r="O263"/>
      <c r="P263"/>
      <c r="Q263"/>
      <c r="R263"/>
      <c r="S263"/>
      <c r="T263"/>
      <c r="U263"/>
      <c r="V263"/>
      <c r="W263"/>
      <c r="X263"/>
      <c r="Y263"/>
      <c r="Z263"/>
      <c r="AA263"/>
      <c r="AB263"/>
      <c r="AC263"/>
      <c r="AD263"/>
      <c r="AF263"/>
    </row>
    <row r="264" spans="5:32" x14ac:dyDescent="0.25">
      <c r="E264"/>
      <c r="F264"/>
      <c r="G264"/>
      <c r="H264"/>
      <c r="I264"/>
      <c r="J264"/>
      <c r="K264"/>
      <c r="L264"/>
      <c r="M264"/>
      <c r="N264"/>
      <c r="O264"/>
      <c r="P264"/>
      <c r="Q264"/>
      <c r="R264"/>
      <c r="S264"/>
      <c r="T264"/>
      <c r="U264"/>
      <c r="V264"/>
      <c r="W264"/>
      <c r="X264"/>
      <c r="Y264"/>
      <c r="Z264"/>
      <c r="AA264"/>
      <c r="AB264"/>
      <c r="AC264"/>
      <c r="AD264"/>
      <c r="AF264"/>
    </row>
    <row r="265" spans="5:32" x14ac:dyDescent="0.25">
      <c r="E265"/>
      <c r="F265"/>
      <c r="G265"/>
      <c r="H265"/>
      <c r="I265"/>
      <c r="J265"/>
      <c r="K265"/>
      <c r="L265"/>
      <c r="M265"/>
      <c r="N265"/>
      <c r="O265"/>
      <c r="P265"/>
      <c r="Q265"/>
      <c r="R265"/>
      <c r="S265"/>
      <c r="T265"/>
      <c r="U265"/>
      <c r="V265"/>
      <c r="W265"/>
      <c r="X265"/>
      <c r="Y265"/>
      <c r="Z265"/>
      <c r="AA265"/>
      <c r="AB265"/>
      <c r="AC265"/>
      <c r="AD265"/>
      <c r="AF265"/>
    </row>
    <row r="266" spans="5:32" x14ac:dyDescent="0.25">
      <c r="E266"/>
      <c r="F266"/>
      <c r="G266"/>
      <c r="H266"/>
      <c r="I266"/>
      <c r="J266"/>
      <c r="K266"/>
      <c r="L266"/>
      <c r="M266"/>
      <c r="N266"/>
      <c r="O266"/>
      <c r="P266"/>
      <c r="Q266"/>
      <c r="R266"/>
      <c r="S266"/>
      <c r="T266"/>
      <c r="U266"/>
      <c r="V266"/>
      <c r="W266"/>
      <c r="X266"/>
      <c r="Y266"/>
      <c r="Z266"/>
      <c r="AA266"/>
      <c r="AB266"/>
      <c r="AC266"/>
      <c r="AD266"/>
      <c r="AF266"/>
    </row>
    <row r="267" spans="5:32" x14ac:dyDescent="0.25">
      <c r="E267"/>
      <c r="F267"/>
      <c r="G267"/>
      <c r="H267"/>
      <c r="I267"/>
      <c r="J267"/>
      <c r="K267"/>
      <c r="L267"/>
      <c r="M267"/>
      <c r="N267"/>
      <c r="O267"/>
      <c r="P267"/>
      <c r="Q267"/>
      <c r="R267"/>
      <c r="S267"/>
      <c r="T267"/>
      <c r="U267"/>
      <c r="V267"/>
      <c r="W267"/>
      <c r="X267"/>
      <c r="Y267"/>
      <c r="Z267"/>
      <c r="AA267"/>
      <c r="AB267"/>
      <c r="AC267"/>
      <c r="AD267"/>
      <c r="AF267"/>
    </row>
    <row r="268" spans="5:32" x14ac:dyDescent="0.25">
      <c r="E268"/>
      <c r="F268"/>
      <c r="G268"/>
      <c r="H268"/>
      <c r="I268"/>
      <c r="J268"/>
      <c r="K268"/>
      <c r="L268"/>
      <c r="M268"/>
      <c r="N268"/>
      <c r="O268"/>
      <c r="P268"/>
      <c r="Q268"/>
      <c r="R268"/>
      <c r="S268"/>
      <c r="T268"/>
      <c r="U268"/>
      <c r="V268"/>
      <c r="W268"/>
      <c r="X268"/>
      <c r="Y268"/>
      <c r="Z268"/>
      <c r="AA268"/>
      <c r="AB268"/>
      <c r="AC268"/>
      <c r="AD268"/>
      <c r="AF268"/>
    </row>
    <row r="269" spans="5:32" x14ac:dyDescent="0.25">
      <c r="E269"/>
      <c r="F269"/>
      <c r="G269"/>
      <c r="H269"/>
      <c r="I269"/>
      <c r="J269"/>
      <c r="K269"/>
      <c r="L269"/>
      <c r="M269"/>
      <c r="N269"/>
      <c r="O269"/>
      <c r="P269"/>
      <c r="Q269"/>
      <c r="R269"/>
      <c r="S269"/>
      <c r="T269"/>
      <c r="U269"/>
      <c r="V269"/>
      <c r="W269"/>
      <c r="X269"/>
      <c r="Y269"/>
      <c r="Z269"/>
      <c r="AA269"/>
      <c r="AB269"/>
      <c r="AC269"/>
      <c r="AD269"/>
      <c r="AF269"/>
    </row>
    <row r="270" spans="5:32" x14ac:dyDescent="0.25">
      <c r="E270"/>
      <c r="F270"/>
      <c r="G270"/>
      <c r="H270"/>
      <c r="I270"/>
      <c r="J270"/>
      <c r="K270"/>
      <c r="L270"/>
      <c r="M270"/>
      <c r="N270"/>
      <c r="O270"/>
      <c r="P270"/>
      <c r="Q270"/>
      <c r="R270"/>
      <c r="S270"/>
      <c r="T270"/>
      <c r="U270"/>
      <c r="V270"/>
      <c r="W270"/>
      <c r="X270"/>
      <c r="Y270"/>
      <c r="Z270"/>
      <c r="AA270"/>
      <c r="AB270"/>
      <c r="AC270"/>
      <c r="AD270"/>
      <c r="AF270"/>
    </row>
    <row r="271" spans="5:32" x14ac:dyDescent="0.25">
      <c r="E271"/>
      <c r="F271"/>
      <c r="G271"/>
      <c r="H271"/>
      <c r="I271"/>
      <c r="J271"/>
      <c r="K271"/>
      <c r="L271"/>
      <c r="M271"/>
      <c r="N271"/>
      <c r="O271"/>
      <c r="P271"/>
      <c r="Q271"/>
      <c r="R271"/>
      <c r="S271"/>
      <c r="T271"/>
      <c r="U271"/>
      <c r="V271"/>
      <c r="W271"/>
      <c r="X271"/>
      <c r="Y271"/>
      <c r="Z271"/>
      <c r="AA271"/>
      <c r="AB271"/>
      <c r="AC271"/>
      <c r="AD271"/>
      <c r="AF271"/>
    </row>
    <row r="272" spans="5:32" x14ac:dyDescent="0.25">
      <c r="E272"/>
      <c r="F272"/>
      <c r="G272"/>
      <c r="H272"/>
      <c r="I272"/>
      <c r="J272"/>
      <c r="K272"/>
      <c r="L272"/>
      <c r="M272"/>
      <c r="N272"/>
      <c r="O272"/>
      <c r="P272"/>
      <c r="Q272"/>
      <c r="R272"/>
      <c r="S272"/>
      <c r="T272"/>
      <c r="U272"/>
      <c r="V272"/>
      <c r="W272"/>
      <c r="X272"/>
      <c r="Y272"/>
      <c r="Z272"/>
      <c r="AA272"/>
      <c r="AB272"/>
      <c r="AC272"/>
      <c r="AD272"/>
      <c r="AF272"/>
    </row>
    <row r="273" spans="5:32" x14ac:dyDescent="0.25">
      <c r="E273"/>
      <c r="F273"/>
      <c r="G273"/>
      <c r="H273"/>
      <c r="I273"/>
      <c r="J273"/>
      <c r="K273"/>
      <c r="L273"/>
      <c r="M273"/>
      <c r="N273"/>
      <c r="O273"/>
      <c r="P273"/>
      <c r="Q273"/>
      <c r="R273"/>
      <c r="S273"/>
      <c r="T273"/>
      <c r="U273"/>
      <c r="V273"/>
      <c r="W273"/>
      <c r="X273"/>
      <c r="Y273"/>
      <c r="Z273"/>
      <c r="AA273"/>
      <c r="AB273"/>
      <c r="AC273"/>
      <c r="AD273"/>
      <c r="AF273"/>
    </row>
    <row r="274" spans="5:32" x14ac:dyDescent="0.25">
      <c r="E274"/>
      <c r="F274"/>
      <c r="G274"/>
      <c r="H274"/>
      <c r="I274"/>
      <c r="J274"/>
      <c r="K274"/>
      <c r="L274"/>
      <c r="M274"/>
      <c r="N274"/>
      <c r="O274"/>
      <c r="P274"/>
      <c r="Q274"/>
      <c r="R274"/>
      <c r="S274"/>
      <c r="T274"/>
      <c r="U274"/>
      <c r="V274"/>
      <c r="W274"/>
      <c r="X274"/>
      <c r="Y274"/>
      <c r="Z274"/>
      <c r="AA274"/>
      <c r="AB274"/>
      <c r="AC274"/>
      <c r="AD274"/>
      <c r="AF274"/>
    </row>
    <row r="275" spans="5:32" x14ac:dyDescent="0.25">
      <c r="E275"/>
      <c r="F275"/>
      <c r="G275"/>
      <c r="H275"/>
      <c r="I275"/>
      <c r="J275"/>
      <c r="K275"/>
      <c r="L275"/>
      <c r="M275"/>
      <c r="N275"/>
      <c r="O275"/>
      <c r="P275"/>
      <c r="Q275"/>
      <c r="R275"/>
      <c r="S275"/>
      <c r="T275"/>
      <c r="U275"/>
      <c r="V275"/>
      <c r="W275"/>
      <c r="X275"/>
      <c r="Y275"/>
      <c r="Z275"/>
      <c r="AA275"/>
      <c r="AB275"/>
      <c r="AC275"/>
      <c r="AD275"/>
      <c r="AF275"/>
    </row>
    <row r="276" spans="5:32" x14ac:dyDescent="0.25">
      <c r="E276"/>
      <c r="F276"/>
      <c r="G276"/>
      <c r="H276"/>
      <c r="I276"/>
      <c r="J276"/>
      <c r="K276"/>
      <c r="L276"/>
      <c r="M276"/>
      <c r="N276"/>
      <c r="O276"/>
      <c r="P276"/>
      <c r="Q276"/>
      <c r="R276"/>
      <c r="S276"/>
      <c r="T276"/>
      <c r="U276"/>
      <c r="V276"/>
      <c r="W276"/>
      <c r="X276"/>
      <c r="Y276"/>
      <c r="Z276"/>
      <c r="AA276"/>
      <c r="AB276"/>
      <c r="AC276"/>
      <c r="AD276"/>
      <c r="AF276"/>
    </row>
    <row r="277" spans="5:32" x14ac:dyDescent="0.25">
      <c r="E277"/>
      <c r="F277"/>
      <c r="G277"/>
      <c r="H277"/>
      <c r="I277"/>
      <c r="J277"/>
      <c r="K277"/>
      <c r="L277"/>
      <c r="M277"/>
      <c r="N277"/>
      <c r="O277"/>
      <c r="P277"/>
      <c r="Q277"/>
      <c r="R277"/>
      <c r="S277"/>
      <c r="T277"/>
      <c r="U277"/>
      <c r="V277"/>
      <c r="W277"/>
      <c r="X277"/>
      <c r="Y277"/>
      <c r="Z277"/>
      <c r="AA277"/>
      <c r="AB277"/>
      <c r="AC277"/>
      <c r="AD277"/>
      <c r="AF277"/>
    </row>
    <row r="278" spans="5:32" x14ac:dyDescent="0.25">
      <c r="E278"/>
      <c r="F278"/>
      <c r="G278"/>
      <c r="H278"/>
      <c r="I278"/>
      <c r="J278"/>
      <c r="K278"/>
      <c r="L278"/>
      <c r="M278"/>
      <c r="N278"/>
      <c r="O278"/>
      <c r="P278"/>
      <c r="Q278"/>
      <c r="R278"/>
      <c r="S278"/>
      <c r="T278"/>
      <c r="U278"/>
      <c r="V278"/>
      <c r="W278"/>
      <c r="X278"/>
      <c r="Y278"/>
      <c r="Z278"/>
      <c r="AA278"/>
      <c r="AB278"/>
      <c r="AC278"/>
      <c r="AD278"/>
      <c r="AF278"/>
    </row>
    <row r="279" spans="5:32" x14ac:dyDescent="0.25">
      <c r="E279"/>
      <c r="F279"/>
      <c r="G279"/>
      <c r="H279"/>
      <c r="I279"/>
      <c r="J279"/>
      <c r="K279"/>
      <c r="L279"/>
      <c r="M279"/>
      <c r="N279"/>
      <c r="O279"/>
      <c r="P279"/>
      <c r="Q279"/>
      <c r="R279"/>
      <c r="S279"/>
      <c r="T279"/>
      <c r="U279"/>
      <c r="V279"/>
      <c r="W279"/>
      <c r="X279"/>
      <c r="Y279"/>
      <c r="Z279"/>
      <c r="AA279"/>
      <c r="AB279"/>
      <c r="AC279"/>
      <c r="AD279"/>
      <c r="AF279"/>
    </row>
    <row r="280" spans="5:32" x14ac:dyDescent="0.25">
      <c r="E280"/>
      <c r="F280"/>
      <c r="G280"/>
      <c r="H280"/>
      <c r="I280"/>
      <c r="J280"/>
      <c r="K280"/>
      <c r="L280"/>
      <c r="M280"/>
      <c r="N280"/>
      <c r="O280"/>
      <c r="P280"/>
      <c r="Q280"/>
      <c r="R280"/>
      <c r="S280"/>
      <c r="T280"/>
      <c r="U280"/>
      <c r="V280"/>
      <c r="W280"/>
      <c r="X280"/>
      <c r="Y280"/>
      <c r="Z280"/>
      <c r="AA280"/>
      <c r="AB280"/>
      <c r="AC280"/>
      <c r="AD280"/>
      <c r="AF280"/>
    </row>
    <row r="281" spans="5:32" x14ac:dyDescent="0.25">
      <c r="E281"/>
      <c r="F281"/>
      <c r="G281"/>
      <c r="H281"/>
      <c r="I281"/>
      <c r="J281"/>
      <c r="K281"/>
      <c r="L281"/>
      <c r="M281"/>
      <c r="N281"/>
      <c r="O281"/>
      <c r="P281"/>
      <c r="Q281"/>
      <c r="R281"/>
      <c r="S281"/>
      <c r="T281"/>
      <c r="U281"/>
      <c r="V281"/>
      <c r="W281"/>
      <c r="X281"/>
      <c r="Y281"/>
      <c r="Z281"/>
      <c r="AA281"/>
      <c r="AB281"/>
      <c r="AC281"/>
      <c r="AD281"/>
      <c r="AF281"/>
    </row>
    <row r="282" spans="5:32" x14ac:dyDescent="0.25">
      <c r="E282"/>
      <c r="F282"/>
      <c r="G282"/>
      <c r="H282"/>
      <c r="I282"/>
      <c r="J282"/>
      <c r="K282"/>
      <c r="L282"/>
      <c r="M282"/>
      <c r="N282"/>
      <c r="O282"/>
      <c r="P282"/>
      <c r="Q282"/>
      <c r="R282"/>
      <c r="S282"/>
      <c r="T282"/>
      <c r="U282"/>
      <c r="V282"/>
      <c r="W282"/>
      <c r="X282"/>
      <c r="Y282"/>
      <c r="Z282"/>
      <c r="AA282"/>
      <c r="AB282"/>
      <c r="AC282"/>
      <c r="AD282"/>
      <c r="AF282"/>
    </row>
    <row r="283" spans="5:32" x14ac:dyDescent="0.25">
      <c r="E283"/>
      <c r="F283"/>
      <c r="G283"/>
      <c r="H283"/>
      <c r="I283"/>
      <c r="J283"/>
      <c r="K283"/>
      <c r="L283"/>
      <c r="M283"/>
      <c r="N283"/>
      <c r="O283"/>
      <c r="P283"/>
      <c r="Q283"/>
      <c r="R283"/>
      <c r="S283"/>
      <c r="T283"/>
      <c r="U283"/>
      <c r="V283"/>
      <c r="W283"/>
      <c r="X283"/>
      <c r="Y283"/>
      <c r="Z283"/>
      <c r="AA283"/>
      <c r="AB283"/>
      <c r="AC283"/>
      <c r="AD283"/>
      <c r="AF283"/>
    </row>
    <row r="284" spans="5:32" x14ac:dyDescent="0.25">
      <c r="E284"/>
      <c r="F284"/>
      <c r="G284"/>
      <c r="H284"/>
      <c r="I284"/>
      <c r="J284"/>
      <c r="K284"/>
      <c r="L284"/>
      <c r="M284"/>
      <c r="N284"/>
      <c r="O284"/>
      <c r="P284"/>
      <c r="Q284"/>
      <c r="R284"/>
      <c r="S284"/>
      <c r="T284"/>
      <c r="U284"/>
      <c r="V284"/>
      <c r="W284"/>
      <c r="X284"/>
      <c r="Y284"/>
      <c r="Z284"/>
      <c r="AA284"/>
      <c r="AB284"/>
      <c r="AC284"/>
      <c r="AD284"/>
      <c r="AF284"/>
    </row>
    <row r="285" spans="5:32" x14ac:dyDescent="0.25">
      <c r="E285"/>
      <c r="F285"/>
      <c r="G285"/>
      <c r="H285"/>
      <c r="I285"/>
      <c r="J285"/>
      <c r="K285"/>
      <c r="L285"/>
      <c r="M285"/>
      <c r="N285"/>
      <c r="O285"/>
      <c r="P285"/>
      <c r="Q285"/>
      <c r="R285"/>
      <c r="S285"/>
      <c r="T285"/>
      <c r="U285"/>
      <c r="V285"/>
      <c r="W285"/>
      <c r="X285"/>
      <c r="Y285"/>
      <c r="Z285"/>
      <c r="AA285"/>
      <c r="AB285"/>
      <c r="AC285"/>
      <c r="AD285"/>
      <c r="AF285"/>
    </row>
    <row r="286" spans="5:32" x14ac:dyDescent="0.25">
      <c r="E286"/>
      <c r="F286"/>
      <c r="G286"/>
      <c r="H286"/>
      <c r="I286"/>
      <c r="J286"/>
      <c r="K286"/>
      <c r="L286"/>
      <c r="M286"/>
      <c r="N286"/>
      <c r="O286"/>
      <c r="P286"/>
      <c r="Q286"/>
      <c r="R286"/>
      <c r="S286"/>
      <c r="T286"/>
      <c r="U286"/>
      <c r="V286"/>
      <c r="W286"/>
      <c r="X286"/>
      <c r="Y286"/>
      <c r="Z286"/>
      <c r="AA286"/>
      <c r="AB286"/>
      <c r="AC286"/>
      <c r="AD286"/>
      <c r="AF286"/>
    </row>
    <row r="287" spans="5:32" x14ac:dyDescent="0.25">
      <c r="E287"/>
      <c r="F287"/>
      <c r="G287"/>
      <c r="H287"/>
      <c r="I287"/>
      <c r="J287"/>
      <c r="K287"/>
      <c r="L287"/>
      <c r="M287"/>
      <c r="N287"/>
      <c r="O287"/>
      <c r="P287"/>
      <c r="Q287"/>
      <c r="R287"/>
      <c r="S287"/>
      <c r="T287"/>
      <c r="U287"/>
      <c r="V287"/>
      <c r="W287"/>
      <c r="X287"/>
      <c r="Y287"/>
      <c r="Z287"/>
      <c r="AA287"/>
      <c r="AB287"/>
      <c r="AC287"/>
      <c r="AD287"/>
      <c r="AF287"/>
    </row>
    <row r="288" spans="5:32" x14ac:dyDescent="0.25">
      <c r="E288"/>
      <c r="F288"/>
      <c r="G288"/>
      <c r="H288"/>
      <c r="I288"/>
      <c r="J288"/>
      <c r="K288"/>
      <c r="L288"/>
      <c r="M288"/>
      <c r="N288"/>
      <c r="O288"/>
      <c r="P288"/>
      <c r="Q288"/>
      <c r="R288"/>
      <c r="S288"/>
      <c r="T288"/>
      <c r="U288"/>
      <c r="V288"/>
      <c r="W288"/>
      <c r="X288"/>
      <c r="Y288"/>
      <c r="Z288"/>
      <c r="AA288"/>
      <c r="AB288"/>
      <c r="AC288"/>
      <c r="AD288"/>
      <c r="AF288"/>
    </row>
    <row r="289" spans="5:32" x14ac:dyDescent="0.25">
      <c r="E289"/>
      <c r="F289"/>
      <c r="G289"/>
      <c r="H289"/>
      <c r="I289"/>
      <c r="J289"/>
      <c r="K289"/>
      <c r="L289"/>
      <c r="M289"/>
      <c r="N289"/>
      <c r="O289"/>
      <c r="P289"/>
      <c r="Q289"/>
      <c r="R289"/>
      <c r="S289"/>
      <c r="T289"/>
      <c r="U289"/>
      <c r="V289"/>
      <c r="W289"/>
      <c r="X289"/>
      <c r="Y289"/>
      <c r="Z289"/>
      <c r="AA289"/>
      <c r="AB289"/>
      <c r="AC289"/>
      <c r="AD289"/>
      <c r="AF289"/>
    </row>
    <row r="290" spans="5:32" x14ac:dyDescent="0.25">
      <c r="E290"/>
      <c r="F290"/>
      <c r="G290"/>
      <c r="H290"/>
      <c r="I290"/>
      <c r="J290"/>
      <c r="K290"/>
      <c r="L290"/>
      <c r="M290"/>
      <c r="N290"/>
      <c r="O290"/>
      <c r="P290"/>
      <c r="Q290"/>
      <c r="R290"/>
      <c r="S290"/>
      <c r="T290"/>
      <c r="U290"/>
      <c r="V290"/>
      <c r="W290"/>
      <c r="X290"/>
      <c r="Y290"/>
      <c r="Z290"/>
      <c r="AA290"/>
      <c r="AB290"/>
      <c r="AC290"/>
      <c r="AD290"/>
      <c r="AF290"/>
    </row>
    <row r="291" spans="5:32" x14ac:dyDescent="0.25">
      <c r="E291"/>
      <c r="F291"/>
      <c r="G291"/>
      <c r="H291"/>
      <c r="I291"/>
      <c r="J291"/>
      <c r="K291"/>
      <c r="L291"/>
      <c r="M291"/>
      <c r="N291"/>
      <c r="O291"/>
      <c r="P291"/>
      <c r="Q291"/>
      <c r="R291"/>
      <c r="S291"/>
      <c r="T291"/>
      <c r="U291"/>
      <c r="V291"/>
      <c r="W291"/>
      <c r="X291"/>
      <c r="Y291"/>
      <c r="Z291"/>
      <c r="AA291"/>
      <c r="AB291"/>
      <c r="AC291"/>
      <c r="AD291"/>
      <c r="AF291"/>
    </row>
    <row r="292" spans="5:32" x14ac:dyDescent="0.25">
      <c r="E292"/>
      <c r="F292"/>
      <c r="G292"/>
      <c r="H292"/>
      <c r="I292"/>
      <c r="J292"/>
      <c r="K292"/>
      <c r="L292"/>
      <c r="M292"/>
      <c r="N292"/>
      <c r="O292"/>
      <c r="P292"/>
      <c r="Q292"/>
      <c r="R292"/>
      <c r="S292"/>
      <c r="T292"/>
      <c r="U292"/>
      <c r="V292"/>
      <c r="W292"/>
      <c r="X292"/>
      <c r="Y292"/>
      <c r="Z292"/>
      <c r="AA292"/>
      <c r="AB292"/>
      <c r="AC292"/>
      <c r="AD292"/>
      <c r="AF292"/>
    </row>
    <row r="293" spans="5:32" x14ac:dyDescent="0.25">
      <c r="E293"/>
      <c r="F293"/>
      <c r="G293"/>
      <c r="H293"/>
      <c r="I293"/>
      <c r="J293"/>
      <c r="K293"/>
      <c r="L293"/>
      <c r="M293"/>
      <c r="N293"/>
      <c r="O293"/>
      <c r="P293"/>
      <c r="Q293"/>
      <c r="R293"/>
      <c r="S293"/>
      <c r="T293"/>
      <c r="U293"/>
      <c r="V293"/>
      <c r="W293"/>
      <c r="X293"/>
      <c r="Y293"/>
      <c r="Z293"/>
      <c r="AA293"/>
      <c r="AB293"/>
      <c r="AC293"/>
      <c r="AD293"/>
      <c r="AF293"/>
    </row>
    <row r="294" spans="5:32" x14ac:dyDescent="0.25">
      <c r="E294"/>
      <c r="F294"/>
      <c r="G294"/>
      <c r="H294"/>
      <c r="I294"/>
      <c r="J294"/>
      <c r="K294"/>
      <c r="L294"/>
      <c r="M294"/>
      <c r="N294"/>
      <c r="O294"/>
      <c r="P294"/>
      <c r="Q294"/>
      <c r="R294"/>
      <c r="S294"/>
      <c r="T294"/>
      <c r="U294"/>
      <c r="V294"/>
      <c r="W294"/>
      <c r="X294"/>
      <c r="Y294"/>
      <c r="Z294"/>
      <c r="AA294"/>
      <c r="AB294"/>
      <c r="AC294"/>
      <c r="AD294"/>
      <c r="AF294"/>
    </row>
    <row r="295" spans="5:32" x14ac:dyDescent="0.25">
      <c r="E295"/>
      <c r="F295"/>
      <c r="G295"/>
      <c r="H295"/>
      <c r="I295"/>
      <c r="J295"/>
      <c r="K295"/>
      <c r="L295"/>
      <c r="M295"/>
      <c r="N295"/>
      <c r="O295"/>
      <c r="P295"/>
      <c r="Q295"/>
      <c r="R295"/>
      <c r="S295"/>
      <c r="T295"/>
      <c r="U295"/>
      <c r="V295"/>
      <c r="W295"/>
      <c r="X295"/>
      <c r="Y295"/>
      <c r="Z295"/>
      <c r="AA295"/>
      <c r="AB295"/>
      <c r="AC295"/>
      <c r="AD295"/>
      <c r="AF295"/>
    </row>
    <row r="296" spans="5:32" x14ac:dyDescent="0.25">
      <c r="E296"/>
      <c r="F296"/>
      <c r="G296"/>
      <c r="H296"/>
      <c r="I296"/>
      <c r="J296"/>
      <c r="K296"/>
      <c r="L296"/>
      <c r="M296"/>
      <c r="N296"/>
      <c r="O296"/>
      <c r="P296"/>
      <c r="Q296"/>
      <c r="R296"/>
      <c r="S296"/>
      <c r="T296"/>
      <c r="U296"/>
      <c r="V296"/>
      <c r="W296"/>
      <c r="X296"/>
      <c r="Y296"/>
      <c r="Z296"/>
      <c r="AA296"/>
      <c r="AB296"/>
      <c r="AC296"/>
      <c r="AD296"/>
      <c r="AF296"/>
    </row>
    <row r="297" spans="5:32" x14ac:dyDescent="0.25">
      <c r="E297"/>
      <c r="F297"/>
      <c r="G297"/>
      <c r="H297"/>
      <c r="I297"/>
      <c r="J297"/>
      <c r="K297"/>
      <c r="L297"/>
      <c r="M297"/>
      <c r="N297"/>
      <c r="O297"/>
      <c r="P297"/>
      <c r="Q297"/>
      <c r="R297"/>
      <c r="S297"/>
      <c r="T297"/>
      <c r="U297"/>
      <c r="V297"/>
      <c r="W297"/>
      <c r="X297"/>
      <c r="Y297"/>
      <c r="Z297"/>
      <c r="AA297"/>
      <c r="AB297"/>
      <c r="AC297"/>
      <c r="AD297"/>
      <c r="AF297"/>
    </row>
    <row r="298" spans="5:32" x14ac:dyDescent="0.25">
      <c r="E298"/>
      <c r="F298"/>
      <c r="G298"/>
      <c r="H298"/>
      <c r="I298"/>
      <c r="J298"/>
      <c r="K298"/>
      <c r="L298"/>
      <c r="M298"/>
      <c r="N298"/>
      <c r="O298"/>
      <c r="P298"/>
      <c r="Q298"/>
      <c r="R298"/>
      <c r="S298"/>
      <c r="T298"/>
      <c r="U298"/>
      <c r="V298"/>
      <c r="W298"/>
      <c r="X298"/>
      <c r="Y298"/>
      <c r="Z298"/>
      <c r="AA298"/>
      <c r="AB298"/>
      <c r="AC298"/>
      <c r="AD298"/>
      <c r="AF298"/>
    </row>
    <row r="299" spans="5:32" x14ac:dyDescent="0.25">
      <c r="E299"/>
      <c r="F299"/>
      <c r="G299"/>
      <c r="H299"/>
      <c r="I299"/>
      <c r="J299"/>
      <c r="K299"/>
      <c r="L299"/>
      <c r="M299"/>
      <c r="N299"/>
      <c r="O299"/>
      <c r="P299"/>
      <c r="Q299"/>
      <c r="R299"/>
      <c r="S299"/>
      <c r="T299"/>
      <c r="U299"/>
      <c r="V299"/>
      <c r="W299"/>
      <c r="X299"/>
      <c r="Y299"/>
      <c r="Z299"/>
      <c r="AA299"/>
      <c r="AB299"/>
      <c r="AC299"/>
      <c r="AD299"/>
      <c r="AF299"/>
    </row>
    <row r="300" spans="5:32" x14ac:dyDescent="0.25">
      <c r="E300"/>
      <c r="F300"/>
      <c r="G300"/>
      <c r="H300"/>
      <c r="I300"/>
      <c r="J300"/>
      <c r="K300"/>
      <c r="L300"/>
      <c r="M300"/>
      <c r="N300"/>
      <c r="O300"/>
      <c r="P300"/>
      <c r="Q300"/>
      <c r="R300"/>
      <c r="S300"/>
      <c r="T300"/>
      <c r="U300"/>
      <c r="V300"/>
      <c r="W300"/>
      <c r="X300"/>
      <c r="Y300"/>
      <c r="Z300"/>
      <c r="AA300"/>
      <c r="AB300"/>
      <c r="AC300"/>
      <c r="AD300"/>
      <c r="AF300"/>
    </row>
    <row r="301" spans="5:32" x14ac:dyDescent="0.25">
      <c r="E301"/>
      <c r="F301"/>
      <c r="G301"/>
      <c r="H301"/>
      <c r="I301"/>
      <c r="J301"/>
      <c r="K301"/>
      <c r="L301"/>
      <c r="M301"/>
      <c r="N301"/>
      <c r="O301"/>
      <c r="P301"/>
      <c r="Q301"/>
      <c r="R301"/>
      <c r="S301"/>
      <c r="T301"/>
      <c r="U301"/>
      <c r="V301"/>
      <c r="W301"/>
      <c r="X301"/>
      <c r="Y301"/>
      <c r="Z301"/>
      <c r="AA301"/>
      <c r="AB301"/>
      <c r="AC301"/>
      <c r="AD301"/>
      <c r="AF301"/>
    </row>
    <row r="302" spans="5:32" x14ac:dyDescent="0.25">
      <c r="E302"/>
      <c r="F302"/>
      <c r="G302"/>
      <c r="H302"/>
      <c r="I302"/>
      <c r="J302"/>
      <c r="K302"/>
      <c r="L302"/>
      <c r="M302"/>
      <c r="N302"/>
      <c r="O302"/>
      <c r="P302"/>
      <c r="Q302"/>
      <c r="R302"/>
      <c r="S302"/>
      <c r="T302"/>
      <c r="U302"/>
      <c r="V302"/>
      <c r="W302"/>
      <c r="X302"/>
      <c r="Y302"/>
      <c r="Z302"/>
      <c r="AA302"/>
      <c r="AB302"/>
      <c r="AC302"/>
      <c r="AD302"/>
      <c r="AF302"/>
    </row>
    <row r="303" spans="5:32" x14ac:dyDescent="0.25">
      <c r="E303"/>
      <c r="F303"/>
      <c r="G303"/>
      <c r="H303"/>
      <c r="I303"/>
      <c r="J303"/>
      <c r="K303"/>
      <c r="L303"/>
      <c r="M303"/>
      <c r="N303"/>
      <c r="O303"/>
      <c r="P303"/>
      <c r="Q303"/>
      <c r="R303"/>
      <c r="S303"/>
      <c r="T303"/>
      <c r="U303"/>
      <c r="V303"/>
      <c r="W303"/>
      <c r="X303"/>
      <c r="Y303"/>
      <c r="Z303"/>
      <c r="AA303"/>
      <c r="AB303"/>
      <c r="AC303"/>
      <c r="AD303"/>
      <c r="AF303"/>
    </row>
    <row r="304" spans="5:32" x14ac:dyDescent="0.25">
      <c r="E304"/>
      <c r="F304"/>
      <c r="G304"/>
      <c r="H304"/>
      <c r="I304"/>
      <c r="J304"/>
      <c r="K304"/>
      <c r="L304"/>
      <c r="M304"/>
      <c r="N304"/>
      <c r="O304"/>
      <c r="P304"/>
      <c r="Q304"/>
      <c r="R304"/>
      <c r="S304"/>
      <c r="T304"/>
      <c r="U304"/>
      <c r="V304"/>
      <c r="W304"/>
      <c r="X304"/>
      <c r="Y304"/>
      <c r="Z304"/>
      <c r="AA304"/>
      <c r="AB304"/>
      <c r="AC304"/>
      <c r="AD304"/>
      <c r="AF304"/>
    </row>
    <row r="305" spans="5:32" x14ac:dyDescent="0.25">
      <c r="E305"/>
      <c r="F305"/>
      <c r="G305"/>
      <c r="H305"/>
      <c r="I305"/>
      <c r="J305"/>
      <c r="K305"/>
      <c r="L305"/>
      <c r="M305"/>
      <c r="N305"/>
      <c r="O305"/>
      <c r="P305"/>
      <c r="Q305"/>
      <c r="R305"/>
      <c r="S305"/>
      <c r="T305"/>
      <c r="U305"/>
      <c r="V305"/>
      <c r="W305"/>
      <c r="X305"/>
      <c r="Y305"/>
      <c r="Z305"/>
      <c r="AA305"/>
      <c r="AB305"/>
      <c r="AC305"/>
      <c r="AD305"/>
      <c r="AF305"/>
    </row>
    <row r="306" spans="5:32" x14ac:dyDescent="0.25">
      <c r="E306"/>
      <c r="F306"/>
      <c r="G306"/>
      <c r="H306"/>
      <c r="I306"/>
      <c r="J306"/>
      <c r="K306"/>
      <c r="L306"/>
      <c r="M306"/>
      <c r="N306"/>
      <c r="O306"/>
      <c r="P306"/>
      <c r="Q306"/>
      <c r="R306"/>
      <c r="S306"/>
      <c r="T306"/>
      <c r="U306"/>
      <c r="V306"/>
      <c r="W306"/>
      <c r="X306"/>
      <c r="Y306"/>
      <c r="Z306"/>
      <c r="AA306"/>
      <c r="AB306"/>
      <c r="AC306"/>
      <c r="AD306"/>
      <c r="AF306"/>
    </row>
    <row r="307" spans="5:32" x14ac:dyDescent="0.25">
      <c r="E307"/>
      <c r="F307"/>
      <c r="G307"/>
      <c r="H307"/>
      <c r="I307"/>
      <c r="J307"/>
      <c r="K307"/>
      <c r="L307"/>
      <c r="M307"/>
      <c r="N307"/>
      <c r="O307"/>
      <c r="P307"/>
      <c r="Q307"/>
      <c r="R307"/>
      <c r="S307"/>
      <c r="T307"/>
      <c r="U307"/>
      <c r="V307"/>
      <c r="W307"/>
      <c r="X307"/>
      <c r="Y307"/>
      <c r="Z307"/>
      <c r="AA307"/>
      <c r="AB307"/>
      <c r="AC307"/>
      <c r="AD307"/>
      <c r="AF307"/>
    </row>
    <row r="308" spans="5:32" x14ac:dyDescent="0.25">
      <c r="E308"/>
      <c r="F308"/>
      <c r="G308"/>
      <c r="H308"/>
      <c r="I308"/>
      <c r="J308"/>
      <c r="K308"/>
      <c r="L308"/>
      <c r="M308"/>
      <c r="N308"/>
      <c r="O308"/>
      <c r="P308"/>
      <c r="Q308"/>
      <c r="R308"/>
      <c r="S308"/>
      <c r="T308"/>
      <c r="U308"/>
      <c r="V308"/>
      <c r="W308"/>
      <c r="X308"/>
      <c r="Y308"/>
      <c r="Z308"/>
      <c r="AA308"/>
      <c r="AB308"/>
      <c r="AC308"/>
      <c r="AD308"/>
      <c r="AF308"/>
    </row>
    <row r="309" spans="5:32" x14ac:dyDescent="0.25">
      <c r="E309"/>
      <c r="F309"/>
      <c r="G309"/>
      <c r="H309"/>
      <c r="I309"/>
      <c r="J309"/>
      <c r="K309"/>
      <c r="L309"/>
      <c r="M309"/>
      <c r="N309"/>
      <c r="O309"/>
      <c r="P309"/>
      <c r="Q309"/>
      <c r="R309"/>
      <c r="S309"/>
      <c r="T309"/>
      <c r="U309"/>
      <c r="V309"/>
      <c r="W309"/>
      <c r="X309"/>
      <c r="Y309"/>
      <c r="Z309"/>
      <c r="AA309"/>
      <c r="AB309"/>
      <c r="AC309"/>
      <c r="AD309"/>
      <c r="AF309"/>
    </row>
    <row r="310" spans="5:32" x14ac:dyDescent="0.25">
      <c r="E310"/>
      <c r="F310"/>
      <c r="G310"/>
      <c r="H310"/>
      <c r="I310"/>
      <c r="J310"/>
      <c r="K310"/>
      <c r="L310"/>
      <c r="M310"/>
      <c r="N310"/>
      <c r="O310"/>
      <c r="P310"/>
      <c r="Q310"/>
      <c r="R310"/>
      <c r="S310"/>
      <c r="T310"/>
      <c r="U310"/>
      <c r="V310"/>
      <c r="W310"/>
      <c r="X310"/>
      <c r="Y310"/>
      <c r="Z310"/>
      <c r="AA310"/>
      <c r="AB310"/>
      <c r="AC310"/>
      <c r="AD310"/>
      <c r="AF310"/>
    </row>
    <row r="311" spans="5:32" x14ac:dyDescent="0.25">
      <c r="E311"/>
      <c r="F311"/>
      <c r="G311"/>
      <c r="H311"/>
      <c r="I311"/>
      <c r="J311"/>
      <c r="K311"/>
      <c r="L311"/>
      <c r="M311"/>
      <c r="N311"/>
      <c r="O311"/>
      <c r="P311"/>
      <c r="Q311"/>
      <c r="R311"/>
      <c r="S311"/>
      <c r="T311"/>
      <c r="U311"/>
      <c r="V311"/>
      <c r="W311"/>
      <c r="X311"/>
      <c r="Y311"/>
      <c r="Z311"/>
      <c r="AA311"/>
      <c r="AB311"/>
      <c r="AC311"/>
      <c r="AD311"/>
      <c r="AF311"/>
    </row>
    <row r="312" spans="5:32" x14ac:dyDescent="0.25">
      <c r="E312"/>
      <c r="F312"/>
      <c r="G312"/>
      <c r="H312"/>
      <c r="I312"/>
      <c r="J312"/>
      <c r="K312"/>
      <c r="L312"/>
      <c r="M312"/>
      <c r="N312"/>
      <c r="O312"/>
      <c r="P312"/>
      <c r="Q312"/>
      <c r="R312"/>
      <c r="S312"/>
      <c r="T312"/>
      <c r="U312"/>
      <c r="V312"/>
      <c r="W312"/>
      <c r="X312"/>
      <c r="Y312"/>
      <c r="Z312"/>
      <c r="AA312"/>
      <c r="AB312"/>
      <c r="AC312"/>
      <c r="AD312"/>
      <c r="AF312"/>
    </row>
    <row r="313" spans="5:32" x14ac:dyDescent="0.25">
      <c r="E313"/>
      <c r="F313"/>
      <c r="G313"/>
      <c r="H313"/>
      <c r="I313"/>
      <c r="J313"/>
      <c r="K313"/>
      <c r="L313"/>
      <c r="M313"/>
      <c r="N313"/>
      <c r="O313"/>
      <c r="P313"/>
      <c r="Q313"/>
      <c r="R313"/>
      <c r="S313"/>
      <c r="T313"/>
      <c r="U313"/>
      <c r="V313"/>
      <c r="W313"/>
      <c r="X313"/>
      <c r="Y313"/>
      <c r="Z313"/>
      <c r="AA313"/>
      <c r="AB313"/>
      <c r="AC313"/>
      <c r="AD313"/>
      <c r="AF313"/>
    </row>
    <row r="314" spans="5:32" x14ac:dyDescent="0.25">
      <c r="E314"/>
      <c r="F314"/>
      <c r="G314"/>
      <c r="H314"/>
      <c r="I314"/>
      <c r="J314"/>
      <c r="K314"/>
      <c r="L314"/>
      <c r="M314"/>
      <c r="N314"/>
      <c r="O314"/>
      <c r="P314"/>
      <c r="Q314"/>
      <c r="R314"/>
      <c r="S314"/>
      <c r="T314"/>
      <c r="U314"/>
      <c r="V314"/>
      <c r="W314"/>
      <c r="X314"/>
      <c r="Y314"/>
      <c r="Z314"/>
      <c r="AA314"/>
      <c r="AB314"/>
      <c r="AC314"/>
      <c r="AD314"/>
      <c r="AF314"/>
    </row>
    <row r="315" spans="5:32" x14ac:dyDescent="0.25">
      <c r="E315"/>
      <c r="F315"/>
      <c r="G315"/>
      <c r="H315"/>
      <c r="I315"/>
      <c r="J315"/>
      <c r="K315"/>
      <c r="L315"/>
      <c r="M315"/>
      <c r="N315"/>
      <c r="O315"/>
      <c r="P315"/>
      <c r="Q315"/>
      <c r="R315"/>
      <c r="S315"/>
      <c r="T315"/>
      <c r="U315"/>
      <c r="V315"/>
      <c r="W315"/>
      <c r="X315"/>
      <c r="Y315"/>
      <c r="Z315"/>
      <c r="AA315"/>
      <c r="AB315"/>
      <c r="AC315"/>
      <c r="AD315"/>
      <c r="AF315"/>
    </row>
    <row r="316" spans="5:32" x14ac:dyDescent="0.25">
      <c r="E316"/>
      <c r="F316"/>
      <c r="G316"/>
      <c r="H316"/>
      <c r="I316"/>
      <c r="J316"/>
      <c r="K316"/>
      <c r="L316"/>
      <c r="M316"/>
      <c r="N316"/>
      <c r="O316"/>
      <c r="P316"/>
      <c r="Q316"/>
      <c r="R316"/>
      <c r="S316"/>
      <c r="T316"/>
      <c r="U316"/>
      <c r="V316"/>
      <c r="W316"/>
      <c r="X316"/>
      <c r="Y316"/>
      <c r="Z316"/>
      <c r="AA316"/>
      <c r="AB316"/>
      <c r="AC316"/>
      <c r="AD316"/>
      <c r="AF316"/>
    </row>
    <row r="317" spans="5:32" x14ac:dyDescent="0.25">
      <c r="E317"/>
      <c r="F317"/>
      <c r="G317"/>
      <c r="H317"/>
      <c r="I317"/>
      <c r="J317"/>
      <c r="K317"/>
      <c r="L317"/>
      <c r="M317"/>
      <c r="N317"/>
      <c r="O317"/>
      <c r="P317"/>
      <c r="Q317"/>
      <c r="R317"/>
      <c r="S317"/>
      <c r="T317"/>
      <c r="U317"/>
      <c r="V317"/>
      <c r="W317"/>
      <c r="X317"/>
      <c r="Y317"/>
      <c r="Z317"/>
      <c r="AA317"/>
      <c r="AB317"/>
      <c r="AC317"/>
      <c r="AD317"/>
      <c r="AF317"/>
    </row>
    <row r="318" spans="5:32" x14ac:dyDescent="0.25">
      <c r="E318"/>
      <c r="F318"/>
      <c r="G318"/>
      <c r="H318"/>
      <c r="I318"/>
      <c r="J318"/>
      <c r="K318"/>
      <c r="L318"/>
      <c r="M318"/>
      <c r="N318"/>
      <c r="O318"/>
      <c r="P318"/>
      <c r="Q318"/>
      <c r="R318"/>
      <c r="S318"/>
      <c r="T318"/>
      <c r="U318"/>
      <c r="V318"/>
      <c r="W318"/>
      <c r="X318"/>
      <c r="Y318"/>
      <c r="Z318"/>
      <c r="AA318"/>
      <c r="AB318"/>
      <c r="AC318"/>
      <c r="AD318"/>
      <c r="AF318"/>
    </row>
    <row r="319" spans="5:32" x14ac:dyDescent="0.25">
      <c r="E319"/>
      <c r="F319"/>
      <c r="G319"/>
      <c r="H319"/>
      <c r="I319"/>
      <c r="J319"/>
      <c r="K319"/>
      <c r="L319"/>
      <c r="M319"/>
      <c r="N319"/>
      <c r="O319"/>
      <c r="P319"/>
      <c r="Q319"/>
      <c r="R319"/>
      <c r="S319"/>
      <c r="T319"/>
      <c r="U319"/>
      <c r="V319"/>
      <c r="W319"/>
      <c r="X319"/>
      <c r="Y319"/>
      <c r="Z319"/>
      <c r="AA319"/>
      <c r="AB319"/>
      <c r="AC319"/>
      <c r="AD319"/>
      <c r="AF319"/>
    </row>
    <row r="320" spans="5:32" x14ac:dyDescent="0.25">
      <c r="E320"/>
      <c r="F320"/>
      <c r="G320"/>
      <c r="H320"/>
      <c r="I320"/>
      <c r="J320"/>
      <c r="K320"/>
      <c r="L320"/>
      <c r="M320"/>
      <c r="N320"/>
      <c r="O320"/>
      <c r="P320"/>
      <c r="Q320"/>
      <c r="R320"/>
      <c r="S320"/>
      <c r="T320"/>
      <c r="U320"/>
      <c r="V320"/>
      <c r="W320"/>
      <c r="X320"/>
      <c r="Y320"/>
      <c r="Z320"/>
      <c r="AA320"/>
      <c r="AB320"/>
      <c r="AC320"/>
      <c r="AD320"/>
      <c r="AF320"/>
    </row>
    <row r="321" spans="5:32" x14ac:dyDescent="0.25">
      <c r="E321"/>
      <c r="F321"/>
      <c r="G321"/>
      <c r="H321"/>
      <c r="I321"/>
      <c r="J321"/>
      <c r="K321"/>
      <c r="L321"/>
      <c r="M321"/>
      <c r="N321"/>
      <c r="O321"/>
      <c r="P321"/>
      <c r="Q321"/>
      <c r="R321"/>
      <c r="S321"/>
      <c r="T321"/>
      <c r="U321"/>
      <c r="V321"/>
      <c r="W321"/>
      <c r="X321"/>
      <c r="Y321"/>
      <c r="Z321"/>
      <c r="AA321"/>
      <c r="AB321"/>
      <c r="AC321"/>
      <c r="AD321"/>
      <c r="AF321"/>
    </row>
    <row r="322" spans="5:32" x14ac:dyDescent="0.25">
      <c r="E322"/>
      <c r="F322"/>
      <c r="G322"/>
      <c r="H322"/>
      <c r="I322"/>
      <c r="J322"/>
      <c r="K322"/>
      <c r="L322"/>
      <c r="M322"/>
      <c r="N322"/>
      <c r="O322"/>
      <c r="P322"/>
      <c r="Q322"/>
      <c r="R322"/>
      <c r="S322"/>
      <c r="T322"/>
      <c r="U322"/>
      <c r="V322"/>
      <c r="W322"/>
      <c r="X322"/>
      <c r="Y322"/>
      <c r="Z322"/>
      <c r="AA322"/>
      <c r="AB322"/>
      <c r="AC322"/>
      <c r="AD322"/>
      <c r="AF322"/>
    </row>
    <row r="323" spans="5:32" x14ac:dyDescent="0.25">
      <c r="E323"/>
      <c r="F323"/>
      <c r="G323"/>
      <c r="H323"/>
      <c r="I323"/>
      <c r="J323"/>
      <c r="K323"/>
      <c r="L323"/>
      <c r="M323"/>
      <c r="N323"/>
      <c r="O323"/>
      <c r="P323"/>
      <c r="Q323"/>
      <c r="R323"/>
      <c r="S323"/>
      <c r="T323"/>
      <c r="U323"/>
      <c r="V323"/>
      <c r="W323"/>
      <c r="X323"/>
      <c r="Y323"/>
      <c r="Z323"/>
      <c r="AA323"/>
      <c r="AB323"/>
      <c r="AC323"/>
      <c r="AD323"/>
      <c r="AF323"/>
    </row>
    <row r="324" spans="5:32" x14ac:dyDescent="0.25">
      <c r="E324"/>
      <c r="F324"/>
      <c r="G324"/>
      <c r="H324"/>
      <c r="I324"/>
      <c r="J324"/>
      <c r="K324"/>
      <c r="L324"/>
      <c r="M324"/>
      <c r="N324"/>
      <c r="O324"/>
      <c r="P324"/>
      <c r="Q324"/>
      <c r="R324"/>
      <c r="S324"/>
      <c r="T324"/>
      <c r="U324"/>
      <c r="V324"/>
      <c r="W324"/>
      <c r="X324"/>
      <c r="Y324"/>
      <c r="Z324"/>
      <c r="AA324"/>
      <c r="AB324"/>
      <c r="AC324"/>
      <c r="AD324"/>
      <c r="AF324"/>
    </row>
    <row r="325" spans="5:32" x14ac:dyDescent="0.25">
      <c r="E325"/>
      <c r="F325"/>
      <c r="G325"/>
      <c r="H325"/>
      <c r="I325"/>
      <c r="J325"/>
      <c r="K325"/>
      <c r="L325"/>
      <c r="M325"/>
      <c r="N325"/>
      <c r="O325"/>
      <c r="P325"/>
      <c r="Q325"/>
      <c r="R325"/>
      <c r="S325"/>
      <c r="T325"/>
      <c r="U325"/>
      <c r="V325"/>
      <c r="W325"/>
      <c r="X325"/>
      <c r="Y325"/>
      <c r="Z325"/>
      <c r="AA325"/>
      <c r="AB325"/>
      <c r="AC325"/>
      <c r="AD325"/>
      <c r="AF325"/>
    </row>
    <row r="326" spans="5:32" x14ac:dyDescent="0.25">
      <c r="E326"/>
      <c r="F326"/>
      <c r="G326"/>
      <c r="H326"/>
      <c r="I326"/>
      <c r="J326"/>
      <c r="K326"/>
      <c r="L326"/>
      <c r="M326"/>
      <c r="N326"/>
      <c r="O326"/>
      <c r="P326"/>
      <c r="Q326"/>
      <c r="R326"/>
      <c r="S326"/>
      <c r="T326"/>
      <c r="U326"/>
      <c r="V326"/>
      <c r="W326"/>
      <c r="X326"/>
      <c r="Y326"/>
      <c r="Z326"/>
      <c r="AA326"/>
      <c r="AB326"/>
      <c r="AC326"/>
      <c r="AD326"/>
      <c r="AF326"/>
    </row>
    <row r="327" spans="5:32" x14ac:dyDescent="0.25">
      <c r="E327"/>
      <c r="F327"/>
      <c r="G327"/>
      <c r="H327"/>
      <c r="I327"/>
      <c r="J327"/>
      <c r="K327"/>
      <c r="L327"/>
      <c r="M327"/>
      <c r="N327"/>
      <c r="O327"/>
      <c r="P327"/>
      <c r="Q327"/>
      <c r="R327"/>
      <c r="S327"/>
      <c r="T327"/>
      <c r="U327"/>
      <c r="V327"/>
      <c r="W327"/>
      <c r="X327"/>
      <c r="Y327"/>
      <c r="Z327"/>
      <c r="AA327"/>
      <c r="AB327"/>
      <c r="AC327"/>
      <c r="AD327"/>
      <c r="AF327"/>
    </row>
    <row r="328" spans="5:32" x14ac:dyDescent="0.25">
      <c r="E328"/>
      <c r="F328"/>
      <c r="G328"/>
      <c r="H328"/>
      <c r="I328"/>
      <c r="J328"/>
      <c r="K328"/>
      <c r="L328"/>
      <c r="M328"/>
      <c r="N328"/>
      <c r="O328"/>
      <c r="P328"/>
      <c r="Q328"/>
      <c r="R328"/>
      <c r="S328"/>
      <c r="T328"/>
      <c r="U328"/>
      <c r="V328"/>
      <c r="W328"/>
      <c r="X328"/>
      <c r="Y328"/>
      <c r="Z328"/>
      <c r="AA328"/>
      <c r="AB328"/>
      <c r="AC328"/>
      <c r="AD328"/>
      <c r="AF328"/>
    </row>
    <row r="329" spans="5:32" x14ac:dyDescent="0.25">
      <c r="E329"/>
      <c r="F329"/>
      <c r="G329"/>
      <c r="H329"/>
      <c r="I329"/>
      <c r="J329"/>
      <c r="K329"/>
      <c r="L329"/>
      <c r="M329"/>
      <c r="N329"/>
      <c r="O329"/>
      <c r="P329"/>
      <c r="Q329"/>
      <c r="R329"/>
      <c r="S329"/>
      <c r="T329"/>
      <c r="U329"/>
      <c r="V329"/>
      <c r="W329"/>
      <c r="X329"/>
      <c r="Y329"/>
      <c r="Z329"/>
      <c r="AA329"/>
      <c r="AB329"/>
      <c r="AC329"/>
      <c r="AD329"/>
      <c r="AF329"/>
    </row>
    <row r="330" spans="5:32" x14ac:dyDescent="0.25">
      <c r="E330"/>
      <c r="F330"/>
      <c r="G330"/>
      <c r="H330"/>
      <c r="I330"/>
      <c r="J330"/>
      <c r="K330"/>
      <c r="L330"/>
      <c r="M330"/>
      <c r="N330"/>
      <c r="O330"/>
      <c r="P330"/>
      <c r="Q330"/>
      <c r="R330"/>
      <c r="S330"/>
      <c r="T330"/>
      <c r="U330"/>
      <c r="V330"/>
      <c r="W330"/>
      <c r="X330"/>
      <c r="Y330"/>
      <c r="Z330"/>
      <c r="AA330"/>
      <c r="AB330"/>
      <c r="AC330"/>
      <c r="AD330"/>
      <c r="AF330"/>
    </row>
    <row r="331" spans="5:32" x14ac:dyDescent="0.25">
      <c r="E331"/>
      <c r="F331"/>
      <c r="G331"/>
      <c r="H331"/>
      <c r="I331"/>
      <c r="J331"/>
      <c r="K331"/>
      <c r="L331"/>
      <c r="M331"/>
      <c r="N331"/>
      <c r="O331"/>
      <c r="P331"/>
      <c r="Q331"/>
      <c r="R331"/>
      <c r="S331"/>
      <c r="T331"/>
      <c r="U331"/>
      <c r="V331"/>
      <c r="W331"/>
      <c r="X331"/>
      <c r="Y331"/>
      <c r="Z331"/>
      <c r="AA331"/>
      <c r="AB331"/>
      <c r="AC331"/>
      <c r="AD331"/>
      <c r="AF331"/>
    </row>
    <row r="332" spans="5:32" x14ac:dyDescent="0.25">
      <c r="E332"/>
      <c r="F332"/>
      <c r="G332"/>
      <c r="H332"/>
      <c r="I332"/>
      <c r="J332"/>
      <c r="K332"/>
      <c r="L332"/>
      <c r="M332"/>
      <c r="N332"/>
      <c r="O332"/>
      <c r="P332"/>
      <c r="Q332"/>
      <c r="R332"/>
      <c r="S332"/>
      <c r="T332"/>
      <c r="U332"/>
      <c r="V332"/>
      <c r="W332"/>
      <c r="X332"/>
      <c r="Y332"/>
      <c r="Z332"/>
      <c r="AA332"/>
      <c r="AB332"/>
      <c r="AC332"/>
      <c r="AD332"/>
      <c r="AF332"/>
    </row>
    <row r="333" spans="5:32" x14ac:dyDescent="0.25">
      <c r="E333"/>
      <c r="F333"/>
      <c r="G333"/>
      <c r="H333"/>
      <c r="I333"/>
      <c r="J333"/>
      <c r="K333"/>
      <c r="L333"/>
      <c r="M333"/>
      <c r="N333"/>
      <c r="O333"/>
      <c r="P333"/>
      <c r="Q333"/>
      <c r="R333"/>
      <c r="S333"/>
      <c r="T333"/>
      <c r="U333"/>
      <c r="V333"/>
      <c r="W333"/>
      <c r="X333"/>
      <c r="Y333"/>
      <c r="Z333"/>
      <c r="AA333"/>
      <c r="AB333"/>
      <c r="AC333"/>
      <c r="AD333"/>
      <c r="AF333"/>
    </row>
    <row r="334" spans="5:32" x14ac:dyDescent="0.25">
      <c r="E334"/>
      <c r="F334"/>
      <c r="G334"/>
      <c r="H334"/>
      <c r="I334"/>
      <c r="J334"/>
      <c r="K334"/>
      <c r="L334"/>
      <c r="M334"/>
      <c r="N334"/>
      <c r="O334"/>
      <c r="P334"/>
      <c r="Q334"/>
      <c r="R334"/>
      <c r="S334"/>
      <c r="T334"/>
      <c r="U334"/>
      <c r="V334"/>
      <c r="W334"/>
      <c r="X334"/>
      <c r="Y334"/>
      <c r="Z334"/>
      <c r="AA334"/>
      <c r="AB334"/>
      <c r="AC334"/>
      <c r="AD334"/>
      <c r="AF334"/>
    </row>
    <row r="335" spans="5:32" x14ac:dyDescent="0.25">
      <c r="E335"/>
      <c r="F335"/>
      <c r="G335"/>
      <c r="H335"/>
      <c r="I335"/>
      <c r="J335"/>
      <c r="K335"/>
      <c r="L335"/>
      <c r="M335"/>
      <c r="N335"/>
      <c r="O335"/>
      <c r="P335"/>
      <c r="Q335"/>
      <c r="R335"/>
      <c r="S335"/>
      <c r="T335"/>
      <c r="U335"/>
      <c r="V335"/>
      <c r="W335"/>
      <c r="X335"/>
      <c r="Y335"/>
      <c r="Z335"/>
      <c r="AA335"/>
      <c r="AB335"/>
      <c r="AC335"/>
      <c r="AD335"/>
      <c r="AF335"/>
    </row>
    <row r="336" spans="5:32" x14ac:dyDescent="0.25">
      <c r="E336"/>
      <c r="F336"/>
      <c r="G336"/>
      <c r="H336"/>
      <c r="I336"/>
      <c r="J336"/>
      <c r="K336"/>
      <c r="L336"/>
      <c r="M336"/>
      <c r="N336"/>
      <c r="O336"/>
      <c r="P336"/>
      <c r="Q336"/>
      <c r="R336"/>
      <c r="S336"/>
      <c r="T336"/>
      <c r="U336"/>
      <c r="V336"/>
      <c r="W336"/>
      <c r="X336"/>
      <c r="Y336"/>
      <c r="Z336"/>
      <c r="AA336"/>
      <c r="AB336"/>
      <c r="AC336"/>
      <c r="AD336"/>
      <c r="AF336"/>
    </row>
    <row r="337" spans="5:32" x14ac:dyDescent="0.25">
      <c r="E337"/>
      <c r="F337"/>
      <c r="G337"/>
      <c r="H337"/>
      <c r="I337"/>
      <c r="J337"/>
      <c r="K337"/>
      <c r="L337"/>
      <c r="M337"/>
      <c r="N337"/>
      <c r="O337"/>
      <c r="P337"/>
      <c r="Q337"/>
      <c r="R337"/>
      <c r="S337"/>
      <c r="T337"/>
      <c r="U337"/>
      <c r="V337"/>
      <c r="W337"/>
      <c r="X337"/>
      <c r="Y337"/>
      <c r="Z337"/>
      <c r="AA337"/>
      <c r="AB337"/>
      <c r="AC337"/>
      <c r="AD337"/>
      <c r="AF337"/>
    </row>
    <row r="338" spans="5:32" x14ac:dyDescent="0.25">
      <c r="E338"/>
      <c r="F338"/>
      <c r="G338"/>
      <c r="H338"/>
      <c r="I338"/>
      <c r="J338"/>
      <c r="K338"/>
      <c r="L338"/>
      <c r="M338"/>
      <c r="N338"/>
      <c r="O338"/>
      <c r="P338"/>
      <c r="Q338"/>
      <c r="R338"/>
      <c r="S338"/>
      <c r="T338"/>
      <c r="U338"/>
      <c r="V338"/>
      <c r="W338"/>
      <c r="X338"/>
      <c r="Y338"/>
      <c r="Z338"/>
      <c r="AA338"/>
      <c r="AB338"/>
      <c r="AC338"/>
      <c r="AD338"/>
      <c r="AF338"/>
    </row>
    <row r="339" spans="5:32" x14ac:dyDescent="0.25">
      <c r="E339"/>
      <c r="F339"/>
      <c r="G339"/>
      <c r="H339"/>
      <c r="I339"/>
      <c r="J339"/>
      <c r="K339"/>
      <c r="L339"/>
      <c r="M339"/>
      <c r="N339"/>
      <c r="O339"/>
      <c r="P339"/>
      <c r="Q339"/>
      <c r="R339"/>
      <c r="S339"/>
      <c r="T339"/>
      <c r="U339"/>
      <c r="V339"/>
      <c r="W339"/>
      <c r="X339"/>
      <c r="Y339"/>
      <c r="Z339"/>
      <c r="AA339"/>
      <c r="AB339"/>
      <c r="AC339"/>
      <c r="AD339"/>
      <c r="AF339"/>
    </row>
    <row r="340" spans="5:32" x14ac:dyDescent="0.25">
      <c r="E340"/>
      <c r="F340"/>
      <c r="G340"/>
      <c r="H340"/>
      <c r="I340"/>
      <c r="J340"/>
      <c r="K340"/>
      <c r="L340"/>
      <c r="M340"/>
      <c r="N340"/>
      <c r="O340"/>
      <c r="P340"/>
      <c r="Q340"/>
      <c r="R340"/>
      <c r="S340"/>
      <c r="T340"/>
      <c r="U340"/>
      <c r="V340"/>
      <c r="W340"/>
      <c r="X340"/>
      <c r="Y340"/>
      <c r="Z340"/>
      <c r="AA340"/>
      <c r="AB340"/>
      <c r="AC340"/>
      <c r="AD340"/>
      <c r="AF340"/>
    </row>
    <row r="341" spans="5:32" x14ac:dyDescent="0.25">
      <c r="E341"/>
      <c r="F341"/>
      <c r="G341"/>
      <c r="H341"/>
      <c r="I341"/>
      <c r="J341"/>
      <c r="K341"/>
      <c r="L341"/>
      <c r="M341"/>
      <c r="N341"/>
      <c r="O341"/>
      <c r="P341"/>
      <c r="Q341"/>
      <c r="R341"/>
      <c r="S341"/>
      <c r="T341"/>
      <c r="U341"/>
      <c r="V341"/>
      <c r="W341"/>
      <c r="X341"/>
      <c r="Y341"/>
      <c r="Z341"/>
      <c r="AA341"/>
      <c r="AB341"/>
      <c r="AC341"/>
      <c r="AD341"/>
      <c r="AF341"/>
    </row>
    <row r="342" spans="5:32" x14ac:dyDescent="0.25">
      <c r="E342"/>
      <c r="F342"/>
      <c r="G342"/>
      <c r="H342"/>
      <c r="I342"/>
      <c r="J342"/>
      <c r="K342"/>
      <c r="L342"/>
      <c r="M342"/>
      <c r="N342"/>
      <c r="O342"/>
      <c r="P342"/>
      <c r="Q342"/>
      <c r="R342"/>
      <c r="S342"/>
      <c r="T342"/>
      <c r="U342"/>
      <c r="V342"/>
      <c r="W342"/>
      <c r="X342"/>
      <c r="Y342"/>
      <c r="Z342"/>
      <c r="AA342"/>
      <c r="AB342"/>
      <c r="AC342"/>
      <c r="AD342"/>
      <c r="AF342"/>
    </row>
    <row r="343" spans="5:32" x14ac:dyDescent="0.25">
      <c r="E343"/>
      <c r="F343"/>
      <c r="G343"/>
      <c r="H343"/>
      <c r="I343"/>
      <c r="J343"/>
      <c r="K343"/>
      <c r="L343"/>
      <c r="M343"/>
      <c r="N343"/>
      <c r="O343"/>
      <c r="P343"/>
      <c r="Q343"/>
      <c r="R343"/>
      <c r="S343"/>
      <c r="T343"/>
      <c r="U343"/>
      <c r="V343"/>
      <c r="W343"/>
      <c r="X343"/>
      <c r="Y343"/>
      <c r="Z343"/>
      <c r="AA343"/>
      <c r="AB343"/>
      <c r="AC343"/>
      <c r="AD343"/>
      <c r="AF343"/>
    </row>
    <row r="344" spans="5:32" x14ac:dyDescent="0.25">
      <c r="E344"/>
      <c r="F344"/>
      <c r="G344"/>
      <c r="H344"/>
      <c r="I344"/>
      <c r="J344"/>
      <c r="K344"/>
      <c r="L344"/>
      <c r="M344"/>
      <c r="N344"/>
      <c r="O344"/>
      <c r="P344"/>
      <c r="Q344"/>
      <c r="R344"/>
      <c r="S344"/>
      <c r="T344"/>
      <c r="U344"/>
      <c r="V344"/>
      <c r="W344"/>
      <c r="X344"/>
      <c r="Y344"/>
      <c r="Z344"/>
      <c r="AA344"/>
      <c r="AB344"/>
      <c r="AC344"/>
      <c r="AD344"/>
      <c r="AF344"/>
    </row>
    <row r="345" spans="5:32" x14ac:dyDescent="0.25">
      <c r="E345"/>
      <c r="F345"/>
      <c r="G345"/>
      <c r="H345"/>
      <c r="I345"/>
      <c r="J345"/>
      <c r="K345"/>
      <c r="L345"/>
      <c r="M345"/>
      <c r="N345"/>
      <c r="O345"/>
      <c r="P345"/>
      <c r="Q345"/>
      <c r="R345"/>
      <c r="S345"/>
      <c r="T345"/>
      <c r="U345"/>
      <c r="V345"/>
      <c r="W345"/>
      <c r="X345"/>
      <c r="Y345"/>
      <c r="Z345"/>
      <c r="AA345"/>
      <c r="AB345"/>
      <c r="AC345"/>
      <c r="AD345"/>
      <c r="AF345"/>
    </row>
    <row r="346" spans="5:32" x14ac:dyDescent="0.25">
      <c r="E346"/>
      <c r="F346"/>
      <c r="G346"/>
      <c r="H346"/>
      <c r="I346"/>
      <c r="J346"/>
      <c r="K346"/>
      <c r="L346"/>
      <c r="M346"/>
      <c r="N346"/>
      <c r="O346"/>
      <c r="P346"/>
      <c r="Q346"/>
      <c r="R346"/>
      <c r="S346"/>
      <c r="T346"/>
      <c r="U346"/>
      <c r="V346"/>
      <c r="W346"/>
      <c r="X346"/>
      <c r="Y346"/>
      <c r="Z346"/>
      <c r="AA346"/>
      <c r="AB346"/>
      <c r="AC346"/>
      <c r="AD346"/>
      <c r="AF346"/>
    </row>
    <row r="347" spans="5:32" x14ac:dyDescent="0.25">
      <c r="E347"/>
      <c r="F347"/>
      <c r="G347"/>
      <c r="H347"/>
      <c r="I347"/>
      <c r="J347"/>
      <c r="K347"/>
      <c r="L347"/>
      <c r="M347"/>
      <c r="N347"/>
      <c r="O347"/>
      <c r="P347"/>
      <c r="Q347"/>
      <c r="R347"/>
      <c r="S347"/>
      <c r="T347"/>
      <c r="U347"/>
      <c r="V347"/>
      <c r="W347"/>
      <c r="X347"/>
      <c r="Y347"/>
      <c r="Z347"/>
      <c r="AA347"/>
      <c r="AB347"/>
      <c r="AC347"/>
      <c r="AD347"/>
      <c r="AF347"/>
    </row>
    <row r="348" spans="5:32" x14ac:dyDescent="0.25">
      <c r="E348"/>
      <c r="F348"/>
      <c r="G348"/>
      <c r="H348"/>
      <c r="I348"/>
      <c r="J348"/>
      <c r="K348"/>
      <c r="L348"/>
      <c r="M348"/>
      <c r="N348"/>
      <c r="O348"/>
      <c r="P348"/>
      <c r="Q348"/>
      <c r="R348"/>
      <c r="S348"/>
      <c r="T348"/>
      <c r="U348"/>
      <c r="V348"/>
      <c r="W348"/>
      <c r="X348"/>
      <c r="Y348"/>
      <c r="Z348"/>
      <c r="AA348"/>
      <c r="AB348"/>
      <c r="AC348"/>
      <c r="AD348"/>
      <c r="AF348"/>
    </row>
    <row r="349" spans="5:32" x14ac:dyDescent="0.25">
      <c r="E349"/>
      <c r="F349"/>
      <c r="G349"/>
      <c r="H349"/>
      <c r="I349"/>
      <c r="J349"/>
      <c r="K349"/>
      <c r="L349"/>
      <c r="M349"/>
      <c r="N349"/>
      <c r="O349"/>
      <c r="P349"/>
      <c r="Q349"/>
      <c r="R349"/>
      <c r="S349"/>
      <c r="T349"/>
      <c r="U349"/>
      <c r="V349"/>
      <c r="W349"/>
      <c r="X349"/>
      <c r="Y349"/>
      <c r="Z349"/>
      <c r="AA349"/>
      <c r="AB349"/>
      <c r="AC349"/>
      <c r="AD349"/>
      <c r="AF349"/>
    </row>
    <row r="350" spans="5:32" x14ac:dyDescent="0.25">
      <c r="E350"/>
      <c r="F350"/>
      <c r="G350"/>
      <c r="H350"/>
      <c r="I350"/>
      <c r="J350"/>
      <c r="K350"/>
      <c r="L350"/>
      <c r="M350"/>
      <c r="N350"/>
      <c r="O350"/>
      <c r="P350"/>
      <c r="Q350"/>
      <c r="R350"/>
      <c r="S350"/>
      <c r="T350"/>
      <c r="U350"/>
      <c r="V350"/>
      <c r="W350"/>
      <c r="X350"/>
      <c r="Y350"/>
      <c r="Z350"/>
      <c r="AA350"/>
      <c r="AB350"/>
      <c r="AC350"/>
      <c r="AD350"/>
      <c r="AF350"/>
    </row>
    <row r="351" spans="5:32" x14ac:dyDescent="0.25">
      <c r="E351"/>
      <c r="F351"/>
      <c r="G351"/>
      <c r="H351"/>
      <c r="I351"/>
      <c r="J351"/>
      <c r="K351"/>
      <c r="L351"/>
      <c r="M351"/>
      <c r="N351"/>
      <c r="O351"/>
      <c r="P351"/>
      <c r="Q351"/>
      <c r="R351"/>
      <c r="S351"/>
      <c r="T351"/>
      <c r="U351"/>
      <c r="V351"/>
      <c r="W351"/>
      <c r="X351"/>
      <c r="Y351"/>
      <c r="Z351"/>
      <c r="AA351"/>
      <c r="AB351"/>
      <c r="AC351"/>
      <c r="AD351"/>
      <c r="AF351"/>
    </row>
    <row r="352" spans="5:32" x14ac:dyDescent="0.25">
      <c r="E352"/>
      <c r="F352"/>
      <c r="G352"/>
      <c r="H352"/>
      <c r="I352"/>
      <c r="J352"/>
      <c r="K352"/>
      <c r="L352"/>
      <c r="M352"/>
      <c r="N352"/>
      <c r="O352"/>
      <c r="P352"/>
      <c r="Q352"/>
      <c r="R352"/>
      <c r="S352"/>
      <c r="T352"/>
      <c r="U352"/>
      <c r="V352"/>
      <c r="W352"/>
      <c r="X352"/>
      <c r="Y352"/>
      <c r="Z352"/>
      <c r="AA352"/>
      <c r="AB352"/>
      <c r="AC352"/>
      <c r="AD352"/>
      <c r="AF352"/>
    </row>
    <row r="353" spans="5:32" x14ac:dyDescent="0.25">
      <c r="E353"/>
      <c r="F353"/>
      <c r="G353"/>
      <c r="H353"/>
      <c r="I353"/>
      <c r="J353"/>
      <c r="K353"/>
      <c r="L353"/>
      <c r="M353"/>
      <c r="N353"/>
      <c r="O353"/>
      <c r="P353"/>
      <c r="Q353"/>
      <c r="R353"/>
      <c r="S353"/>
      <c r="T353"/>
      <c r="U353"/>
      <c r="V353"/>
      <c r="W353"/>
      <c r="X353"/>
      <c r="Y353"/>
      <c r="Z353"/>
      <c r="AA353"/>
      <c r="AB353"/>
      <c r="AC353"/>
      <c r="AD353"/>
      <c r="AF353"/>
    </row>
    <row r="354" spans="5:32" x14ac:dyDescent="0.25">
      <c r="E354"/>
      <c r="F354"/>
      <c r="G354"/>
      <c r="H354"/>
      <c r="I354"/>
      <c r="J354"/>
      <c r="K354"/>
      <c r="L354"/>
      <c r="M354"/>
      <c r="N354"/>
      <c r="O354"/>
      <c r="P354"/>
      <c r="Q354"/>
      <c r="R354"/>
      <c r="S354"/>
      <c r="T354"/>
      <c r="U354"/>
      <c r="V354"/>
      <c r="W354"/>
      <c r="X354"/>
      <c r="Y354"/>
      <c r="Z354"/>
      <c r="AA354"/>
      <c r="AB354"/>
      <c r="AC354"/>
      <c r="AD354"/>
      <c r="AF354"/>
    </row>
    <row r="355" spans="5:32" x14ac:dyDescent="0.25">
      <c r="E355"/>
      <c r="F355"/>
      <c r="G355"/>
      <c r="H355"/>
      <c r="I355"/>
      <c r="J355"/>
      <c r="K355"/>
      <c r="L355"/>
      <c r="M355"/>
      <c r="N355"/>
      <c r="O355"/>
      <c r="P355"/>
      <c r="Q355"/>
      <c r="R355"/>
      <c r="S355"/>
      <c r="T355"/>
      <c r="U355"/>
      <c r="V355"/>
      <c r="W355"/>
      <c r="X355"/>
      <c r="Y355"/>
      <c r="Z355"/>
      <c r="AA355"/>
      <c r="AB355"/>
      <c r="AC355"/>
      <c r="AD355"/>
      <c r="AF355"/>
    </row>
    <row r="356" spans="5:32" x14ac:dyDescent="0.25">
      <c r="E356"/>
      <c r="F356"/>
      <c r="G356"/>
      <c r="H356"/>
      <c r="I356"/>
      <c r="J356"/>
      <c r="K356"/>
      <c r="L356"/>
      <c r="M356"/>
      <c r="N356"/>
      <c r="O356"/>
      <c r="P356"/>
      <c r="Q356"/>
      <c r="R356"/>
      <c r="S356"/>
      <c r="T356"/>
      <c r="U356"/>
      <c r="V356"/>
      <c r="W356"/>
      <c r="X356"/>
      <c r="Y356"/>
      <c r="Z356"/>
      <c r="AA356"/>
      <c r="AB356"/>
      <c r="AC356"/>
      <c r="AD356"/>
      <c r="AF356"/>
    </row>
    <row r="357" spans="5:32" x14ac:dyDescent="0.25">
      <c r="E357"/>
      <c r="F357"/>
      <c r="G357"/>
      <c r="H357"/>
      <c r="I357"/>
      <c r="J357"/>
      <c r="K357"/>
      <c r="L357"/>
      <c r="M357"/>
      <c r="N357"/>
      <c r="O357"/>
      <c r="P357"/>
      <c r="Q357"/>
      <c r="R357"/>
      <c r="S357"/>
      <c r="T357"/>
      <c r="U357"/>
      <c r="V357"/>
      <c r="W357"/>
      <c r="X357"/>
      <c r="Y357"/>
      <c r="Z357"/>
      <c r="AA357"/>
      <c r="AB357"/>
      <c r="AC357"/>
      <c r="AD357"/>
      <c r="AF357"/>
    </row>
    <row r="358" spans="5:32" x14ac:dyDescent="0.25">
      <c r="E358"/>
      <c r="F358"/>
      <c r="G358"/>
      <c r="H358"/>
      <c r="I358"/>
      <c r="J358"/>
      <c r="K358"/>
      <c r="L358"/>
      <c r="M358"/>
      <c r="N358"/>
      <c r="O358"/>
      <c r="P358"/>
      <c r="Q358"/>
      <c r="R358"/>
      <c r="S358"/>
      <c r="T358"/>
      <c r="U358"/>
      <c r="V358"/>
      <c r="W358"/>
      <c r="X358"/>
      <c r="Y358"/>
      <c r="Z358"/>
      <c r="AA358"/>
      <c r="AB358"/>
      <c r="AC358"/>
      <c r="AD358"/>
      <c r="AF358"/>
    </row>
    <row r="359" spans="5:32" x14ac:dyDescent="0.25">
      <c r="E359"/>
      <c r="F359"/>
      <c r="G359"/>
      <c r="H359"/>
      <c r="I359"/>
      <c r="J359"/>
      <c r="K359"/>
      <c r="L359"/>
      <c r="M359"/>
      <c r="N359"/>
      <c r="O359"/>
      <c r="P359"/>
      <c r="Q359"/>
      <c r="R359"/>
      <c r="S359"/>
      <c r="T359"/>
      <c r="U359"/>
      <c r="V359"/>
      <c r="W359"/>
      <c r="X359"/>
      <c r="Y359"/>
      <c r="Z359"/>
      <c r="AA359"/>
      <c r="AB359"/>
      <c r="AC359"/>
      <c r="AD359"/>
      <c r="AF359"/>
    </row>
    <row r="360" spans="5:32" x14ac:dyDescent="0.25">
      <c r="E360"/>
      <c r="F360"/>
      <c r="G360"/>
      <c r="H360"/>
      <c r="I360"/>
      <c r="J360"/>
      <c r="K360"/>
      <c r="L360"/>
      <c r="M360"/>
      <c r="N360"/>
      <c r="O360"/>
      <c r="P360"/>
      <c r="Q360"/>
      <c r="R360"/>
      <c r="S360"/>
      <c r="T360"/>
      <c r="U360"/>
      <c r="V360"/>
      <c r="W360"/>
      <c r="X360"/>
      <c r="Y360"/>
      <c r="Z360"/>
      <c r="AA360"/>
      <c r="AB360"/>
      <c r="AC360"/>
      <c r="AD360"/>
      <c r="AF360"/>
    </row>
    <row r="361" spans="5:32" x14ac:dyDescent="0.25">
      <c r="E361"/>
      <c r="F361"/>
      <c r="G361"/>
      <c r="H361"/>
      <c r="I361"/>
      <c r="J361"/>
      <c r="K361"/>
      <c r="L361"/>
      <c r="M361"/>
      <c r="N361"/>
      <c r="O361"/>
      <c r="P361"/>
      <c r="Q361"/>
      <c r="R361"/>
      <c r="S361"/>
      <c r="T361"/>
      <c r="U361"/>
      <c r="V361"/>
      <c r="W361"/>
      <c r="X361"/>
      <c r="Y361"/>
      <c r="Z361"/>
      <c r="AA361"/>
      <c r="AB361"/>
      <c r="AC361"/>
      <c r="AD361"/>
      <c r="AF361"/>
    </row>
    <row r="362" spans="5:32" x14ac:dyDescent="0.25">
      <c r="E362"/>
      <c r="F362"/>
      <c r="G362"/>
      <c r="H362"/>
      <c r="I362"/>
      <c r="J362"/>
      <c r="K362"/>
      <c r="L362"/>
      <c r="M362"/>
      <c r="N362"/>
      <c r="O362"/>
      <c r="P362"/>
      <c r="Q362"/>
      <c r="R362"/>
      <c r="S362"/>
      <c r="T362"/>
      <c r="U362"/>
      <c r="V362"/>
      <c r="W362"/>
      <c r="X362"/>
      <c r="Y362"/>
      <c r="Z362"/>
      <c r="AA362"/>
      <c r="AB362"/>
      <c r="AC362"/>
      <c r="AD362"/>
      <c r="AF362"/>
    </row>
    <row r="363" spans="5:32" x14ac:dyDescent="0.25">
      <c r="E363"/>
      <c r="F363"/>
      <c r="G363"/>
      <c r="H363"/>
      <c r="I363"/>
      <c r="J363"/>
      <c r="K363"/>
      <c r="L363"/>
      <c r="M363"/>
      <c r="N363"/>
      <c r="O363"/>
      <c r="P363"/>
      <c r="Q363"/>
      <c r="R363"/>
      <c r="S363"/>
      <c r="T363"/>
      <c r="U363"/>
      <c r="V363"/>
      <c r="W363"/>
      <c r="X363"/>
      <c r="Y363"/>
      <c r="Z363"/>
      <c r="AA363"/>
      <c r="AB363"/>
      <c r="AC363"/>
      <c r="AD363"/>
      <c r="AF363"/>
    </row>
    <row r="364" spans="5:32" x14ac:dyDescent="0.25">
      <c r="E364"/>
      <c r="F364"/>
      <c r="G364"/>
      <c r="H364"/>
      <c r="I364"/>
      <c r="J364"/>
      <c r="K364"/>
      <c r="L364"/>
      <c r="M364"/>
      <c r="N364"/>
      <c r="O364"/>
      <c r="P364"/>
      <c r="Q364"/>
      <c r="R364"/>
      <c r="S364"/>
      <c r="T364"/>
      <c r="U364"/>
      <c r="V364"/>
      <c r="W364"/>
      <c r="X364"/>
      <c r="Y364"/>
      <c r="Z364"/>
      <c r="AA364"/>
      <c r="AB364"/>
      <c r="AC364"/>
      <c r="AD364"/>
      <c r="AF364"/>
    </row>
    <row r="365" spans="5:32" x14ac:dyDescent="0.25">
      <c r="E365"/>
      <c r="F365"/>
      <c r="G365"/>
      <c r="H365"/>
      <c r="I365"/>
      <c r="J365"/>
      <c r="K365"/>
      <c r="L365"/>
      <c r="M365"/>
      <c r="N365"/>
      <c r="O365"/>
      <c r="P365"/>
      <c r="Q365"/>
      <c r="R365"/>
      <c r="S365"/>
      <c r="T365"/>
      <c r="U365"/>
      <c r="V365"/>
      <c r="W365"/>
      <c r="X365"/>
      <c r="Y365"/>
      <c r="Z365"/>
      <c r="AA365"/>
      <c r="AB365"/>
      <c r="AC365"/>
      <c r="AD365"/>
      <c r="AF365"/>
    </row>
    <row r="366" spans="5:32" x14ac:dyDescent="0.25">
      <c r="E366"/>
      <c r="F366"/>
      <c r="G366"/>
      <c r="H366"/>
      <c r="I366"/>
      <c r="J366"/>
      <c r="K366"/>
      <c r="L366"/>
      <c r="M366"/>
      <c r="N366"/>
      <c r="O366"/>
      <c r="P366"/>
      <c r="Q366"/>
      <c r="R366"/>
      <c r="S366"/>
      <c r="T366"/>
      <c r="U366"/>
      <c r="V366"/>
      <c r="W366"/>
      <c r="X366"/>
      <c r="Y366"/>
      <c r="Z366"/>
      <c r="AA366"/>
      <c r="AB366"/>
      <c r="AC366"/>
      <c r="AD366"/>
      <c r="AF366"/>
    </row>
    <row r="367" spans="5:32" x14ac:dyDescent="0.25">
      <c r="E367"/>
      <c r="F367"/>
      <c r="G367"/>
      <c r="H367"/>
      <c r="I367"/>
      <c r="J367"/>
      <c r="K367"/>
      <c r="L367"/>
      <c r="M367"/>
      <c r="N367"/>
      <c r="O367"/>
      <c r="P367"/>
      <c r="Q367"/>
      <c r="R367"/>
      <c r="S367"/>
      <c r="T367"/>
      <c r="U367"/>
      <c r="V367"/>
      <c r="W367"/>
      <c r="X367"/>
      <c r="Y367"/>
      <c r="Z367"/>
      <c r="AA367"/>
      <c r="AB367"/>
      <c r="AC367"/>
      <c r="AD367"/>
      <c r="AF367"/>
    </row>
    <row r="368" spans="5:32" x14ac:dyDescent="0.25">
      <c r="E368"/>
      <c r="F368"/>
      <c r="G368"/>
      <c r="H368"/>
      <c r="I368"/>
      <c r="J368"/>
      <c r="K368"/>
      <c r="L368"/>
      <c r="M368"/>
      <c r="N368"/>
      <c r="O368"/>
      <c r="P368"/>
      <c r="Q368"/>
      <c r="R368"/>
      <c r="S368"/>
      <c r="T368"/>
      <c r="U368"/>
      <c r="V368"/>
      <c r="W368"/>
      <c r="X368"/>
      <c r="Y368"/>
      <c r="Z368"/>
      <c r="AA368"/>
      <c r="AB368"/>
      <c r="AC368"/>
      <c r="AD368"/>
      <c r="AF368"/>
    </row>
    <row r="369" spans="5:32" x14ac:dyDescent="0.25">
      <c r="E369"/>
      <c r="F369"/>
      <c r="G369"/>
      <c r="H369"/>
      <c r="I369"/>
      <c r="J369"/>
      <c r="K369"/>
      <c r="L369"/>
      <c r="M369"/>
      <c r="N369"/>
      <c r="O369"/>
      <c r="P369"/>
      <c r="Q369"/>
      <c r="R369"/>
      <c r="S369"/>
      <c r="T369"/>
      <c r="U369"/>
      <c r="V369"/>
      <c r="W369"/>
      <c r="X369"/>
      <c r="Y369"/>
      <c r="Z369"/>
      <c r="AA369"/>
      <c r="AB369"/>
      <c r="AC369"/>
      <c r="AD369"/>
      <c r="AF369"/>
    </row>
    <row r="370" spans="5:32" x14ac:dyDescent="0.25">
      <c r="E370"/>
      <c r="F370"/>
      <c r="G370"/>
      <c r="H370"/>
      <c r="I370"/>
      <c r="J370"/>
      <c r="K370"/>
      <c r="L370"/>
      <c r="M370"/>
      <c r="N370"/>
      <c r="O370"/>
      <c r="P370"/>
      <c r="Q370"/>
      <c r="R370"/>
      <c r="S370"/>
      <c r="T370"/>
      <c r="U370"/>
      <c r="V370"/>
      <c r="W370"/>
      <c r="X370"/>
      <c r="Y370"/>
      <c r="Z370"/>
      <c r="AA370"/>
      <c r="AB370"/>
      <c r="AC370"/>
      <c r="AD370"/>
      <c r="AF370"/>
    </row>
    <row r="371" spans="5:32" x14ac:dyDescent="0.25">
      <c r="E371"/>
      <c r="F371"/>
      <c r="G371"/>
      <c r="H371"/>
      <c r="I371"/>
      <c r="J371"/>
      <c r="K371"/>
      <c r="L371"/>
      <c r="M371"/>
      <c r="N371"/>
      <c r="O371"/>
      <c r="P371"/>
      <c r="Q371"/>
      <c r="R371"/>
      <c r="S371"/>
      <c r="T371"/>
      <c r="U371"/>
      <c r="V371"/>
      <c r="W371"/>
      <c r="X371"/>
      <c r="Y371"/>
      <c r="Z371"/>
      <c r="AA371"/>
      <c r="AB371"/>
      <c r="AC371"/>
      <c r="AD371"/>
      <c r="AF371"/>
    </row>
    <row r="372" spans="5:32" x14ac:dyDescent="0.25">
      <c r="E372"/>
      <c r="F372"/>
      <c r="G372"/>
      <c r="H372"/>
      <c r="I372"/>
      <c r="J372"/>
      <c r="K372"/>
      <c r="L372"/>
      <c r="M372"/>
      <c r="N372"/>
      <c r="O372"/>
      <c r="P372"/>
      <c r="Q372"/>
      <c r="R372"/>
      <c r="S372"/>
      <c r="T372"/>
      <c r="U372"/>
      <c r="V372"/>
      <c r="W372"/>
      <c r="X372"/>
      <c r="Y372"/>
      <c r="Z372"/>
      <c r="AA372"/>
      <c r="AB372"/>
      <c r="AC372"/>
      <c r="AD372"/>
      <c r="AF372"/>
    </row>
    <row r="373" spans="5:32" x14ac:dyDescent="0.25">
      <c r="E373"/>
      <c r="F373"/>
      <c r="G373"/>
      <c r="H373"/>
      <c r="I373"/>
      <c r="J373"/>
      <c r="K373"/>
      <c r="L373"/>
      <c r="M373"/>
      <c r="N373"/>
      <c r="O373"/>
      <c r="P373"/>
      <c r="Q373"/>
      <c r="R373"/>
      <c r="S373"/>
      <c r="T373"/>
      <c r="U373"/>
      <c r="V373"/>
      <c r="W373"/>
      <c r="X373"/>
      <c r="Y373"/>
      <c r="Z373"/>
      <c r="AA373"/>
      <c r="AB373"/>
      <c r="AC373"/>
      <c r="AD373"/>
      <c r="AF373"/>
    </row>
    <row r="374" spans="5:32" x14ac:dyDescent="0.25">
      <c r="E374"/>
      <c r="F374"/>
      <c r="G374"/>
      <c r="H374"/>
      <c r="I374"/>
      <c r="J374"/>
      <c r="K374"/>
      <c r="L374"/>
      <c r="M374"/>
      <c r="N374"/>
      <c r="O374"/>
      <c r="P374"/>
      <c r="Q374"/>
      <c r="R374"/>
      <c r="S374"/>
      <c r="T374"/>
      <c r="U374"/>
      <c r="V374"/>
      <c r="W374"/>
      <c r="X374"/>
      <c r="Y374"/>
      <c r="Z374"/>
      <c r="AA374"/>
      <c r="AB374"/>
      <c r="AC374"/>
      <c r="AD374"/>
      <c r="AF374"/>
    </row>
    <row r="375" spans="5:32" x14ac:dyDescent="0.25">
      <c r="E375"/>
      <c r="F375"/>
      <c r="G375"/>
      <c r="H375"/>
      <c r="I375"/>
      <c r="J375"/>
      <c r="K375"/>
      <c r="L375"/>
      <c r="M375"/>
      <c r="N375"/>
      <c r="O375"/>
      <c r="P375"/>
      <c r="Q375"/>
      <c r="R375"/>
      <c r="S375"/>
      <c r="T375"/>
      <c r="U375"/>
      <c r="V375"/>
      <c r="W375"/>
      <c r="X375"/>
      <c r="Y375"/>
      <c r="Z375"/>
      <c r="AA375"/>
      <c r="AB375"/>
      <c r="AC375"/>
      <c r="AD375"/>
      <c r="AF375"/>
    </row>
    <row r="376" spans="5:32" x14ac:dyDescent="0.25">
      <c r="E376"/>
      <c r="F376"/>
      <c r="G376"/>
      <c r="H376"/>
      <c r="I376"/>
      <c r="J376"/>
      <c r="K376"/>
      <c r="L376"/>
      <c r="M376"/>
      <c r="N376"/>
      <c r="O376"/>
      <c r="P376"/>
      <c r="Q376"/>
      <c r="R376"/>
      <c r="S376"/>
      <c r="T376"/>
      <c r="U376"/>
      <c r="V376"/>
      <c r="W376"/>
      <c r="X376"/>
      <c r="Y376"/>
      <c r="Z376"/>
      <c r="AA376"/>
      <c r="AB376"/>
      <c r="AC376"/>
      <c r="AD376"/>
      <c r="AF376"/>
    </row>
    <row r="377" spans="5:32" x14ac:dyDescent="0.25">
      <c r="E377"/>
      <c r="F377"/>
      <c r="G377"/>
      <c r="H377"/>
      <c r="I377"/>
      <c r="J377"/>
      <c r="K377"/>
      <c r="L377"/>
      <c r="M377"/>
      <c r="N377"/>
      <c r="O377"/>
      <c r="P377"/>
      <c r="Q377"/>
      <c r="R377"/>
      <c r="S377"/>
      <c r="T377"/>
      <c r="U377"/>
      <c r="V377"/>
      <c r="W377"/>
      <c r="X377"/>
      <c r="Y377"/>
      <c r="Z377"/>
      <c r="AA377"/>
      <c r="AB377"/>
      <c r="AC377"/>
      <c r="AD377"/>
      <c r="AF377"/>
    </row>
    <row r="378" spans="5:32" x14ac:dyDescent="0.25">
      <c r="E378"/>
      <c r="F378"/>
      <c r="G378"/>
      <c r="H378"/>
      <c r="I378"/>
      <c r="J378"/>
      <c r="K378"/>
      <c r="L378"/>
      <c r="M378"/>
      <c r="N378"/>
      <c r="O378"/>
      <c r="P378"/>
      <c r="Q378"/>
      <c r="R378"/>
      <c r="S378"/>
      <c r="T378"/>
      <c r="U378"/>
      <c r="V378"/>
      <c r="W378"/>
      <c r="X378"/>
      <c r="Y378"/>
      <c r="Z378"/>
      <c r="AA378"/>
      <c r="AB378"/>
      <c r="AC378"/>
      <c r="AD378"/>
      <c r="AF378"/>
    </row>
    <row r="379" spans="5:32" x14ac:dyDescent="0.25">
      <c r="E379"/>
      <c r="F379"/>
      <c r="G379"/>
      <c r="H379"/>
      <c r="I379"/>
      <c r="J379"/>
      <c r="K379"/>
      <c r="L379"/>
      <c r="M379"/>
      <c r="N379"/>
      <c r="O379"/>
      <c r="P379"/>
      <c r="Q379"/>
      <c r="R379"/>
      <c r="S379"/>
      <c r="T379"/>
      <c r="U379"/>
      <c r="V379"/>
      <c r="W379"/>
      <c r="X379"/>
      <c r="Y379"/>
      <c r="Z379"/>
      <c r="AA379"/>
      <c r="AB379"/>
      <c r="AC379"/>
      <c r="AD379"/>
      <c r="AF379"/>
    </row>
    <row r="380" spans="5:32" x14ac:dyDescent="0.25">
      <c r="E380"/>
      <c r="F380"/>
      <c r="G380"/>
      <c r="H380"/>
      <c r="I380"/>
      <c r="J380"/>
      <c r="K380"/>
      <c r="L380"/>
      <c r="M380"/>
      <c r="N380"/>
      <c r="O380"/>
      <c r="P380"/>
      <c r="Q380"/>
      <c r="R380"/>
      <c r="S380"/>
      <c r="T380"/>
      <c r="U380"/>
      <c r="V380"/>
      <c r="W380"/>
      <c r="X380"/>
      <c r="Y380"/>
      <c r="Z380"/>
      <c r="AA380"/>
      <c r="AB380"/>
      <c r="AC380"/>
      <c r="AD380"/>
      <c r="AF380"/>
    </row>
    <row r="381" spans="5:32" x14ac:dyDescent="0.25">
      <c r="E381"/>
      <c r="F381"/>
      <c r="G381"/>
      <c r="H381"/>
      <c r="I381"/>
      <c r="J381"/>
      <c r="K381"/>
      <c r="L381"/>
      <c r="M381"/>
      <c r="N381"/>
      <c r="O381"/>
      <c r="P381"/>
      <c r="Q381"/>
      <c r="R381"/>
      <c r="S381"/>
      <c r="T381"/>
      <c r="U381"/>
      <c r="V381"/>
      <c r="W381"/>
      <c r="X381"/>
      <c r="Y381"/>
      <c r="Z381"/>
      <c r="AA381"/>
      <c r="AB381"/>
      <c r="AC381"/>
      <c r="AD381"/>
      <c r="AF381"/>
    </row>
    <row r="382" spans="5:32" x14ac:dyDescent="0.25">
      <c r="E382"/>
      <c r="F382"/>
      <c r="G382"/>
      <c r="H382"/>
      <c r="I382"/>
      <c r="J382"/>
      <c r="K382"/>
      <c r="L382"/>
      <c r="M382"/>
      <c r="N382"/>
      <c r="O382"/>
      <c r="P382"/>
      <c r="Q382"/>
      <c r="R382"/>
      <c r="S382"/>
      <c r="T382"/>
      <c r="U382"/>
      <c r="V382"/>
      <c r="W382"/>
      <c r="X382"/>
      <c r="Y382"/>
      <c r="Z382"/>
      <c r="AA382"/>
      <c r="AB382"/>
      <c r="AC382"/>
      <c r="AD382"/>
      <c r="AF382"/>
    </row>
    <row r="383" spans="5:32" x14ac:dyDescent="0.25">
      <c r="E383"/>
      <c r="F383"/>
      <c r="G383"/>
      <c r="H383"/>
      <c r="I383"/>
      <c r="J383"/>
      <c r="K383"/>
      <c r="L383"/>
      <c r="M383"/>
      <c r="N383"/>
      <c r="O383"/>
      <c r="P383"/>
      <c r="Q383"/>
      <c r="R383"/>
      <c r="S383"/>
      <c r="T383"/>
      <c r="U383"/>
      <c r="V383"/>
      <c r="W383"/>
      <c r="X383"/>
      <c r="Y383"/>
      <c r="Z383"/>
      <c r="AA383"/>
      <c r="AB383"/>
      <c r="AC383"/>
      <c r="AD383"/>
      <c r="AF383"/>
    </row>
    <row r="384" spans="5:32" x14ac:dyDescent="0.25">
      <c r="E384"/>
      <c r="F384"/>
      <c r="G384"/>
      <c r="H384"/>
      <c r="I384"/>
      <c r="J384"/>
      <c r="K384"/>
      <c r="L384"/>
      <c r="M384"/>
      <c r="N384"/>
      <c r="O384"/>
      <c r="P384"/>
      <c r="Q384"/>
      <c r="R384"/>
      <c r="S384"/>
      <c r="T384"/>
      <c r="U384"/>
      <c r="V384"/>
      <c r="W384"/>
      <c r="X384"/>
      <c r="Y384"/>
      <c r="Z384"/>
      <c r="AA384"/>
      <c r="AB384"/>
      <c r="AC384"/>
      <c r="AD384"/>
      <c r="AF384"/>
    </row>
    <row r="385" spans="5:32" x14ac:dyDescent="0.25">
      <c r="E385"/>
      <c r="F385"/>
      <c r="G385"/>
      <c r="H385"/>
      <c r="I385"/>
      <c r="J385"/>
      <c r="K385"/>
      <c r="L385"/>
      <c r="M385"/>
      <c r="N385"/>
      <c r="O385"/>
      <c r="P385"/>
      <c r="Q385"/>
      <c r="R385"/>
      <c r="S385"/>
      <c r="T385"/>
      <c r="U385"/>
      <c r="V385"/>
      <c r="W385"/>
      <c r="X385"/>
      <c r="Y385"/>
      <c r="Z385"/>
      <c r="AA385"/>
      <c r="AB385"/>
      <c r="AC385"/>
      <c r="AD385"/>
      <c r="AF385"/>
    </row>
    <row r="386" spans="5:32" x14ac:dyDescent="0.25">
      <c r="E386"/>
      <c r="F386"/>
      <c r="G386"/>
      <c r="H386"/>
      <c r="I386"/>
      <c r="J386"/>
      <c r="K386"/>
      <c r="L386"/>
      <c r="M386"/>
      <c r="N386"/>
      <c r="O386"/>
      <c r="P386"/>
      <c r="Q386"/>
      <c r="R386"/>
      <c r="S386"/>
      <c r="T386"/>
      <c r="U386"/>
      <c r="V386"/>
      <c r="W386"/>
      <c r="X386"/>
      <c r="Y386"/>
      <c r="Z386"/>
      <c r="AA386"/>
      <c r="AB386"/>
      <c r="AC386"/>
      <c r="AD386"/>
      <c r="AF386"/>
    </row>
    <row r="387" spans="5:32" x14ac:dyDescent="0.25">
      <c r="E387"/>
      <c r="F387"/>
      <c r="G387"/>
      <c r="H387"/>
      <c r="I387"/>
      <c r="J387"/>
      <c r="K387"/>
      <c r="L387"/>
      <c r="M387"/>
      <c r="N387"/>
      <c r="O387"/>
      <c r="P387"/>
      <c r="Q387"/>
      <c r="R387"/>
      <c r="S387"/>
      <c r="T387"/>
      <c r="U387"/>
      <c r="V387"/>
      <c r="W387"/>
      <c r="X387"/>
      <c r="Y387"/>
      <c r="Z387"/>
      <c r="AA387"/>
      <c r="AB387"/>
      <c r="AC387"/>
      <c r="AD387"/>
      <c r="AF387"/>
    </row>
    <row r="388" spans="5:32" x14ac:dyDescent="0.25">
      <c r="E388"/>
      <c r="F388"/>
      <c r="G388"/>
      <c r="H388"/>
      <c r="I388"/>
      <c r="J388"/>
      <c r="K388"/>
      <c r="L388"/>
      <c r="M388"/>
      <c r="N388"/>
      <c r="O388"/>
      <c r="P388"/>
      <c r="Q388"/>
      <c r="R388"/>
      <c r="S388"/>
      <c r="T388"/>
      <c r="U388"/>
      <c r="V388"/>
      <c r="W388"/>
      <c r="X388"/>
      <c r="Y388"/>
      <c r="Z388"/>
      <c r="AA388"/>
      <c r="AB388"/>
      <c r="AC388"/>
      <c r="AD388"/>
      <c r="AF388"/>
    </row>
    <row r="389" spans="5:32" x14ac:dyDescent="0.25">
      <c r="E389"/>
      <c r="F389"/>
      <c r="G389"/>
      <c r="H389"/>
      <c r="I389"/>
      <c r="J389"/>
      <c r="K389"/>
      <c r="L389"/>
      <c r="M389"/>
      <c r="N389"/>
      <c r="O389"/>
      <c r="P389"/>
      <c r="Q389"/>
      <c r="R389"/>
      <c r="S389"/>
      <c r="T389"/>
      <c r="U389"/>
      <c r="V389"/>
      <c r="W389"/>
      <c r="X389"/>
      <c r="Y389"/>
      <c r="Z389"/>
      <c r="AA389"/>
      <c r="AB389"/>
      <c r="AC389"/>
      <c r="AD389"/>
      <c r="AF389"/>
    </row>
    <row r="390" spans="5:32" x14ac:dyDescent="0.25">
      <c r="E390"/>
      <c r="F390"/>
      <c r="G390"/>
      <c r="H390"/>
      <c r="I390"/>
      <c r="J390"/>
      <c r="K390"/>
      <c r="L390"/>
      <c r="M390"/>
      <c r="N390"/>
      <c r="O390"/>
      <c r="P390"/>
      <c r="Q390"/>
      <c r="R390"/>
      <c r="S390"/>
      <c r="T390"/>
      <c r="U390"/>
      <c r="V390"/>
      <c r="W390"/>
      <c r="X390"/>
      <c r="Y390"/>
      <c r="Z390"/>
      <c r="AA390"/>
      <c r="AB390"/>
      <c r="AC390"/>
      <c r="AD390"/>
      <c r="AF390"/>
    </row>
    <row r="391" spans="5:32" x14ac:dyDescent="0.25">
      <c r="E391"/>
      <c r="F391"/>
      <c r="G391"/>
      <c r="H391"/>
      <c r="I391"/>
      <c r="J391"/>
      <c r="K391"/>
      <c r="L391"/>
      <c r="M391"/>
      <c r="N391"/>
      <c r="O391"/>
      <c r="P391"/>
      <c r="Q391"/>
      <c r="R391"/>
      <c r="S391"/>
      <c r="T391"/>
      <c r="U391"/>
      <c r="V391"/>
      <c r="W391"/>
      <c r="X391"/>
      <c r="Y391"/>
      <c r="Z391"/>
      <c r="AA391"/>
      <c r="AB391"/>
      <c r="AC391"/>
      <c r="AD391"/>
      <c r="AF391"/>
    </row>
    <row r="392" spans="5:32" x14ac:dyDescent="0.25">
      <c r="E392"/>
      <c r="F392"/>
      <c r="G392"/>
      <c r="H392"/>
      <c r="I392"/>
      <c r="J392"/>
      <c r="K392"/>
      <c r="L392"/>
      <c r="M392"/>
      <c r="N392"/>
      <c r="O392"/>
      <c r="P392"/>
      <c r="Q392"/>
      <c r="R392"/>
      <c r="S392"/>
      <c r="T392"/>
      <c r="U392"/>
      <c r="V392"/>
      <c r="W392"/>
      <c r="X392"/>
      <c r="Y392"/>
      <c r="Z392"/>
      <c r="AA392"/>
      <c r="AB392"/>
      <c r="AC392"/>
      <c r="AD392"/>
      <c r="AF392"/>
    </row>
    <row r="393" spans="5:32" x14ac:dyDescent="0.25">
      <c r="E393"/>
      <c r="F393"/>
      <c r="G393"/>
      <c r="H393"/>
      <c r="I393"/>
      <c r="J393"/>
      <c r="K393"/>
      <c r="L393"/>
      <c r="M393"/>
      <c r="N393"/>
      <c r="O393"/>
      <c r="P393"/>
      <c r="Q393"/>
      <c r="R393"/>
      <c r="S393"/>
      <c r="T393"/>
      <c r="U393"/>
      <c r="V393"/>
      <c r="W393"/>
      <c r="X393"/>
      <c r="Y393"/>
      <c r="Z393"/>
      <c r="AA393"/>
      <c r="AB393"/>
      <c r="AC393"/>
      <c r="AD393"/>
      <c r="AF393"/>
    </row>
    <row r="394" spans="5:32" x14ac:dyDescent="0.25">
      <c r="E394"/>
      <c r="F394"/>
      <c r="G394"/>
      <c r="H394"/>
      <c r="I394"/>
      <c r="J394"/>
      <c r="K394"/>
      <c r="L394"/>
      <c r="M394"/>
      <c r="N394"/>
      <c r="O394"/>
      <c r="P394"/>
      <c r="Q394"/>
      <c r="R394"/>
      <c r="S394"/>
      <c r="T394"/>
      <c r="U394"/>
      <c r="V394"/>
      <c r="W394"/>
      <c r="X394"/>
      <c r="Y394"/>
      <c r="Z394"/>
      <c r="AA394"/>
      <c r="AB394"/>
      <c r="AC394"/>
      <c r="AD394"/>
      <c r="AF394"/>
    </row>
    <row r="395" spans="5:32" x14ac:dyDescent="0.25">
      <c r="E395"/>
      <c r="F395"/>
      <c r="G395"/>
      <c r="H395"/>
      <c r="I395"/>
      <c r="J395"/>
      <c r="K395"/>
      <c r="L395"/>
      <c r="M395"/>
      <c r="N395"/>
      <c r="O395"/>
      <c r="P395"/>
      <c r="Q395"/>
      <c r="R395"/>
      <c r="S395"/>
      <c r="T395"/>
      <c r="U395"/>
      <c r="V395"/>
      <c r="W395"/>
      <c r="X395"/>
      <c r="Y395"/>
      <c r="Z395"/>
      <c r="AA395"/>
      <c r="AB395"/>
      <c r="AC395"/>
      <c r="AD395"/>
      <c r="AF395"/>
    </row>
    <row r="396" spans="5:32" x14ac:dyDescent="0.25">
      <c r="E396"/>
      <c r="F396"/>
      <c r="G396"/>
      <c r="H396"/>
      <c r="I396"/>
      <c r="J396"/>
      <c r="K396"/>
      <c r="L396"/>
      <c r="M396"/>
      <c r="N396"/>
      <c r="O396"/>
      <c r="P396"/>
      <c r="Q396"/>
      <c r="R396"/>
      <c r="S396"/>
      <c r="T396"/>
      <c r="U396"/>
      <c r="V396"/>
      <c r="W396"/>
      <c r="X396"/>
      <c r="Y396"/>
      <c r="Z396"/>
      <c r="AA396"/>
      <c r="AB396"/>
      <c r="AC396"/>
      <c r="AD396"/>
      <c r="AF396"/>
    </row>
    <row r="397" spans="5:32" x14ac:dyDescent="0.25">
      <c r="E397"/>
      <c r="F397"/>
      <c r="G397"/>
      <c r="H397"/>
      <c r="I397"/>
      <c r="J397"/>
      <c r="K397"/>
      <c r="L397"/>
      <c r="M397"/>
      <c r="N397"/>
      <c r="O397"/>
      <c r="P397"/>
      <c r="Q397"/>
      <c r="R397"/>
      <c r="S397"/>
      <c r="T397"/>
      <c r="U397"/>
      <c r="V397"/>
      <c r="W397"/>
      <c r="X397"/>
      <c r="Y397"/>
      <c r="Z397"/>
      <c r="AA397"/>
      <c r="AB397"/>
      <c r="AC397"/>
      <c r="AD397"/>
      <c r="AF397"/>
    </row>
    <row r="398" spans="5:32" x14ac:dyDescent="0.25">
      <c r="E398"/>
      <c r="F398"/>
      <c r="G398"/>
      <c r="H398"/>
      <c r="I398"/>
      <c r="J398"/>
      <c r="K398"/>
      <c r="L398"/>
      <c r="M398"/>
      <c r="N398"/>
      <c r="O398"/>
      <c r="P398"/>
      <c r="Q398"/>
      <c r="R398"/>
      <c r="S398"/>
      <c r="T398"/>
      <c r="U398"/>
      <c r="V398"/>
      <c r="W398"/>
      <c r="X398"/>
      <c r="Y398"/>
      <c r="Z398"/>
      <c r="AA398"/>
      <c r="AB398"/>
      <c r="AC398"/>
      <c r="AD398"/>
      <c r="AF398"/>
    </row>
    <row r="399" spans="5:32" x14ac:dyDescent="0.25">
      <c r="E399"/>
      <c r="F399"/>
      <c r="G399"/>
      <c r="H399"/>
      <c r="I399"/>
      <c r="J399"/>
      <c r="K399"/>
      <c r="L399"/>
      <c r="M399"/>
      <c r="N399"/>
      <c r="O399"/>
      <c r="P399"/>
      <c r="Q399"/>
      <c r="R399"/>
      <c r="S399"/>
      <c r="T399"/>
      <c r="U399"/>
      <c r="V399"/>
      <c r="W399"/>
      <c r="X399"/>
      <c r="Y399"/>
      <c r="Z399"/>
      <c r="AA399"/>
      <c r="AB399"/>
      <c r="AC399"/>
      <c r="AD399"/>
      <c r="AF399"/>
    </row>
    <row r="400" spans="5:32" x14ac:dyDescent="0.25">
      <c r="E400"/>
      <c r="F400"/>
      <c r="G400"/>
      <c r="H400"/>
      <c r="I400"/>
      <c r="J400"/>
      <c r="K400"/>
      <c r="L400"/>
      <c r="M400"/>
      <c r="N400"/>
      <c r="O400"/>
      <c r="P400"/>
      <c r="Q400"/>
      <c r="R400"/>
      <c r="S400"/>
      <c r="T400"/>
      <c r="U400"/>
      <c r="V400"/>
      <c r="W400"/>
      <c r="X400"/>
      <c r="Y400"/>
      <c r="Z400"/>
      <c r="AA400"/>
      <c r="AB400"/>
      <c r="AC400"/>
      <c r="AD400"/>
      <c r="AF400"/>
    </row>
    <row r="401" spans="5:32" x14ac:dyDescent="0.25">
      <c r="E401"/>
      <c r="F401"/>
      <c r="G401"/>
      <c r="H401"/>
      <c r="I401"/>
      <c r="J401"/>
      <c r="K401"/>
      <c r="L401"/>
      <c r="M401"/>
      <c r="N401"/>
      <c r="O401"/>
      <c r="P401"/>
      <c r="Q401"/>
      <c r="R401"/>
      <c r="S401"/>
      <c r="T401"/>
      <c r="U401"/>
      <c r="V401"/>
      <c r="W401"/>
      <c r="X401"/>
      <c r="Y401"/>
      <c r="Z401"/>
      <c r="AA401"/>
      <c r="AB401"/>
      <c r="AC401"/>
      <c r="AD401"/>
      <c r="AF401"/>
    </row>
    <row r="402" spans="5:32" x14ac:dyDescent="0.25">
      <c r="E402"/>
      <c r="F402"/>
      <c r="G402"/>
      <c r="H402"/>
      <c r="I402"/>
      <c r="J402"/>
      <c r="K402"/>
      <c r="L402"/>
      <c r="M402"/>
      <c r="N402"/>
      <c r="O402"/>
      <c r="P402"/>
      <c r="Q402"/>
      <c r="R402"/>
      <c r="S402"/>
      <c r="T402"/>
      <c r="U402"/>
      <c r="V402"/>
      <c r="W402"/>
      <c r="X402"/>
      <c r="Y402"/>
      <c r="Z402"/>
      <c r="AA402"/>
      <c r="AB402"/>
      <c r="AC402"/>
      <c r="AD402"/>
      <c r="AF402"/>
    </row>
    <row r="403" spans="5:32" x14ac:dyDescent="0.25">
      <c r="E403"/>
      <c r="F403"/>
      <c r="G403"/>
      <c r="H403"/>
      <c r="I403"/>
      <c r="J403"/>
      <c r="K403"/>
      <c r="L403"/>
      <c r="M403"/>
      <c r="N403"/>
      <c r="O403"/>
      <c r="P403"/>
      <c r="Q403"/>
      <c r="R403"/>
      <c r="S403"/>
      <c r="T403"/>
      <c r="U403"/>
      <c r="V403"/>
      <c r="W403"/>
      <c r="X403"/>
      <c r="Y403"/>
      <c r="Z403"/>
      <c r="AA403"/>
      <c r="AB403"/>
      <c r="AC403"/>
      <c r="AD403"/>
      <c r="AF403"/>
    </row>
    <row r="404" spans="5:32" x14ac:dyDescent="0.25">
      <c r="E404"/>
      <c r="F404"/>
      <c r="G404"/>
      <c r="H404"/>
      <c r="I404"/>
      <c r="J404"/>
      <c r="K404"/>
      <c r="L404"/>
      <c r="M404"/>
      <c r="N404"/>
      <c r="O404"/>
      <c r="P404"/>
      <c r="Q404"/>
      <c r="R404"/>
      <c r="S404"/>
      <c r="T404"/>
      <c r="U404"/>
      <c r="V404"/>
      <c r="W404"/>
      <c r="X404"/>
      <c r="Y404"/>
      <c r="Z404"/>
      <c r="AA404"/>
      <c r="AB404"/>
      <c r="AC404"/>
      <c r="AD404"/>
      <c r="AF404"/>
    </row>
    <row r="405" spans="5:32" x14ac:dyDescent="0.25">
      <c r="E405"/>
      <c r="F405"/>
      <c r="G405"/>
      <c r="H405"/>
      <c r="I405"/>
      <c r="J405"/>
      <c r="K405"/>
      <c r="L405"/>
      <c r="M405"/>
      <c r="N405"/>
      <c r="O405"/>
      <c r="P405"/>
      <c r="Q405"/>
      <c r="R405"/>
      <c r="S405"/>
      <c r="T405"/>
      <c r="U405"/>
      <c r="V405"/>
      <c r="W405"/>
      <c r="X405"/>
      <c r="Y405"/>
      <c r="Z405"/>
      <c r="AA405"/>
      <c r="AB405"/>
      <c r="AC405"/>
      <c r="AD405"/>
      <c r="AF405"/>
    </row>
    <row r="406" spans="5:32" x14ac:dyDescent="0.25">
      <c r="E406"/>
      <c r="F406"/>
      <c r="G406"/>
      <c r="H406"/>
      <c r="I406"/>
      <c r="J406"/>
      <c r="K406"/>
      <c r="L406"/>
      <c r="M406"/>
      <c r="N406"/>
      <c r="O406"/>
      <c r="P406"/>
      <c r="Q406"/>
      <c r="R406"/>
      <c r="S406"/>
      <c r="T406"/>
      <c r="U406"/>
      <c r="V406"/>
      <c r="W406"/>
      <c r="X406"/>
      <c r="Y406"/>
      <c r="Z406"/>
      <c r="AA406"/>
      <c r="AB406"/>
      <c r="AC406"/>
      <c r="AD406"/>
      <c r="AF406"/>
    </row>
    <row r="407" spans="5:32" x14ac:dyDescent="0.25">
      <c r="E407"/>
      <c r="F407"/>
      <c r="G407"/>
      <c r="H407"/>
      <c r="I407"/>
      <c r="J407"/>
      <c r="K407"/>
      <c r="L407"/>
      <c r="M407"/>
      <c r="N407"/>
      <c r="O407"/>
      <c r="P407"/>
      <c r="Q407"/>
      <c r="R407"/>
      <c r="S407"/>
      <c r="T407"/>
      <c r="U407"/>
      <c r="V407"/>
      <c r="W407"/>
      <c r="X407"/>
      <c r="Y407"/>
      <c r="Z407"/>
      <c r="AA407"/>
      <c r="AB407"/>
      <c r="AC407"/>
      <c r="AD407"/>
      <c r="AF407"/>
    </row>
    <row r="408" spans="5:32" x14ac:dyDescent="0.25">
      <c r="E408"/>
      <c r="F408"/>
      <c r="G408"/>
      <c r="H408"/>
      <c r="I408"/>
      <c r="J408"/>
      <c r="K408"/>
      <c r="L408"/>
      <c r="M408"/>
      <c r="N408"/>
      <c r="O408"/>
      <c r="P408"/>
      <c r="Q408"/>
      <c r="R408"/>
      <c r="S408"/>
      <c r="T408"/>
      <c r="U408"/>
      <c r="V408"/>
      <c r="W408"/>
      <c r="X408"/>
      <c r="Y408"/>
      <c r="Z408"/>
      <c r="AA408"/>
      <c r="AB408"/>
      <c r="AC408"/>
      <c r="AD408"/>
      <c r="AF408"/>
    </row>
    <row r="409" spans="5:32" x14ac:dyDescent="0.25">
      <c r="E409"/>
      <c r="F409"/>
      <c r="G409"/>
      <c r="H409"/>
      <c r="I409"/>
      <c r="J409"/>
      <c r="K409"/>
      <c r="L409"/>
      <c r="M409"/>
      <c r="N409"/>
      <c r="O409"/>
      <c r="P409"/>
      <c r="Q409"/>
      <c r="R409"/>
      <c r="S409"/>
      <c r="T409"/>
      <c r="U409"/>
      <c r="V409"/>
      <c r="W409"/>
      <c r="X409"/>
      <c r="Y409"/>
      <c r="Z409"/>
      <c r="AA409"/>
      <c r="AB409"/>
      <c r="AC409"/>
      <c r="AD409"/>
      <c r="AF409"/>
    </row>
    <row r="410" spans="5:32" x14ac:dyDescent="0.25">
      <c r="E410"/>
      <c r="F410"/>
      <c r="G410"/>
      <c r="H410"/>
      <c r="I410"/>
      <c r="J410"/>
      <c r="K410"/>
      <c r="L410"/>
      <c r="M410"/>
      <c r="N410"/>
      <c r="O410"/>
      <c r="P410"/>
      <c r="Q410"/>
      <c r="R410"/>
      <c r="S410"/>
      <c r="T410"/>
      <c r="U410"/>
      <c r="V410"/>
      <c r="W410"/>
      <c r="X410"/>
      <c r="Y410"/>
      <c r="Z410"/>
      <c r="AA410"/>
      <c r="AB410"/>
      <c r="AC410"/>
      <c r="AD410"/>
      <c r="AF410"/>
    </row>
    <row r="411" spans="5:32" x14ac:dyDescent="0.25">
      <c r="E411"/>
      <c r="F411"/>
      <c r="G411"/>
      <c r="H411"/>
      <c r="I411"/>
      <c r="J411"/>
      <c r="K411"/>
      <c r="L411"/>
      <c r="M411"/>
      <c r="N411"/>
      <c r="O411"/>
      <c r="P411"/>
      <c r="Q411"/>
      <c r="R411"/>
      <c r="S411"/>
      <c r="T411"/>
      <c r="U411"/>
      <c r="V411"/>
      <c r="W411"/>
      <c r="X411"/>
      <c r="Y411"/>
      <c r="Z411"/>
      <c r="AA411"/>
      <c r="AB411"/>
      <c r="AC411"/>
      <c r="AD411"/>
      <c r="AF411"/>
    </row>
    <row r="412" spans="5:32" x14ac:dyDescent="0.25">
      <c r="E412"/>
      <c r="F412"/>
      <c r="G412"/>
      <c r="H412"/>
      <c r="I412"/>
      <c r="J412"/>
      <c r="K412"/>
      <c r="L412"/>
      <c r="M412"/>
      <c r="N412"/>
      <c r="O412"/>
      <c r="P412"/>
      <c r="Q412"/>
      <c r="R412"/>
      <c r="S412"/>
      <c r="T412"/>
      <c r="U412"/>
      <c r="V412"/>
      <c r="W412"/>
      <c r="X412"/>
      <c r="Y412"/>
      <c r="Z412"/>
      <c r="AA412"/>
      <c r="AB412"/>
      <c r="AC412"/>
      <c r="AD412"/>
      <c r="AF412"/>
    </row>
    <row r="413" spans="5:32" x14ac:dyDescent="0.25">
      <c r="E413"/>
      <c r="F413"/>
      <c r="G413"/>
      <c r="H413"/>
      <c r="I413"/>
      <c r="J413"/>
      <c r="K413"/>
      <c r="L413"/>
      <c r="M413"/>
      <c r="N413"/>
      <c r="O413"/>
      <c r="P413"/>
      <c r="Q413"/>
      <c r="R413"/>
      <c r="S413"/>
      <c r="T413"/>
      <c r="U413"/>
      <c r="V413"/>
      <c r="W413"/>
      <c r="X413"/>
      <c r="Y413"/>
      <c r="Z413"/>
      <c r="AA413"/>
      <c r="AB413"/>
      <c r="AC413"/>
      <c r="AD413"/>
      <c r="AF413"/>
    </row>
    <row r="414" spans="5:32" x14ac:dyDescent="0.25">
      <c r="E414"/>
      <c r="F414"/>
      <c r="G414"/>
      <c r="H414"/>
      <c r="I414"/>
      <c r="J414"/>
      <c r="K414"/>
      <c r="L414"/>
      <c r="M414"/>
      <c r="N414"/>
      <c r="O414"/>
      <c r="P414"/>
      <c r="Q414"/>
      <c r="R414"/>
      <c r="S414"/>
      <c r="T414"/>
      <c r="U414"/>
      <c r="V414"/>
      <c r="W414"/>
      <c r="X414"/>
      <c r="Y414"/>
      <c r="Z414"/>
      <c r="AA414"/>
      <c r="AB414"/>
      <c r="AC414"/>
      <c r="AD414"/>
      <c r="AF414"/>
    </row>
    <row r="415" spans="5:32" x14ac:dyDescent="0.25">
      <c r="E415"/>
      <c r="F415"/>
      <c r="G415"/>
      <c r="H415"/>
      <c r="I415"/>
      <c r="J415"/>
      <c r="K415"/>
      <c r="L415"/>
      <c r="M415"/>
      <c r="N415"/>
      <c r="O415"/>
      <c r="P415"/>
      <c r="Q415"/>
      <c r="R415"/>
      <c r="S415"/>
      <c r="T415"/>
      <c r="U415"/>
      <c r="V415"/>
      <c r="W415"/>
      <c r="X415"/>
      <c r="Y415"/>
      <c r="Z415"/>
      <c r="AA415"/>
      <c r="AB415"/>
      <c r="AC415"/>
      <c r="AD415"/>
      <c r="AF415"/>
    </row>
    <row r="416" spans="5:32" x14ac:dyDescent="0.25">
      <c r="E416"/>
      <c r="F416"/>
      <c r="G416"/>
      <c r="H416"/>
      <c r="I416"/>
      <c r="J416"/>
      <c r="K416"/>
      <c r="L416"/>
      <c r="M416"/>
      <c r="N416"/>
      <c r="O416"/>
      <c r="P416"/>
      <c r="Q416"/>
      <c r="R416"/>
      <c r="S416"/>
      <c r="T416"/>
      <c r="U416"/>
      <c r="V416"/>
      <c r="W416"/>
      <c r="X416"/>
      <c r="Y416"/>
      <c r="Z416"/>
      <c r="AA416"/>
      <c r="AB416"/>
      <c r="AC416"/>
      <c r="AD416"/>
      <c r="AF416"/>
    </row>
    <row r="417" spans="5:32" x14ac:dyDescent="0.25">
      <c r="E417"/>
      <c r="F417"/>
      <c r="G417"/>
      <c r="H417"/>
      <c r="I417"/>
      <c r="J417"/>
      <c r="K417"/>
      <c r="L417"/>
      <c r="M417"/>
      <c r="N417"/>
      <c r="O417"/>
      <c r="P417"/>
      <c r="Q417"/>
      <c r="R417"/>
      <c r="S417"/>
      <c r="T417"/>
      <c r="U417"/>
      <c r="V417"/>
      <c r="W417"/>
      <c r="X417"/>
      <c r="Y417"/>
      <c r="Z417"/>
      <c r="AA417"/>
      <c r="AB417"/>
      <c r="AC417"/>
      <c r="AD417"/>
      <c r="AF417"/>
    </row>
    <row r="418" spans="5:32" x14ac:dyDescent="0.25">
      <c r="E418"/>
      <c r="F418"/>
      <c r="G418"/>
      <c r="H418"/>
      <c r="I418"/>
      <c r="J418"/>
      <c r="K418"/>
      <c r="L418"/>
      <c r="M418"/>
      <c r="N418"/>
      <c r="O418"/>
      <c r="P418"/>
      <c r="Q418"/>
      <c r="R418"/>
      <c r="S418"/>
      <c r="T418"/>
      <c r="U418"/>
      <c r="V418"/>
      <c r="W418"/>
      <c r="X418"/>
      <c r="Y418"/>
      <c r="Z418"/>
      <c r="AA418"/>
      <c r="AB418"/>
      <c r="AC418"/>
      <c r="AD418"/>
      <c r="AF418"/>
    </row>
    <row r="419" spans="5:32" x14ac:dyDescent="0.25">
      <c r="E419"/>
      <c r="F419"/>
      <c r="G419"/>
      <c r="H419"/>
      <c r="I419"/>
      <c r="J419"/>
      <c r="K419"/>
      <c r="L419"/>
      <c r="M419"/>
      <c r="N419"/>
      <c r="O419"/>
      <c r="P419"/>
      <c r="Q419"/>
      <c r="R419"/>
      <c r="S419"/>
      <c r="T419"/>
      <c r="U419"/>
      <c r="V419"/>
      <c r="W419"/>
      <c r="X419"/>
      <c r="Y419"/>
      <c r="Z419"/>
      <c r="AA419"/>
      <c r="AB419"/>
      <c r="AC419"/>
      <c r="AD419"/>
      <c r="AF419"/>
    </row>
    <row r="420" spans="5:32" x14ac:dyDescent="0.25">
      <c r="E420"/>
      <c r="F420"/>
      <c r="G420"/>
      <c r="H420"/>
      <c r="I420"/>
      <c r="J420"/>
      <c r="K420"/>
      <c r="L420"/>
      <c r="M420"/>
      <c r="N420"/>
      <c r="O420"/>
      <c r="P420"/>
      <c r="Q420"/>
      <c r="R420"/>
      <c r="S420"/>
      <c r="T420"/>
      <c r="U420"/>
      <c r="V420"/>
      <c r="W420"/>
      <c r="X420"/>
      <c r="Y420"/>
      <c r="Z420"/>
      <c r="AA420"/>
      <c r="AB420"/>
      <c r="AC420"/>
      <c r="AD420"/>
      <c r="AF420"/>
    </row>
    <row r="421" spans="5:32" x14ac:dyDescent="0.25">
      <c r="E421"/>
      <c r="F421"/>
      <c r="G421"/>
      <c r="H421"/>
      <c r="I421"/>
      <c r="J421"/>
      <c r="K421"/>
      <c r="L421"/>
      <c r="M421"/>
      <c r="N421"/>
      <c r="O421"/>
      <c r="P421"/>
      <c r="Q421"/>
      <c r="R421"/>
      <c r="S421"/>
      <c r="T421"/>
      <c r="U421"/>
      <c r="V421"/>
      <c r="W421"/>
      <c r="X421"/>
      <c r="Y421"/>
      <c r="Z421"/>
      <c r="AA421"/>
      <c r="AB421"/>
      <c r="AC421"/>
      <c r="AD421"/>
      <c r="AF421"/>
    </row>
    <row r="422" spans="5:32" x14ac:dyDescent="0.25">
      <c r="E422"/>
      <c r="F422"/>
      <c r="G422"/>
      <c r="H422"/>
      <c r="I422"/>
      <c r="J422"/>
      <c r="K422"/>
      <c r="L422"/>
      <c r="M422"/>
      <c r="N422"/>
      <c r="O422"/>
      <c r="P422"/>
      <c r="Q422"/>
      <c r="R422"/>
      <c r="S422"/>
      <c r="T422"/>
      <c r="U422"/>
      <c r="V422"/>
      <c r="W422"/>
      <c r="X422"/>
      <c r="Y422"/>
      <c r="Z422"/>
      <c r="AA422"/>
      <c r="AB422"/>
      <c r="AC422"/>
      <c r="AD422"/>
      <c r="AF422"/>
    </row>
    <row r="423" spans="5:32" x14ac:dyDescent="0.25">
      <c r="E423"/>
      <c r="F423"/>
      <c r="G423"/>
      <c r="H423"/>
      <c r="I423"/>
      <c r="J423"/>
      <c r="K423"/>
      <c r="L423"/>
      <c r="M423"/>
      <c r="N423"/>
      <c r="O423"/>
      <c r="P423"/>
      <c r="Q423"/>
      <c r="R423"/>
      <c r="S423"/>
      <c r="T423"/>
      <c r="U423"/>
      <c r="V423"/>
      <c r="W423"/>
      <c r="X423"/>
      <c r="Y423"/>
      <c r="Z423"/>
      <c r="AA423"/>
      <c r="AB423"/>
      <c r="AC423"/>
      <c r="AD423"/>
      <c r="AF423"/>
    </row>
    <row r="424" spans="5:32" x14ac:dyDescent="0.25">
      <c r="E424"/>
      <c r="F424"/>
      <c r="G424"/>
      <c r="H424"/>
      <c r="I424"/>
      <c r="J424"/>
      <c r="K424"/>
      <c r="L424"/>
      <c r="M424"/>
      <c r="N424"/>
      <c r="O424"/>
      <c r="P424"/>
      <c r="Q424"/>
      <c r="R424"/>
      <c r="S424"/>
      <c r="T424"/>
      <c r="U424"/>
      <c r="V424"/>
      <c r="W424"/>
      <c r="X424"/>
      <c r="Y424"/>
      <c r="Z424"/>
      <c r="AA424"/>
      <c r="AB424"/>
      <c r="AC424"/>
      <c r="AD424"/>
      <c r="AF424"/>
    </row>
    <row r="425" spans="5:32" x14ac:dyDescent="0.25">
      <c r="E425"/>
      <c r="F425"/>
      <c r="G425"/>
      <c r="H425"/>
      <c r="I425"/>
      <c r="J425"/>
      <c r="K425"/>
      <c r="L425"/>
      <c r="M425"/>
      <c r="N425"/>
      <c r="O425"/>
      <c r="P425"/>
      <c r="Q425"/>
      <c r="R425"/>
      <c r="S425"/>
      <c r="T425"/>
      <c r="U425"/>
      <c r="V425"/>
      <c r="W425"/>
      <c r="X425"/>
      <c r="Y425"/>
      <c r="Z425"/>
      <c r="AA425"/>
      <c r="AB425"/>
      <c r="AC425"/>
      <c r="AD425"/>
      <c r="AF425"/>
    </row>
    <row r="1027" spans="4:4" x14ac:dyDescent="0.25">
      <c r="D1027" s="24">
        <v>0</v>
      </c>
    </row>
    <row r="1470" spans="4:4" x14ac:dyDescent="0.25">
      <c r="D1470" s="24">
        <v>0</v>
      </c>
    </row>
  </sheetData>
  <sheetProtection sheet="1" objects="1" scenarios="1"/>
  <sortState xmlns:xlrd2="http://schemas.microsoft.com/office/spreadsheetml/2017/richdata2" ref="A2:Z35">
    <sortCondition ref="A2:A35"/>
  </sortState>
  <phoneticPr fontId="6" type="noConversion"/>
  <pageMargins left="0.7" right="0.7" top="0.75" bottom="0.75" header="0.3" footer="0.3"/>
  <ignoredErrors>
    <ignoredError sqref="G15:G17" numberStoredAsText="1"/>
  </ignoredErrors>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dimension ref="A1:K475"/>
  <sheetViews>
    <sheetView topLeftCell="A214" workbookViewId="0">
      <selection activeCell="C250" sqref="C1:C1048576"/>
    </sheetView>
  </sheetViews>
  <sheetFormatPr baseColWidth="10" defaultRowHeight="13.2" outlineLevelCol="1" x14ac:dyDescent="0.2"/>
  <cols>
    <col min="1" max="1" width="1.6640625" style="295" customWidth="1"/>
    <col min="2" max="2" width="5.33203125" style="249" customWidth="1"/>
    <col min="3" max="3" width="38.6640625" style="249" customWidth="1"/>
    <col min="4" max="4" width="1.5546875" style="39" customWidth="1"/>
    <col min="5" max="5" width="5.5546875" style="595" customWidth="1" outlineLevel="1"/>
    <col min="6" max="6" width="38.6640625" style="39" customWidth="1" outlineLevel="1"/>
    <col min="7" max="7" width="1.5546875" style="39" customWidth="1" outlineLevel="1"/>
    <col min="8" max="8" width="4.5546875" style="595" customWidth="1" outlineLevel="1"/>
    <col min="9" max="9" width="38.6640625" style="39" customWidth="1" outlineLevel="1"/>
    <col min="10" max="10" width="20.5546875" customWidth="1"/>
  </cols>
  <sheetData>
    <row r="1" spans="1:9" ht="30.75" customHeight="1" x14ac:dyDescent="0.2">
      <c r="A1" s="633" t="s">
        <v>2922</v>
      </c>
    </row>
    <row r="2" spans="1:9" ht="17.399999999999999" x14ac:dyDescent="0.25">
      <c r="A2" s="1421" t="s">
        <v>2341</v>
      </c>
      <c r="B2" s="1421"/>
      <c r="C2" s="1421"/>
      <c r="D2" s="634"/>
      <c r="E2" s="1421" t="s">
        <v>2921</v>
      </c>
      <c r="F2" s="1421"/>
      <c r="G2" s="1421"/>
      <c r="H2" s="1421" t="s">
        <v>2342</v>
      </c>
      <c r="I2" s="1421"/>
    </row>
    <row r="3" spans="1:9" x14ac:dyDescent="0.25">
      <c r="A3" s="537" t="s">
        <v>279</v>
      </c>
      <c r="B3" s="538"/>
      <c r="C3" s="539"/>
      <c r="D3" s="540"/>
      <c r="E3" s="541"/>
      <c r="F3" s="542"/>
      <c r="G3" s="540"/>
      <c r="H3" s="541"/>
      <c r="I3" s="542"/>
    </row>
    <row r="4" spans="1:9" x14ac:dyDescent="0.25">
      <c r="A4" s="543"/>
      <c r="B4" s="544" t="s">
        <v>280</v>
      </c>
      <c r="C4" s="545"/>
      <c r="D4" s="546"/>
      <c r="E4" s="547"/>
      <c r="F4" s="548"/>
      <c r="G4" s="546"/>
      <c r="H4" s="547"/>
      <c r="I4" s="548"/>
    </row>
    <row r="5" spans="1:9" x14ac:dyDescent="0.25">
      <c r="A5" s="549"/>
      <c r="B5" s="550"/>
      <c r="C5" s="551" t="s">
        <v>281</v>
      </c>
      <c r="D5" s="552"/>
      <c r="E5" s="553"/>
      <c r="F5" s="554"/>
      <c r="G5" s="552"/>
      <c r="H5" s="553"/>
      <c r="I5" s="554"/>
    </row>
    <row r="6" spans="1:9" ht="15.6" x14ac:dyDescent="0.25">
      <c r="A6" s="555"/>
      <c r="B6" s="556" t="s">
        <v>2961</v>
      </c>
      <c r="C6" s="557"/>
      <c r="D6" s="558"/>
      <c r="E6" s="559"/>
      <c r="F6" s="560"/>
      <c r="G6" s="558"/>
      <c r="H6" s="559"/>
      <c r="I6" s="560"/>
    </row>
    <row r="7" spans="1:9" x14ac:dyDescent="0.2">
      <c r="A7" s="561"/>
      <c r="B7" s="35" t="s">
        <v>2343</v>
      </c>
      <c r="C7" s="36"/>
      <c r="D7" s="561"/>
      <c r="E7" s="35" t="s">
        <v>2343</v>
      </c>
      <c r="F7" s="36"/>
      <c r="G7" s="561"/>
      <c r="H7" s="35" t="s">
        <v>2343</v>
      </c>
      <c r="I7" s="36"/>
    </row>
    <row r="8" spans="1:9" x14ac:dyDescent="0.2">
      <c r="A8" s="561"/>
      <c r="B8" s="35"/>
      <c r="C8" s="36"/>
      <c r="D8" s="561"/>
      <c r="E8" s="141" t="s">
        <v>653</v>
      </c>
      <c r="F8" s="141" t="s">
        <v>654</v>
      </c>
      <c r="G8" s="561"/>
      <c r="H8" s="142"/>
      <c r="I8" s="40"/>
    </row>
    <row r="9" spans="1:9" x14ac:dyDescent="0.2">
      <c r="A9" s="561"/>
      <c r="B9" s="35"/>
      <c r="C9" s="36"/>
      <c r="D9" s="561"/>
      <c r="E9" s="141" t="s">
        <v>655</v>
      </c>
      <c r="F9" s="40" t="s">
        <v>656</v>
      </c>
      <c r="G9" s="561"/>
      <c r="H9" s="142"/>
      <c r="I9" s="40"/>
    </row>
    <row r="10" spans="1:9" x14ac:dyDescent="0.25">
      <c r="A10" s="561"/>
      <c r="B10" s="35"/>
      <c r="C10" s="36"/>
      <c r="D10" s="561"/>
      <c r="E10" s="35" t="s">
        <v>658</v>
      </c>
      <c r="F10" s="34"/>
      <c r="G10" s="561"/>
      <c r="H10" s="34"/>
      <c r="I10" s="34"/>
    </row>
    <row r="11" spans="1:9" ht="20.399999999999999" x14ac:dyDescent="0.25">
      <c r="A11" s="561"/>
      <c r="B11" s="36" t="s">
        <v>2344</v>
      </c>
      <c r="C11" s="36" t="s">
        <v>2345</v>
      </c>
      <c r="D11" s="561"/>
      <c r="E11" s="142"/>
      <c r="F11" s="34"/>
      <c r="G11" s="561"/>
      <c r="H11" s="34"/>
      <c r="I11" s="34"/>
    </row>
    <row r="12" spans="1:9" ht="20.399999999999999" x14ac:dyDescent="0.2">
      <c r="A12" s="561"/>
      <c r="B12" s="36" t="s">
        <v>2346</v>
      </c>
      <c r="C12" s="36" t="s">
        <v>558</v>
      </c>
      <c r="D12" s="561"/>
      <c r="E12" s="141" t="s">
        <v>659</v>
      </c>
      <c r="F12" s="36" t="s">
        <v>558</v>
      </c>
      <c r="G12" s="561"/>
      <c r="H12" s="141" t="s">
        <v>653</v>
      </c>
      <c r="I12" s="36" t="s">
        <v>558</v>
      </c>
    </row>
    <row r="13" spans="1:9" x14ac:dyDescent="0.25">
      <c r="A13" s="561"/>
      <c r="B13" s="36"/>
      <c r="C13" s="34"/>
      <c r="D13" s="561"/>
      <c r="E13" s="141" t="s">
        <v>660</v>
      </c>
      <c r="F13" s="36" t="s">
        <v>661</v>
      </c>
      <c r="G13" s="561"/>
      <c r="H13" s="141"/>
      <c r="I13" s="36"/>
    </row>
    <row r="14" spans="1:9" ht="20.399999999999999" x14ac:dyDescent="0.25">
      <c r="A14" s="561"/>
      <c r="B14" s="36"/>
      <c r="C14" s="34"/>
      <c r="D14" s="561"/>
      <c r="E14" s="141" t="s">
        <v>662</v>
      </c>
      <c r="F14" s="36" t="s">
        <v>663</v>
      </c>
      <c r="G14" s="561"/>
      <c r="H14" s="141"/>
      <c r="I14" s="36"/>
    </row>
    <row r="15" spans="1:9" x14ac:dyDescent="0.25">
      <c r="A15" s="561"/>
      <c r="B15" s="36"/>
      <c r="C15" s="34"/>
      <c r="D15" s="561"/>
      <c r="E15" s="141" t="s">
        <v>664</v>
      </c>
      <c r="F15" s="36" t="s">
        <v>129</v>
      </c>
      <c r="G15" s="561"/>
      <c r="H15" s="141"/>
      <c r="I15" s="36"/>
    </row>
    <row r="16" spans="1:9" x14ac:dyDescent="0.25">
      <c r="A16" s="561"/>
      <c r="B16" s="36"/>
      <c r="C16" s="34"/>
      <c r="D16" s="561"/>
      <c r="E16" s="141" t="s">
        <v>665</v>
      </c>
      <c r="F16" s="36" t="s">
        <v>2347</v>
      </c>
      <c r="G16" s="561"/>
      <c r="H16" s="141"/>
      <c r="I16" s="36"/>
    </row>
    <row r="17" spans="1:9" x14ac:dyDescent="0.25">
      <c r="A17" s="561"/>
      <c r="B17" s="36"/>
      <c r="C17" s="34"/>
      <c r="D17" s="561"/>
      <c r="E17" s="141" t="s">
        <v>666</v>
      </c>
      <c r="F17" s="36" t="s">
        <v>667</v>
      </c>
      <c r="G17" s="561"/>
      <c r="H17" s="141"/>
      <c r="I17" s="36"/>
    </row>
    <row r="18" spans="1:9" x14ac:dyDescent="0.25">
      <c r="A18" s="561"/>
      <c r="B18" s="36"/>
      <c r="C18" s="34"/>
      <c r="D18" s="561"/>
      <c r="E18" s="141" t="s">
        <v>668</v>
      </c>
      <c r="F18" s="36" t="s">
        <v>669</v>
      </c>
      <c r="G18" s="561"/>
      <c r="H18" s="141"/>
      <c r="I18" s="36"/>
    </row>
    <row r="19" spans="1:9" ht="20.399999999999999" x14ac:dyDescent="0.25">
      <c r="A19" s="561"/>
      <c r="B19" s="36"/>
      <c r="C19" s="34"/>
      <c r="D19" s="561"/>
      <c r="E19" s="141" t="s">
        <v>670</v>
      </c>
      <c r="F19" s="36" t="s">
        <v>671</v>
      </c>
      <c r="G19" s="561"/>
      <c r="H19" s="141"/>
      <c r="I19" s="36"/>
    </row>
    <row r="20" spans="1:9" x14ac:dyDescent="0.25">
      <c r="A20" s="561"/>
      <c r="B20" s="36"/>
      <c r="C20" s="34"/>
      <c r="D20" s="561"/>
      <c r="E20" s="141" t="s">
        <v>672</v>
      </c>
      <c r="F20" s="36" t="s">
        <v>673</v>
      </c>
      <c r="G20" s="561"/>
      <c r="H20" s="141"/>
      <c r="I20" s="36"/>
    </row>
    <row r="21" spans="1:9" ht="26.25" customHeight="1" x14ac:dyDescent="0.2">
      <c r="A21" s="561"/>
      <c r="B21" s="36" t="s">
        <v>2348</v>
      </c>
      <c r="C21" s="36" t="s">
        <v>480</v>
      </c>
      <c r="D21" s="561"/>
      <c r="E21" s="141" t="s">
        <v>674</v>
      </c>
      <c r="F21" s="36" t="s">
        <v>480</v>
      </c>
      <c r="G21" s="561"/>
      <c r="H21" s="141" t="s">
        <v>655</v>
      </c>
      <c r="I21" s="36" t="s">
        <v>3064</v>
      </c>
    </row>
    <row r="22" spans="1:9" ht="14.25" customHeight="1" x14ac:dyDescent="0.25">
      <c r="A22" s="561"/>
      <c r="B22" s="36" t="s">
        <v>2349</v>
      </c>
      <c r="C22" s="36" t="s">
        <v>2350</v>
      </c>
      <c r="D22" s="562"/>
      <c r="E22" s="34"/>
      <c r="F22" s="34"/>
      <c r="G22" s="562"/>
      <c r="H22" s="34"/>
      <c r="I22" s="34"/>
    </row>
    <row r="23" spans="1:9" ht="14.25" customHeight="1" x14ac:dyDescent="0.25">
      <c r="A23" s="562"/>
      <c r="B23" s="36" t="s">
        <v>2351</v>
      </c>
      <c r="C23" s="36" t="s">
        <v>2352</v>
      </c>
      <c r="D23" s="562"/>
      <c r="E23" s="34"/>
      <c r="F23" s="34"/>
      <c r="G23" s="562"/>
      <c r="H23" s="34"/>
      <c r="I23" s="34"/>
    </row>
    <row r="24" spans="1:9" x14ac:dyDescent="0.25">
      <c r="A24" s="562"/>
      <c r="B24" s="35" t="s">
        <v>2353</v>
      </c>
      <c r="C24" s="37"/>
      <c r="D24" s="561"/>
      <c r="E24" s="35"/>
      <c r="F24" s="34"/>
      <c r="G24" s="561"/>
      <c r="I24" s="34"/>
    </row>
    <row r="25" spans="1:9" ht="20.399999999999999" x14ac:dyDescent="0.25">
      <c r="A25" s="561"/>
      <c r="B25" s="36" t="s">
        <v>2354</v>
      </c>
      <c r="C25" s="36" t="s">
        <v>2355</v>
      </c>
      <c r="D25" s="561"/>
      <c r="E25" s="34"/>
      <c r="F25" s="36" t="s">
        <v>2923</v>
      </c>
      <c r="G25" s="561"/>
      <c r="H25" s="34"/>
      <c r="I25" s="34"/>
    </row>
    <row r="26" spans="1:9" ht="20.399999999999999" x14ac:dyDescent="0.25">
      <c r="A26" s="561"/>
      <c r="B26" s="36" t="s">
        <v>2356</v>
      </c>
      <c r="C26" s="36" t="s">
        <v>2357</v>
      </c>
      <c r="D26" s="561"/>
      <c r="E26" s="34"/>
      <c r="F26" s="36" t="s">
        <v>2923</v>
      </c>
      <c r="G26" s="561"/>
      <c r="H26" s="34"/>
      <c r="I26" s="34"/>
    </row>
    <row r="27" spans="1:9" x14ac:dyDescent="0.25">
      <c r="A27" s="561"/>
      <c r="B27" s="36"/>
      <c r="C27" s="36"/>
      <c r="D27" s="561"/>
      <c r="E27" s="35" t="s">
        <v>675</v>
      </c>
      <c r="G27" s="561"/>
      <c r="H27" s="34"/>
      <c r="I27" s="34"/>
    </row>
    <row r="28" spans="1:9" ht="15" customHeight="1" x14ac:dyDescent="0.25">
      <c r="A28" s="561"/>
      <c r="B28" s="36" t="s">
        <v>2358</v>
      </c>
      <c r="C28" s="36" t="s">
        <v>2359</v>
      </c>
      <c r="D28" s="561"/>
      <c r="E28" s="36" t="s">
        <v>676</v>
      </c>
      <c r="F28" s="36" t="s">
        <v>677</v>
      </c>
      <c r="G28" s="561"/>
      <c r="H28" s="34"/>
      <c r="I28" s="34"/>
    </row>
    <row r="29" spans="1:9" ht="15" customHeight="1" x14ac:dyDescent="0.25">
      <c r="A29" s="561"/>
      <c r="B29" s="36" t="s">
        <v>2360</v>
      </c>
      <c r="C29" s="36" t="s">
        <v>503</v>
      </c>
      <c r="D29" s="561"/>
      <c r="E29" s="36" t="s">
        <v>678</v>
      </c>
      <c r="F29" s="36" t="s">
        <v>503</v>
      </c>
      <c r="G29" s="561"/>
      <c r="H29" s="34"/>
      <c r="I29" s="34"/>
    </row>
    <row r="30" spans="1:9" ht="15" customHeight="1" x14ac:dyDescent="0.25">
      <c r="A30" s="561"/>
      <c r="B30" s="38" t="s">
        <v>2361</v>
      </c>
      <c r="C30" s="36" t="s">
        <v>2362</v>
      </c>
      <c r="D30" s="34"/>
      <c r="E30" s="36"/>
      <c r="F30" s="36"/>
      <c r="G30" s="34"/>
      <c r="H30" s="34"/>
      <c r="I30" s="34"/>
    </row>
    <row r="31" spans="1:9" x14ac:dyDescent="0.2">
      <c r="A31" s="561"/>
      <c r="B31" s="35" t="s">
        <v>504</v>
      </c>
      <c r="C31" s="37"/>
      <c r="D31" s="561"/>
      <c r="E31" s="35" t="s">
        <v>504</v>
      </c>
      <c r="F31" s="37"/>
      <c r="G31" s="561"/>
      <c r="H31" s="35" t="s">
        <v>2353</v>
      </c>
      <c r="I31" s="37"/>
    </row>
    <row r="32" spans="1:9" ht="14.25" customHeight="1" x14ac:dyDescent="0.2">
      <c r="A32" s="561"/>
      <c r="B32" s="36" t="s">
        <v>2363</v>
      </c>
      <c r="C32" s="36" t="s">
        <v>556</v>
      </c>
      <c r="D32" s="561"/>
      <c r="E32" s="36" t="s">
        <v>679</v>
      </c>
      <c r="F32" s="36" t="s">
        <v>556</v>
      </c>
      <c r="G32" s="561"/>
      <c r="H32" s="36"/>
      <c r="I32" s="36"/>
    </row>
    <row r="33" spans="1:9" ht="14.25" customHeight="1" x14ac:dyDescent="0.2">
      <c r="A33" s="561"/>
      <c r="B33" s="36"/>
      <c r="C33" s="40"/>
      <c r="D33" s="561"/>
      <c r="E33" s="36" t="s">
        <v>680</v>
      </c>
      <c r="F33" s="40" t="s">
        <v>1554</v>
      </c>
      <c r="G33" s="561"/>
      <c r="H33" s="40"/>
      <c r="I33" s="40"/>
    </row>
    <row r="34" spans="1:9" ht="27" customHeight="1" x14ac:dyDescent="0.2">
      <c r="A34" s="561"/>
      <c r="B34" s="38" t="s">
        <v>2364</v>
      </c>
      <c r="C34" s="126" t="s">
        <v>103</v>
      </c>
      <c r="D34" s="561"/>
      <c r="F34" s="126" t="s">
        <v>3085</v>
      </c>
      <c r="G34" s="561"/>
      <c r="H34" s="126" t="s">
        <v>659</v>
      </c>
      <c r="I34" s="126" t="s">
        <v>2365</v>
      </c>
    </row>
    <row r="35" spans="1:9" ht="15" customHeight="1" x14ac:dyDescent="0.2">
      <c r="A35" s="561"/>
      <c r="B35" s="36" t="s">
        <v>2366</v>
      </c>
      <c r="C35" s="36" t="s">
        <v>2367</v>
      </c>
      <c r="D35" s="561"/>
      <c r="E35" s="36"/>
      <c r="F35" s="36"/>
      <c r="G35" s="561"/>
      <c r="H35" s="36"/>
      <c r="I35" s="36"/>
    </row>
    <row r="36" spans="1:9" ht="15" customHeight="1" x14ac:dyDescent="0.2">
      <c r="A36" s="561"/>
      <c r="B36" s="36" t="s">
        <v>2368</v>
      </c>
      <c r="C36" s="36" t="s">
        <v>557</v>
      </c>
      <c r="D36" s="561"/>
      <c r="E36" s="36" t="s">
        <v>681</v>
      </c>
      <c r="F36" s="36" t="s">
        <v>557</v>
      </c>
      <c r="G36" s="561"/>
      <c r="H36" s="564"/>
      <c r="I36" s="568"/>
    </row>
    <row r="37" spans="1:9" x14ac:dyDescent="0.2">
      <c r="A37" s="561"/>
      <c r="B37" s="36"/>
      <c r="C37" s="36"/>
      <c r="D37" s="561"/>
      <c r="E37" s="36" t="s">
        <v>682</v>
      </c>
      <c r="F37" s="36" t="s">
        <v>125</v>
      </c>
      <c r="G37" s="561"/>
      <c r="H37" s="564"/>
      <c r="I37" s="636"/>
    </row>
    <row r="38" spans="1:9" x14ac:dyDescent="0.2">
      <c r="A38" s="561"/>
      <c r="B38" s="36"/>
      <c r="C38" s="36"/>
      <c r="D38" s="561"/>
      <c r="E38" s="36" t="s">
        <v>683</v>
      </c>
      <c r="F38" s="36" t="s">
        <v>684</v>
      </c>
      <c r="G38" s="561"/>
      <c r="H38" s="564"/>
      <c r="I38" s="637"/>
    </row>
    <row r="39" spans="1:9" ht="13.5" customHeight="1" x14ac:dyDescent="0.2">
      <c r="A39" s="561"/>
      <c r="B39" s="36" t="s">
        <v>2369</v>
      </c>
      <c r="C39" s="36" t="s">
        <v>2370</v>
      </c>
      <c r="D39" s="561"/>
      <c r="E39" s="36"/>
      <c r="F39" s="36"/>
      <c r="G39" s="561"/>
      <c r="H39" s="49" t="s">
        <v>3065</v>
      </c>
      <c r="I39" s="135" t="s">
        <v>3066</v>
      </c>
    </row>
    <row r="40" spans="1:9" ht="13.5" customHeight="1" x14ac:dyDescent="0.25">
      <c r="A40" s="561"/>
      <c r="B40" s="36" t="s">
        <v>2371</v>
      </c>
      <c r="C40" s="36" t="s">
        <v>2372</v>
      </c>
      <c r="D40" s="561"/>
      <c r="E40" s="565"/>
      <c r="F40" s="34"/>
      <c r="G40" s="561"/>
      <c r="H40" s="565"/>
      <c r="I40" s="34"/>
    </row>
    <row r="41" spans="1:9" x14ac:dyDescent="0.25">
      <c r="A41" s="561"/>
      <c r="B41" s="35" t="s">
        <v>2373</v>
      </c>
      <c r="C41" s="37"/>
      <c r="D41" s="561"/>
      <c r="E41" s="565"/>
      <c r="F41" s="566"/>
      <c r="G41" s="561"/>
      <c r="H41" s="565"/>
      <c r="I41" s="34"/>
    </row>
    <row r="42" spans="1:9" ht="15" customHeight="1" x14ac:dyDescent="0.25">
      <c r="A42" s="561"/>
      <c r="B42" s="38" t="s">
        <v>2374</v>
      </c>
      <c r="C42" s="36" t="s">
        <v>2375</v>
      </c>
      <c r="D42" s="561"/>
      <c r="E42" s="565"/>
      <c r="F42" s="36"/>
      <c r="G42" s="561"/>
      <c r="H42" s="565"/>
      <c r="I42" s="34"/>
    </row>
    <row r="43" spans="1:9" ht="15" customHeight="1" x14ac:dyDescent="0.2">
      <c r="A43" s="561"/>
      <c r="B43" s="38" t="s">
        <v>2376</v>
      </c>
      <c r="C43" s="36" t="s">
        <v>2377</v>
      </c>
      <c r="D43" s="561"/>
      <c r="E43" s="38"/>
      <c r="F43" s="36"/>
      <c r="G43" s="561"/>
      <c r="H43" s="38"/>
      <c r="I43" s="36"/>
    </row>
    <row r="44" spans="1:9" ht="15" customHeight="1" x14ac:dyDescent="0.2">
      <c r="A44" s="561"/>
      <c r="B44" s="38" t="s">
        <v>2378</v>
      </c>
      <c r="C44" s="36" t="s">
        <v>2379</v>
      </c>
      <c r="D44" s="561"/>
      <c r="E44" s="38"/>
      <c r="F44" s="36"/>
      <c r="G44" s="561"/>
      <c r="H44" s="38"/>
      <c r="I44" s="36"/>
    </row>
    <row r="45" spans="1:9" ht="15" customHeight="1" x14ac:dyDescent="0.25">
      <c r="A45" s="561"/>
      <c r="B45" s="38" t="s">
        <v>2380</v>
      </c>
      <c r="C45" s="36" t="s">
        <v>2381</v>
      </c>
      <c r="D45" s="561"/>
      <c r="E45" s="565"/>
      <c r="F45" s="36"/>
      <c r="G45" s="561"/>
      <c r="H45" s="565"/>
      <c r="I45" s="34"/>
    </row>
    <row r="46" spans="1:9" ht="15" customHeight="1" x14ac:dyDescent="0.2">
      <c r="A46" s="561"/>
      <c r="B46" s="38" t="s">
        <v>2382</v>
      </c>
      <c r="C46" s="36" t="s">
        <v>2383</v>
      </c>
      <c r="D46" s="561"/>
      <c r="E46" s="35"/>
      <c r="F46" s="36"/>
      <c r="G46" s="561"/>
      <c r="H46" s="35"/>
      <c r="I46" s="567"/>
    </row>
    <row r="47" spans="1:9" x14ac:dyDescent="0.2">
      <c r="A47" s="561"/>
      <c r="B47" s="35" t="s">
        <v>2384</v>
      </c>
      <c r="C47" s="37"/>
      <c r="D47" s="561"/>
      <c r="E47" s="35" t="s">
        <v>1392</v>
      </c>
      <c r="F47" s="37"/>
      <c r="G47" s="561"/>
      <c r="H47" s="35" t="s">
        <v>3045</v>
      </c>
      <c r="I47" s="37"/>
    </row>
    <row r="48" spans="1:9" ht="30.6" x14ac:dyDescent="0.2">
      <c r="A48" s="561"/>
      <c r="B48" s="35"/>
      <c r="C48" s="37"/>
      <c r="D48" s="561"/>
      <c r="E48" s="35"/>
      <c r="F48" s="568"/>
      <c r="G48" s="561"/>
      <c r="H48" s="35"/>
      <c r="I48" s="299" t="s">
        <v>2385</v>
      </c>
    </row>
    <row r="49" spans="1:9" x14ac:dyDescent="0.2">
      <c r="A49" s="561"/>
      <c r="B49" s="38" t="s">
        <v>2386</v>
      </c>
      <c r="C49" s="36" t="s">
        <v>2387</v>
      </c>
      <c r="D49" s="561"/>
      <c r="E49" s="569"/>
      <c r="F49" s="36"/>
      <c r="G49" s="561"/>
      <c r="I49" s="36"/>
    </row>
    <row r="50" spans="1:9" x14ac:dyDescent="0.2">
      <c r="A50" s="561"/>
      <c r="B50" s="38" t="s">
        <v>2388</v>
      </c>
      <c r="C50" s="36" t="s">
        <v>288</v>
      </c>
      <c r="D50" s="561"/>
      <c r="E50" s="569" t="s">
        <v>697</v>
      </c>
      <c r="F50" s="36" t="s">
        <v>288</v>
      </c>
      <c r="G50" s="561"/>
      <c r="H50" s="36" t="s">
        <v>698</v>
      </c>
      <c r="I50" s="36" t="s">
        <v>288</v>
      </c>
    </row>
    <row r="51" spans="1:9" x14ac:dyDescent="0.2">
      <c r="A51" s="561"/>
      <c r="B51" s="38" t="s">
        <v>2389</v>
      </c>
      <c r="C51" s="36" t="s">
        <v>206</v>
      </c>
      <c r="D51" s="37"/>
      <c r="E51" s="569" t="s">
        <v>699</v>
      </c>
      <c r="F51" s="36" t="s">
        <v>206</v>
      </c>
      <c r="G51" s="37"/>
      <c r="H51" s="36" t="s">
        <v>700</v>
      </c>
      <c r="I51" s="36" t="s">
        <v>206</v>
      </c>
    </row>
    <row r="52" spans="1:9" ht="20.399999999999999" x14ac:dyDescent="0.2">
      <c r="A52" s="561"/>
      <c r="B52" s="38"/>
      <c r="C52" s="36"/>
      <c r="D52" s="37"/>
      <c r="E52" s="569" t="s">
        <v>701</v>
      </c>
      <c r="F52" s="126" t="s">
        <v>103</v>
      </c>
      <c r="G52" s="37"/>
      <c r="H52" s="36"/>
      <c r="I52" s="36"/>
    </row>
    <row r="53" spans="1:9" x14ac:dyDescent="0.25">
      <c r="A53" s="561"/>
      <c r="B53" s="36"/>
      <c r="C53" s="36"/>
      <c r="D53" s="561"/>
      <c r="E53" s="35" t="s">
        <v>686</v>
      </c>
      <c r="F53" s="34"/>
      <c r="G53" s="561"/>
      <c r="H53" s="565"/>
      <c r="I53" s="34"/>
    </row>
    <row r="54" spans="1:9" ht="20.399999999999999" x14ac:dyDescent="0.25">
      <c r="A54" s="561"/>
      <c r="B54" s="36"/>
      <c r="C54" s="36"/>
      <c r="D54" s="561"/>
      <c r="E54" s="36" t="s">
        <v>687</v>
      </c>
      <c r="F54" s="36" t="s">
        <v>688</v>
      </c>
      <c r="G54" s="561"/>
      <c r="H54" s="565"/>
      <c r="I54" s="34"/>
    </row>
    <row r="55" spans="1:9" ht="20.399999999999999" x14ac:dyDescent="0.25">
      <c r="A55" s="561"/>
      <c r="B55" s="36"/>
      <c r="C55" s="36"/>
      <c r="D55" s="561"/>
      <c r="E55" s="36" t="s">
        <v>689</v>
      </c>
      <c r="F55" s="36" t="s">
        <v>690</v>
      </c>
      <c r="G55" s="561"/>
      <c r="H55" s="565"/>
      <c r="I55" s="34"/>
    </row>
    <row r="56" spans="1:9" ht="20.399999999999999" x14ac:dyDescent="0.25">
      <c r="A56" s="561"/>
      <c r="B56" s="36"/>
      <c r="C56" s="36"/>
      <c r="D56" s="561"/>
      <c r="E56" s="36" t="s">
        <v>691</v>
      </c>
      <c r="F56" s="36" t="s">
        <v>692</v>
      </c>
      <c r="G56" s="561"/>
      <c r="H56" s="565"/>
      <c r="I56" s="34"/>
    </row>
    <row r="57" spans="1:9" ht="20.399999999999999" x14ac:dyDescent="0.25">
      <c r="A57" s="561"/>
      <c r="B57" s="36"/>
      <c r="C57" s="36"/>
      <c r="D57" s="561"/>
      <c r="E57" s="36" t="s">
        <v>693</v>
      </c>
      <c r="F57" s="36" t="s">
        <v>694</v>
      </c>
      <c r="G57" s="561"/>
      <c r="H57" s="565"/>
      <c r="I57" s="34"/>
    </row>
    <row r="58" spans="1:9" ht="20.399999999999999" x14ac:dyDescent="0.25">
      <c r="A58" s="561"/>
      <c r="B58" s="36"/>
      <c r="C58" s="36"/>
      <c r="D58" s="561"/>
      <c r="E58" s="36" t="s">
        <v>695</v>
      </c>
      <c r="F58" s="36" t="s">
        <v>696</v>
      </c>
      <c r="G58" s="561"/>
      <c r="H58" s="565"/>
      <c r="I58" s="34"/>
    </row>
    <row r="59" spans="1:9" s="626" customFormat="1" ht="48" customHeight="1" x14ac:dyDescent="0.25">
      <c r="A59" s="627"/>
      <c r="B59" s="628" t="s">
        <v>2962</v>
      </c>
      <c r="C59" s="629"/>
      <c r="D59" s="630"/>
      <c r="E59" s="1422" t="s">
        <v>2960</v>
      </c>
      <c r="F59" s="1423"/>
      <c r="G59" s="630"/>
      <c r="H59" s="1422" t="s">
        <v>2390</v>
      </c>
      <c r="I59" s="1423"/>
    </row>
    <row r="60" spans="1:9" ht="16.5" customHeight="1" x14ac:dyDescent="0.2">
      <c r="A60" s="570"/>
      <c r="B60" s="571" t="s">
        <v>2391</v>
      </c>
      <c r="D60" s="562"/>
      <c r="E60" s="571" t="s">
        <v>703</v>
      </c>
      <c r="F60" s="249"/>
      <c r="G60" s="562"/>
      <c r="H60" s="631"/>
      <c r="I60" s="632"/>
    </row>
    <row r="61" spans="1:9" ht="13.5" customHeight="1" x14ac:dyDescent="0.2">
      <c r="A61" s="572"/>
      <c r="B61" s="51" t="s">
        <v>2392</v>
      </c>
      <c r="C61" s="638" t="s">
        <v>2393</v>
      </c>
      <c r="D61" s="561"/>
      <c r="E61" s="51"/>
      <c r="F61" s="638" t="s">
        <v>2394</v>
      </c>
      <c r="G61" s="561"/>
      <c r="H61"/>
      <c r="I61"/>
    </row>
    <row r="62" spans="1:9" ht="13.5" customHeight="1" x14ac:dyDescent="0.2">
      <c r="A62" s="572"/>
      <c r="B62" s="51" t="s">
        <v>2395</v>
      </c>
      <c r="C62" s="638" t="s">
        <v>2396</v>
      </c>
      <c r="D62" s="561"/>
      <c r="E62" s="573"/>
      <c r="F62" s="638" t="s">
        <v>2394</v>
      </c>
      <c r="G62" s="561"/>
      <c r="H62"/>
      <c r="I62"/>
    </row>
    <row r="63" spans="1:9" ht="13.5" customHeight="1" x14ac:dyDescent="0.2">
      <c r="A63" s="572"/>
      <c r="B63" s="51" t="s">
        <v>2397</v>
      </c>
      <c r="C63" s="574" t="s">
        <v>2398</v>
      </c>
      <c r="D63" s="561"/>
      <c r="E63" s="208" t="s">
        <v>704</v>
      </c>
      <c r="F63" s="168" t="s">
        <v>705</v>
      </c>
      <c r="G63" s="561"/>
      <c r="H63"/>
      <c r="I63"/>
    </row>
    <row r="64" spans="1:9" ht="13.5" customHeight="1" x14ac:dyDescent="0.2">
      <c r="A64" s="572"/>
      <c r="B64" s="575" t="s">
        <v>2399</v>
      </c>
      <c r="C64" s="52" t="s">
        <v>356</v>
      </c>
      <c r="D64" s="561"/>
      <c r="E64" s="208" t="s">
        <v>706</v>
      </c>
      <c r="F64" s="52" t="s">
        <v>356</v>
      </c>
      <c r="G64" s="561"/>
      <c r="H64" s="576"/>
      <c r="I64" s="574"/>
    </row>
    <row r="65" spans="1:9" x14ac:dyDescent="0.2">
      <c r="A65" s="561"/>
      <c r="B65" s="38" t="s">
        <v>2400</v>
      </c>
      <c r="C65" s="36" t="s">
        <v>2401</v>
      </c>
      <c r="D65" s="561"/>
      <c r="E65" s="38" t="s">
        <v>613</v>
      </c>
      <c r="F65" s="36" t="s">
        <v>707</v>
      </c>
      <c r="G65" s="561"/>
      <c r="H65" s="38"/>
      <c r="I65" s="36"/>
    </row>
    <row r="66" spans="1:9" ht="27" customHeight="1" x14ac:dyDescent="0.2">
      <c r="A66" s="562"/>
      <c r="B66" s="1424" t="s">
        <v>2402</v>
      </c>
      <c r="C66" s="1425"/>
      <c r="D66" s="562"/>
      <c r="E66" s="577"/>
      <c r="G66" s="562"/>
      <c r="H66" s="1424" t="s">
        <v>2403</v>
      </c>
      <c r="I66" s="1425"/>
    </row>
    <row r="67" spans="1:9" s="626" customFormat="1" ht="20.399999999999999" x14ac:dyDescent="0.25">
      <c r="A67" s="562"/>
      <c r="B67" s="43" t="s">
        <v>2404</v>
      </c>
      <c r="C67" s="141" t="s">
        <v>591</v>
      </c>
      <c r="D67" s="562"/>
      <c r="E67" s="43" t="s">
        <v>632</v>
      </c>
      <c r="F67" s="141" t="s">
        <v>591</v>
      </c>
      <c r="G67" s="562"/>
      <c r="H67" s="43" t="s">
        <v>704</v>
      </c>
      <c r="I67" s="215" t="s">
        <v>3067</v>
      </c>
    </row>
    <row r="68" spans="1:9" x14ac:dyDescent="0.2">
      <c r="A68" s="37"/>
      <c r="B68" s="35" t="s">
        <v>2405</v>
      </c>
      <c r="C68" s="37"/>
      <c r="D68" s="37"/>
      <c r="E68" s="35" t="s">
        <v>708</v>
      </c>
      <c r="F68" s="37"/>
      <c r="G68" s="37"/>
      <c r="H68" s="35"/>
      <c r="I68" s="37"/>
    </row>
    <row r="69" spans="1:9" ht="20.399999999999999" x14ac:dyDescent="0.25">
      <c r="A69" s="37"/>
      <c r="B69" s="47" t="s">
        <v>2406</v>
      </c>
      <c r="C69" s="578" t="s">
        <v>2407</v>
      </c>
      <c r="D69" s="37"/>
      <c r="E69" s="34"/>
      <c r="F69" s="578" t="s">
        <v>2408</v>
      </c>
      <c r="G69" s="37"/>
      <c r="H69" s="573"/>
      <c r="I69" s="579"/>
    </row>
    <row r="70" spans="1:9" ht="20.399999999999999" x14ac:dyDescent="0.2">
      <c r="A70" s="37"/>
      <c r="B70" s="47" t="s">
        <v>2409</v>
      </c>
      <c r="C70" s="578" t="s">
        <v>2410</v>
      </c>
      <c r="D70" s="37"/>
      <c r="E70" s="47" t="s">
        <v>709</v>
      </c>
      <c r="F70" s="36" t="s">
        <v>710</v>
      </c>
      <c r="G70" s="37"/>
      <c r="H70" s="573"/>
      <c r="I70" s="580"/>
    </row>
    <row r="71" spans="1:9" ht="20.399999999999999" x14ac:dyDescent="0.2">
      <c r="A71" s="37"/>
      <c r="B71" s="47" t="s">
        <v>2411</v>
      </c>
      <c r="C71" s="36" t="s">
        <v>2412</v>
      </c>
      <c r="D71" s="37"/>
      <c r="E71" s="47"/>
      <c r="F71" s="36" t="s">
        <v>2413</v>
      </c>
      <c r="G71" s="37"/>
      <c r="H71" s="47"/>
      <c r="I71" s="36"/>
    </row>
    <row r="72" spans="1:9" ht="20.399999999999999" x14ac:dyDescent="0.2">
      <c r="A72" s="37"/>
      <c r="B72" s="47" t="s">
        <v>2414</v>
      </c>
      <c r="C72" s="36" t="s">
        <v>372</v>
      </c>
      <c r="D72" s="37"/>
      <c r="E72" s="47" t="s">
        <v>711</v>
      </c>
      <c r="F72" s="36" t="s">
        <v>372</v>
      </c>
      <c r="G72" s="37"/>
      <c r="H72" s="47"/>
      <c r="I72" s="36"/>
    </row>
    <row r="73" spans="1:9" ht="15" customHeight="1" x14ac:dyDescent="0.2">
      <c r="A73" s="37"/>
      <c r="B73" s="47" t="s">
        <v>2415</v>
      </c>
      <c r="C73" s="36" t="s">
        <v>373</v>
      </c>
      <c r="D73" s="37"/>
      <c r="E73" s="47" t="s">
        <v>614</v>
      </c>
      <c r="F73" s="36" t="s">
        <v>373</v>
      </c>
      <c r="G73" s="37"/>
      <c r="H73" s="47"/>
      <c r="I73" s="36"/>
    </row>
    <row r="74" spans="1:9" ht="20.399999999999999" x14ac:dyDescent="0.2">
      <c r="A74" s="37"/>
      <c r="B74" s="47" t="s">
        <v>2416</v>
      </c>
      <c r="C74" s="36" t="s">
        <v>31</v>
      </c>
      <c r="D74" s="37"/>
      <c r="E74" s="47" t="s">
        <v>712</v>
      </c>
      <c r="F74" s="36" t="s">
        <v>31</v>
      </c>
      <c r="G74" s="37"/>
      <c r="H74" s="47"/>
      <c r="I74" s="36"/>
    </row>
    <row r="75" spans="1:9" x14ac:dyDescent="0.2">
      <c r="A75" s="37"/>
      <c r="B75" s="35" t="s">
        <v>2417</v>
      </c>
      <c r="C75" s="48"/>
      <c r="D75" s="37"/>
      <c r="E75" s="35" t="s">
        <v>713</v>
      </c>
      <c r="F75" s="48"/>
      <c r="G75" s="37"/>
      <c r="H75" s="35" t="s">
        <v>713</v>
      </c>
      <c r="I75" s="48"/>
    </row>
    <row r="76" spans="1:9" ht="24.75" customHeight="1" x14ac:dyDescent="0.2">
      <c r="A76" s="37"/>
      <c r="B76" s="38" t="s">
        <v>2418</v>
      </c>
      <c r="C76" s="49" t="s">
        <v>2419</v>
      </c>
      <c r="D76" s="37"/>
      <c r="E76" s="38" t="s">
        <v>652</v>
      </c>
      <c r="F76" s="582" t="s">
        <v>2924</v>
      </c>
      <c r="G76" s="583"/>
      <c r="H76" s="38" t="s">
        <v>714</v>
      </c>
      <c r="I76" s="582" t="s">
        <v>2925</v>
      </c>
    </row>
    <row r="77" spans="1:9" ht="15" customHeight="1" x14ac:dyDescent="0.2">
      <c r="A77" s="37"/>
      <c r="B77" s="38" t="s">
        <v>2420</v>
      </c>
      <c r="C77" s="49" t="s">
        <v>2421</v>
      </c>
      <c r="D77" s="37"/>
      <c r="E77" s="38"/>
      <c r="F77" s="582" t="s">
        <v>2413</v>
      </c>
      <c r="G77" s="583"/>
      <c r="H77" s="38"/>
      <c r="I77" s="582" t="s">
        <v>2413</v>
      </c>
    </row>
    <row r="78" spans="1:9" ht="20.399999999999999" x14ac:dyDescent="0.2">
      <c r="A78" s="37"/>
      <c r="B78" s="38" t="s">
        <v>2422</v>
      </c>
      <c r="C78" s="49" t="s">
        <v>374</v>
      </c>
      <c r="D78" s="37"/>
      <c r="E78" s="38" t="s">
        <v>715</v>
      </c>
      <c r="F78" s="582" t="s">
        <v>374</v>
      </c>
      <c r="G78" s="583"/>
    </row>
    <row r="79" spans="1:9" ht="13.5" customHeight="1" x14ac:dyDescent="0.2">
      <c r="A79" s="37"/>
      <c r="B79" s="38"/>
      <c r="C79" s="49"/>
      <c r="D79" s="37"/>
      <c r="E79" s="38" t="s">
        <v>716</v>
      </c>
      <c r="F79" s="569" t="s">
        <v>717</v>
      </c>
      <c r="G79" s="583"/>
      <c r="H79" s="38"/>
      <c r="I79" s="582"/>
    </row>
    <row r="80" spans="1:9" ht="24.75" customHeight="1" x14ac:dyDescent="0.2">
      <c r="A80" s="37"/>
      <c r="B80" s="38"/>
      <c r="C80" s="49"/>
      <c r="D80" s="37"/>
      <c r="E80" s="43"/>
      <c r="F80" s="569"/>
      <c r="G80" s="583"/>
      <c r="H80" s="38" t="s">
        <v>615</v>
      </c>
      <c r="I80" s="49" t="s">
        <v>3068</v>
      </c>
    </row>
    <row r="81" spans="1:9" ht="14.25" customHeight="1" x14ac:dyDescent="0.25">
      <c r="A81" s="37"/>
      <c r="B81" s="38" t="s">
        <v>2423</v>
      </c>
      <c r="C81" s="36" t="s">
        <v>2424</v>
      </c>
      <c r="D81" s="37"/>
      <c r="E81" s="893">
        <v>200000</v>
      </c>
      <c r="F81" s="36"/>
      <c r="G81" s="37"/>
      <c r="H81" s="38"/>
      <c r="I81" s="36"/>
    </row>
    <row r="82" spans="1:9" ht="14.25" customHeight="1" x14ac:dyDescent="0.2">
      <c r="A82" s="37"/>
      <c r="B82" s="38" t="s">
        <v>2425</v>
      </c>
      <c r="C82" s="36" t="s">
        <v>2426</v>
      </c>
      <c r="D82" s="37"/>
      <c r="E82" s="38"/>
      <c r="F82" s="36"/>
      <c r="G82" s="37"/>
      <c r="H82" s="38"/>
      <c r="I82" s="36"/>
    </row>
    <row r="83" spans="1:9" ht="20.399999999999999" x14ac:dyDescent="0.2">
      <c r="A83" s="37"/>
      <c r="B83" s="38" t="s">
        <v>2427</v>
      </c>
      <c r="C83" s="36" t="s">
        <v>2428</v>
      </c>
      <c r="D83" s="562"/>
      <c r="E83" s="38"/>
      <c r="F83" s="36" t="s">
        <v>2408</v>
      </c>
      <c r="G83" s="562"/>
      <c r="H83" s="38"/>
      <c r="I83" s="36"/>
    </row>
    <row r="84" spans="1:9" s="626" customFormat="1" ht="15.75" customHeight="1" x14ac:dyDescent="0.25">
      <c r="A84" s="276"/>
      <c r="B84" s="38" t="s">
        <v>2429</v>
      </c>
      <c r="C84" s="36" t="s">
        <v>276</v>
      </c>
      <c r="D84" s="562"/>
      <c r="E84" s="38" t="s">
        <v>718</v>
      </c>
      <c r="F84" s="569" t="s">
        <v>276</v>
      </c>
      <c r="G84" s="562"/>
      <c r="H84" s="581"/>
      <c r="I84" s="564"/>
    </row>
    <row r="85" spans="1:9" ht="15.6" x14ac:dyDescent="0.25">
      <c r="A85" s="555"/>
      <c r="B85" s="556" t="s">
        <v>2963</v>
      </c>
      <c r="C85" s="557"/>
      <c r="D85"/>
      <c r="E85"/>
      <c r="F85"/>
      <c r="G85"/>
      <c r="H85"/>
      <c r="I85"/>
    </row>
    <row r="86" spans="1:9" x14ac:dyDescent="0.2">
      <c r="A86" s="561"/>
      <c r="B86" s="41" t="s">
        <v>2926</v>
      </c>
      <c r="C86" s="37"/>
      <c r="D86" s="561"/>
      <c r="E86" s="571" t="s">
        <v>719</v>
      </c>
      <c r="F86" s="37"/>
      <c r="G86" s="561"/>
      <c r="H86" s="41"/>
      <c r="I86" s="37"/>
    </row>
    <row r="87" spans="1:9" x14ac:dyDescent="0.2">
      <c r="A87" s="561"/>
      <c r="B87" s="41"/>
      <c r="C87" s="37"/>
      <c r="D87" s="561"/>
      <c r="E87" s="209" t="s">
        <v>714</v>
      </c>
      <c r="F87" s="37" t="s">
        <v>720</v>
      </c>
      <c r="G87" s="561"/>
      <c r="H87" s="41"/>
      <c r="I87" s="37"/>
    </row>
    <row r="88" spans="1:9" ht="13.5" customHeight="1" x14ac:dyDescent="0.2">
      <c r="A88" s="561"/>
      <c r="B88" s="38" t="s">
        <v>2430</v>
      </c>
      <c r="C88" s="36" t="s">
        <v>2431</v>
      </c>
      <c r="D88" s="561"/>
      <c r="E88" s="38"/>
      <c r="F88" s="36"/>
      <c r="G88" s="561"/>
      <c r="H88" s="38"/>
      <c r="I88" s="36"/>
    </row>
    <row r="89" spans="1:9" ht="13.5" customHeight="1" x14ac:dyDescent="0.2">
      <c r="A89" s="561"/>
      <c r="B89" s="38" t="s">
        <v>2432</v>
      </c>
      <c r="C89" s="36" t="s">
        <v>489</v>
      </c>
      <c r="D89" s="561"/>
      <c r="E89" s="38" t="s">
        <v>616</v>
      </c>
      <c r="F89" s="36" t="s">
        <v>489</v>
      </c>
      <c r="G89" s="561"/>
      <c r="H89" s="38" t="s">
        <v>706</v>
      </c>
      <c r="I89" s="36" t="s">
        <v>489</v>
      </c>
    </row>
    <row r="90" spans="1:9" ht="13.5" customHeight="1" x14ac:dyDescent="0.2">
      <c r="A90" s="561"/>
      <c r="B90" s="38" t="s">
        <v>2433</v>
      </c>
      <c r="C90" s="36" t="s">
        <v>2434</v>
      </c>
      <c r="D90" s="561"/>
      <c r="E90" s="38"/>
      <c r="F90" s="36"/>
      <c r="G90" s="561"/>
      <c r="H90" s="38"/>
      <c r="I90" s="36"/>
    </row>
    <row r="91" spans="1:9" ht="13.5" customHeight="1" x14ac:dyDescent="0.2">
      <c r="A91" s="561"/>
      <c r="B91" s="38" t="s">
        <v>2435</v>
      </c>
      <c r="C91" s="36" t="s">
        <v>2436</v>
      </c>
      <c r="D91" s="561"/>
      <c r="E91" s="209" t="s">
        <v>721</v>
      </c>
      <c r="F91" s="276" t="s">
        <v>127</v>
      </c>
      <c r="G91" s="561"/>
      <c r="H91" s="38"/>
      <c r="I91" s="36"/>
    </row>
    <row r="92" spans="1:9" ht="13.5" customHeight="1" x14ac:dyDescent="0.2">
      <c r="A92" s="561"/>
      <c r="B92" s="38" t="s">
        <v>2437</v>
      </c>
      <c r="C92" s="36" t="s">
        <v>2438</v>
      </c>
      <c r="D92" s="561"/>
      <c r="E92" s="38"/>
      <c r="F92" s="36"/>
      <c r="G92" s="561"/>
      <c r="H92" s="38"/>
      <c r="I92" s="36"/>
    </row>
    <row r="93" spans="1:9" ht="16.5" customHeight="1" x14ac:dyDescent="0.2">
      <c r="A93" s="561"/>
      <c r="B93" s="38" t="s">
        <v>2439</v>
      </c>
      <c r="C93" s="203" t="s">
        <v>576</v>
      </c>
      <c r="D93" s="562"/>
      <c r="E93" s="209" t="s">
        <v>615</v>
      </c>
      <c r="F93" s="276" t="s">
        <v>576</v>
      </c>
      <c r="G93" s="562"/>
      <c r="H93" s="38" t="s">
        <v>632</v>
      </c>
      <c r="I93" s="276" t="s">
        <v>576</v>
      </c>
    </row>
    <row r="94" spans="1:9" x14ac:dyDescent="0.2">
      <c r="A94" s="561"/>
      <c r="B94" s="581"/>
      <c r="C94" s="584"/>
      <c r="D94" s="561"/>
      <c r="E94" s="38" t="s">
        <v>722</v>
      </c>
      <c r="F94" s="203" t="s">
        <v>723</v>
      </c>
      <c r="G94" s="561"/>
      <c r="H94" s="563"/>
      <c r="I94" s="585"/>
    </row>
    <row r="95" spans="1:9" x14ac:dyDescent="0.2">
      <c r="A95" s="561"/>
      <c r="B95" s="41" t="s">
        <v>2440</v>
      </c>
      <c r="C95" s="37"/>
      <c r="D95" s="561"/>
      <c r="E95" s="41" t="s">
        <v>2440</v>
      </c>
      <c r="F95" s="37"/>
      <c r="G95" s="561"/>
      <c r="H95" s="41" t="s">
        <v>2440</v>
      </c>
      <c r="I95" s="37"/>
    </row>
    <row r="96" spans="1:9" x14ac:dyDescent="0.2">
      <c r="A96" s="561"/>
      <c r="B96" s="42" t="s">
        <v>2441</v>
      </c>
      <c r="C96" s="36" t="s">
        <v>2442</v>
      </c>
      <c r="D96" s="561"/>
      <c r="E96" s="42"/>
      <c r="F96" s="36" t="s">
        <v>2443</v>
      </c>
      <c r="G96" s="561"/>
      <c r="H96" s="42"/>
      <c r="I96" s="36" t="s">
        <v>2443</v>
      </c>
    </row>
    <row r="97" spans="1:10" x14ac:dyDescent="0.2">
      <c r="A97" s="561"/>
      <c r="B97" s="42" t="s">
        <v>2444</v>
      </c>
      <c r="C97" s="36" t="s">
        <v>2445</v>
      </c>
      <c r="D97" s="561"/>
      <c r="E97" s="42"/>
      <c r="F97" s="36" t="s">
        <v>2443</v>
      </c>
      <c r="G97" s="561"/>
      <c r="H97" s="42"/>
      <c r="I97" s="36" t="s">
        <v>2443</v>
      </c>
    </row>
    <row r="98" spans="1:10" x14ac:dyDescent="0.2">
      <c r="A98" s="561"/>
      <c r="B98" s="42" t="s">
        <v>2446</v>
      </c>
      <c r="C98" s="36" t="s">
        <v>360</v>
      </c>
      <c r="D98" s="37"/>
      <c r="E98" s="42" t="s">
        <v>724</v>
      </c>
      <c r="F98" s="36" t="s">
        <v>360</v>
      </c>
      <c r="G98" s="37"/>
      <c r="H98" s="42" t="s">
        <v>724</v>
      </c>
      <c r="I98" s="36" t="s">
        <v>360</v>
      </c>
    </row>
    <row r="99" spans="1:10" x14ac:dyDescent="0.2">
      <c r="A99" s="561"/>
      <c r="B99" s="42" t="s">
        <v>2447</v>
      </c>
      <c r="C99" s="36" t="s">
        <v>495</v>
      </c>
      <c r="D99" s="37"/>
      <c r="E99" s="42" t="s">
        <v>617</v>
      </c>
      <c r="F99" s="36" t="s">
        <v>495</v>
      </c>
      <c r="G99" s="37"/>
      <c r="H99" s="42" t="s">
        <v>617</v>
      </c>
      <c r="I99" s="36" t="s">
        <v>495</v>
      </c>
    </row>
    <row r="100" spans="1:10" ht="20.399999999999999" x14ac:dyDescent="0.2">
      <c r="A100" s="561"/>
      <c r="B100" s="42" t="s">
        <v>2448</v>
      </c>
      <c r="C100" s="36" t="s">
        <v>2449</v>
      </c>
      <c r="D100" s="562"/>
      <c r="E100" s="42"/>
      <c r="F100" s="36"/>
      <c r="G100" s="562"/>
      <c r="H100" s="42"/>
      <c r="I100" s="36"/>
    </row>
    <row r="101" spans="1:10" x14ac:dyDescent="0.25">
      <c r="A101" s="562"/>
      <c r="B101" s="42" t="s">
        <v>2451</v>
      </c>
      <c r="C101" s="36" t="s">
        <v>547</v>
      </c>
      <c r="D101" s="562"/>
      <c r="E101" s="42" t="s">
        <v>618</v>
      </c>
      <c r="F101" s="36" t="s">
        <v>547</v>
      </c>
      <c r="G101" s="562"/>
      <c r="H101" s="42" t="s">
        <v>618</v>
      </c>
      <c r="I101" s="36" t="s">
        <v>547</v>
      </c>
    </row>
    <row r="102" spans="1:10" x14ac:dyDescent="0.2">
      <c r="A102" s="562"/>
      <c r="B102" s="42" t="s">
        <v>2452</v>
      </c>
      <c r="C102" s="36" t="s">
        <v>2453</v>
      </c>
      <c r="D102" s="562"/>
      <c r="E102" s="42"/>
      <c r="F102" s="36"/>
      <c r="G102" s="562"/>
    </row>
    <row r="103" spans="1:10" ht="14.25" customHeight="1" x14ac:dyDescent="0.25">
      <c r="A103" s="562"/>
      <c r="B103" s="36" t="s">
        <v>2454</v>
      </c>
      <c r="C103" s="36" t="s">
        <v>2455</v>
      </c>
      <c r="D103" s="36"/>
      <c r="E103" s="36"/>
      <c r="F103" s="36"/>
      <c r="G103" s="562"/>
      <c r="H103" s="42"/>
      <c r="I103" s="36"/>
    </row>
    <row r="104" spans="1:10" ht="15.75" customHeight="1" x14ac:dyDescent="0.2">
      <c r="A104" s="562"/>
      <c r="B104" s="36"/>
      <c r="C104" s="36"/>
      <c r="D104" s="36"/>
      <c r="E104" s="47" t="s">
        <v>725</v>
      </c>
      <c r="F104" s="36" t="s">
        <v>1620</v>
      </c>
      <c r="G104" s="36"/>
    </row>
    <row r="105" spans="1:10" x14ac:dyDescent="0.25">
      <c r="A105" s="562"/>
      <c r="B105" s="36"/>
      <c r="C105" s="36"/>
      <c r="D105" s="36"/>
      <c r="E105" s="36" t="s">
        <v>1619</v>
      </c>
      <c r="F105" s="36" t="s">
        <v>726</v>
      </c>
      <c r="G105" s="36"/>
      <c r="H105" s="36"/>
      <c r="I105" s="36"/>
    </row>
    <row r="106" spans="1:10" x14ac:dyDescent="0.2">
      <c r="A106" s="561"/>
      <c r="B106" s="41" t="s">
        <v>2456</v>
      </c>
      <c r="C106" s="37"/>
      <c r="D106" s="561"/>
      <c r="E106" s="41"/>
      <c r="F106" s="37"/>
      <c r="G106" s="561"/>
      <c r="H106" s="41"/>
      <c r="I106" s="37"/>
    </row>
    <row r="107" spans="1:10" x14ac:dyDescent="0.2">
      <c r="A107" s="561"/>
      <c r="B107" s="42" t="s">
        <v>2457</v>
      </c>
      <c r="C107" s="36" t="s">
        <v>2458</v>
      </c>
      <c r="D107" s="561"/>
      <c r="E107" s="42"/>
      <c r="F107" s="36" t="s">
        <v>3082</v>
      </c>
      <c r="G107" s="561"/>
      <c r="H107" s="42"/>
      <c r="I107" s="36"/>
      <c r="J107" t="s">
        <v>3083</v>
      </c>
    </row>
    <row r="108" spans="1:10" x14ac:dyDescent="0.2">
      <c r="A108" s="561"/>
      <c r="B108" s="42" t="s">
        <v>2460</v>
      </c>
      <c r="C108" s="36" t="s">
        <v>2461</v>
      </c>
      <c r="D108" s="561"/>
      <c r="E108" s="42"/>
      <c r="F108" s="36" t="s">
        <v>3082</v>
      </c>
      <c r="G108" s="561"/>
      <c r="H108" s="42"/>
      <c r="I108" s="36"/>
      <c r="J108" t="s">
        <v>3083</v>
      </c>
    </row>
    <row r="109" spans="1:10" x14ac:dyDescent="0.2">
      <c r="A109" s="561"/>
      <c r="B109" s="42" t="s">
        <v>2462</v>
      </c>
      <c r="C109" s="36" t="s">
        <v>2463</v>
      </c>
      <c r="D109" s="561"/>
      <c r="E109" s="42"/>
      <c r="F109" s="36" t="s">
        <v>3082</v>
      </c>
      <c r="G109" s="561"/>
      <c r="H109" s="42"/>
      <c r="I109" s="36"/>
      <c r="J109" t="s">
        <v>3083</v>
      </c>
    </row>
    <row r="110" spans="1:10" ht="17.25" customHeight="1" x14ac:dyDescent="0.2">
      <c r="A110" s="562"/>
      <c r="B110" s="41" t="s">
        <v>2464</v>
      </c>
      <c r="C110" s="37"/>
      <c r="D110" s="562"/>
      <c r="E110" s="1426"/>
      <c r="F110" s="1427"/>
      <c r="G110" s="562"/>
      <c r="H110" s="1426"/>
      <c r="I110" s="1427"/>
    </row>
    <row r="111" spans="1:10" x14ac:dyDescent="0.2">
      <c r="A111" s="562"/>
      <c r="B111" s="38" t="s">
        <v>2465</v>
      </c>
      <c r="C111" s="36" t="s">
        <v>2466</v>
      </c>
      <c r="D111" s="37"/>
      <c r="E111" s="581"/>
      <c r="F111" s="36" t="s">
        <v>3082</v>
      </c>
      <c r="G111" s="37"/>
      <c r="H111" s="581"/>
      <c r="I111" s="36" t="s">
        <v>2459</v>
      </c>
      <c r="J111" t="s">
        <v>3083</v>
      </c>
    </row>
    <row r="112" spans="1:10" x14ac:dyDescent="0.2">
      <c r="A112" s="561"/>
      <c r="B112" s="38" t="s">
        <v>2467</v>
      </c>
      <c r="C112" s="36" t="s">
        <v>2468</v>
      </c>
      <c r="D112" s="37"/>
      <c r="E112" s="581"/>
      <c r="F112" s="36" t="s">
        <v>3082</v>
      </c>
      <c r="G112" s="37"/>
      <c r="H112" s="581"/>
      <c r="I112" s="36"/>
      <c r="J112" t="s">
        <v>3083</v>
      </c>
    </row>
    <row r="113" spans="1:10" x14ac:dyDescent="0.2">
      <c r="A113" s="561"/>
      <c r="B113" s="38" t="s">
        <v>2469</v>
      </c>
      <c r="C113" s="36" t="s">
        <v>2470</v>
      </c>
      <c r="D113" s="37"/>
      <c r="E113" s="581"/>
      <c r="F113" s="36" t="s">
        <v>3082</v>
      </c>
      <c r="G113" s="37"/>
      <c r="H113" s="581"/>
      <c r="I113" s="36"/>
      <c r="J113" t="s">
        <v>3083</v>
      </c>
    </row>
    <row r="114" spans="1:10" ht="15.6" x14ac:dyDescent="0.25">
      <c r="A114" s="555"/>
      <c r="B114" s="556" t="s">
        <v>2964</v>
      </c>
      <c r="C114" s="557"/>
      <c r="D114"/>
      <c r="E114"/>
      <c r="F114"/>
      <c r="G114"/>
      <c r="H114"/>
      <c r="I114"/>
    </row>
    <row r="115" spans="1:10" x14ac:dyDescent="0.2">
      <c r="A115" s="561"/>
      <c r="B115" s="35" t="s">
        <v>2471</v>
      </c>
      <c r="C115" s="586"/>
      <c r="D115" s="561"/>
      <c r="E115" s="35"/>
      <c r="F115" s="587"/>
      <c r="G115" s="561"/>
      <c r="H115" s="35"/>
      <c r="I115" s="587"/>
    </row>
    <row r="116" spans="1:10" ht="20.399999999999999" x14ac:dyDescent="0.25">
      <c r="A116" s="562"/>
      <c r="B116" s="38" t="s">
        <v>2472</v>
      </c>
      <c r="C116" s="36" t="s">
        <v>2473</v>
      </c>
      <c r="D116" s="562"/>
      <c r="E116" s="38"/>
      <c r="F116" s="36" t="s">
        <v>3084</v>
      </c>
      <c r="G116" s="562"/>
      <c r="H116" s="38"/>
      <c r="I116" s="36"/>
      <c r="J116" t="s">
        <v>3083</v>
      </c>
    </row>
    <row r="117" spans="1:10" ht="20.399999999999999" x14ac:dyDescent="0.25">
      <c r="A117" s="562"/>
      <c r="B117" s="38" t="s">
        <v>2474</v>
      </c>
      <c r="C117" s="36" t="s">
        <v>2475</v>
      </c>
      <c r="D117" s="562"/>
      <c r="E117" s="38"/>
      <c r="F117" s="36" t="s">
        <v>2938</v>
      </c>
      <c r="G117" s="562"/>
      <c r="H117" s="38"/>
      <c r="I117" s="36"/>
    </row>
    <row r="118" spans="1:10" ht="20.399999999999999" x14ac:dyDescent="0.25">
      <c r="A118" s="562"/>
      <c r="B118" s="38" t="s">
        <v>2476</v>
      </c>
      <c r="C118" s="36" t="s">
        <v>2477</v>
      </c>
      <c r="D118" s="562"/>
      <c r="E118" s="38"/>
      <c r="F118" s="36" t="s">
        <v>2939</v>
      </c>
      <c r="G118" s="562"/>
      <c r="H118" s="38"/>
      <c r="I118" s="36"/>
    </row>
    <row r="119" spans="1:10" x14ac:dyDescent="0.25">
      <c r="A119" s="562"/>
      <c r="B119" s="38" t="s">
        <v>2478</v>
      </c>
      <c r="C119" s="36" t="s">
        <v>2479</v>
      </c>
      <c r="D119" s="562"/>
      <c r="E119" s="38"/>
      <c r="F119" s="36" t="s">
        <v>2941</v>
      </c>
      <c r="G119" s="562"/>
      <c r="H119" s="38"/>
      <c r="I119" s="36"/>
    </row>
    <row r="120" spans="1:10" ht="15" customHeight="1" x14ac:dyDescent="0.25">
      <c r="A120" s="562"/>
      <c r="B120" s="38" t="s">
        <v>2480</v>
      </c>
      <c r="C120" s="36" t="s">
        <v>2481</v>
      </c>
      <c r="D120" s="562"/>
      <c r="E120" s="38"/>
      <c r="F120" s="36" t="s">
        <v>2940</v>
      </c>
      <c r="G120" s="562"/>
      <c r="H120" s="38"/>
      <c r="I120" s="36"/>
    </row>
    <row r="121" spans="1:10" ht="20.399999999999999" x14ac:dyDescent="0.25">
      <c r="A121" s="562"/>
      <c r="B121" s="38" t="s">
        <v>2482</v>
      </c>
      <c r="C121" s="36" t="s">
        <v>2483</v>
      </c>
      <c r="D121" s="562"/>
      <c r="E121" s="38"/>
      <c r="F121" s="36" t="s">
        <v>2942</v>
      </c>
      <c r="G121" s="562"/>
      <c r="H121" s="38"/>
      <c r="I121" s="36"/>
    </row>
    <row r="122" spans="1:10" x14ac:dyDescent="0.25">
      <c r="A122" s="562"/>
      <c r="B122" s="35" t="s">
        <v>2484</v>
      </c>
      <c r="C122" s="587"/>
      <c r="D122" s="562"/>
      <c r="E122" s="35"/>
      <c r="F122" s="587"/>
      <c r="G122" s="562"/>
      <c r="H122" s="35"/>
      <c r="I122" s="587"/>
    </row>
    <row r="123" spans="1:10" ht="20.399999999999999" x14ac:dyDescent="0.25">
      <c r="A123" s="562"/>
      <c r="B123" s="36" t="s">
        <v>2485</v>
      </c>
      <c r="C123" s="36" t="s">
        <v>2486</v>
      </c>
      <c r="D123" s="36"/>
      <c r="E123" s="36"/>
      <c r="F123" s="36" t="s">
        <v>2450</v>
      </c>
      <c r="G123" s="36"/>
      <c r="H123" s="36"/>
      <c r="I123" s="36"/>
    </row>
    <row r="124" spans="1:10" ht="20.399999999999999" x14ac:dyDescent="0.25">
      <c r="A124" s="562"/>
      <c r="B124" s="38" t="s">
        <v>2487</v>
      </c>
      <c r="C124" s="36" t="s">
        <v>2488</v>
      </c>
      <c r="D124" s="562"/>
      <c r="E124" s="38"/>
      <c r="F124" s="36" t="s">
        <v>2450</v>
      </c>
      <c r="G124" s="562"/>
      <c r="H124" s="38"/>
      <c r="I124" s="36"/>
    </row>
    <row r="125" spans="1:10" ht="20.399999999999999" x14ac:dyDescent="0.25">
      <c r="A125" s="562"/>
      <c r="B125" s="38" t="s">
        <v>2489</v>
      </c>
      <c r="C125" s="36" t="s">
        <v>2490</v>
      </c>
      <c r="D125" s="562"/>
      <c r="E125" s="38"/>
      <c r="F125" s="36" t="s">
        <v>2450</v>
      </c>
      <c r="G125" s="562"/>
      <c r="H125" s="38"/>
      <c r="I125" s="36"/>
    </row>
    <row r="126" spans="1:10" x14ac:dyDescent="0.2">
      <c r="A126" s="562"/>
      <c r="B126" s="35" t="s">
        <v>2491</v>
      </c>
      <c r="C126" s="37"/>
      <c r="D126" s="562"/>
      <c r="E126" s="35"/>
      <c r="F126" s="37"/>
      <c r="G126" s="562"/>
      <c r="H126" s="35"/>
      <c r="I126" s="37"/>
    </row>
    <row r="127" spans="1:10" x14ac:dyDescent="0.2">
      <c r="A127" s="561"/>
      <c r="B127" s="38" t="s">
        <v>2492</v>
      </c>
      <c r="C127" s="36" t="s">
        <v>2493</v>
      </c>
      <c r="D127" s="561"/>
      <c r="E127" s="38"/>
      <c r="F127" s="36" t="s">
        <v>2929</v>
      </c>
      <c r="G127" s="561"/>
      <c r="H127" s="38"/>
      <c r="I127" s="36"/>
    </row>
    <row r="128" spans="1:10" x14ac:dyDescent="0.2">
      <c r="A128" s="561"/>
      <c r="B128" s="38" t="s">
        <v>2494</v>
      </c>
      <c r="C128" s="36" t="s">
        <v>2495</v>
      </c>
      <c r="D128" s="561"/>
      <c r="E128" s="38"/>
      <c r="F128" s="36" t="s">
        <v>2930</v>
      </c>
      <c r="G128" s="561"/>
      <c r="H128" s="38"/>
      <c r="I128" s="36"/>
    </row>
    <row r="129" spans="1:9" x14ac:dyDescent="0.2">
      <c r="A129" s="561"/>
      <c r="B129" s="35" t="s">
        <v>2496</v>
      </c>
      <c r="C129" s="37"/>
      <c r="D129" s="561"/>
      <c r="E129" s="35"/>
      <c r="F129" s="37"/>
      <c r="G129" s="561"/>
      <c r="H129" s="35"/>
      <c r="I129" s="37"/>
    </row>
    <row r="130" spans="1:9" x14ac:dyDescent="0.25">
      <c r="A130" s="562"/>
      <c r="B130" s="38" t="s">
        <v>2497</v>
      </c>
      <c r="C130" s="36" t="s">
        <v>2498</v>
      </c>
      <c r="D130" s="562"/>
      <c r="E130" s="38"/>
      <c r="F130" s="36" t="s">
        <v>2499</v>
      </c>
      <c r="G130" s="562"/>
      <c r="H130" s="38"/>
      <c r="I130" s="36"/>
    </row>
    <row r="131" spans="1:9" ht="20.399999999999999" x14ac:dyDescent="0.2">
      <c r="A131" s="561"/>
      <c r="B131" s="38" t="s">
        <v>2500</v>
      </c>
      <c r="C131" s="36" t="s">
        <v>2501</v>
      </c>
      <c r="D131" s="561"/>
      <c r="E131" s="38"/>
      <c r="F131" s="36" t="s">
        <v>2502</v>
      </c>
      <c r="G131" s="561"/>
      <c r="H131" s="38"/>
      <c r="I131" s="36"/>
    </row>
    <row r="132" spans="1:9" ht="17.25" customHeight="1" x14ac:dyDescent="0.2">
      <c r="A132" s="561"/>
      <c r="B132" s="38" t="s">
        <v>2503</v>
      </c>
      <c r="C132" s="36" t="s">
        <v>2504</v>
      </c>
      <c r="D132" s="561"/>
      <c r="E132" s="38"/>
      <c r="F132" s="36" t="s">
        <v>2499</v>
      </c>
      <c r="G132" s="561"/>
      <c r="H132" s="38"/>
      <c r="I132" s="36"/>
    </row>
    <row r="133" spans="1:9" ht="15.6" x14ac:dyDescent="0.25">
      <c r="A133" s="555"/>
      <c r="B133" s="556" t="s">
        <v>2965</v>
      </c>
      <c r="C133" s="557"/>
      <c r="D133"/>
      <c r="E133"/>
      <c r="F133"/>
      <c r="G133"/>
      <c r="H133"/>
      <c r="I133"/>
    </row>
    <row r="134" spans="1:9" x14ac:dyDescent="0.2">
      <c r="A134" s="588"/>
      <c r="B134" s="35" t="s">
        <v>2505</v>
      </c>
      <c r="C134" s="587"/>
      <c r="D134" s="588"/>
      <c r="E134" s="35"/>
      <c r="F134" s="587"/>
      <c r="G134" s="588"/>
      <c r="H134" s="35"/>
      <c r="I134" s="587"/>
    </row>
    <row r="135" spans="1:9" x14ac:dyDescent="0.25">
      <c r="A135" s="588"/>
      <c r="B135" s="38" t="s">
        <v>2506</v>
      </c>
      <c r="C135" s="36" t="s">
        <v>2507</v>
      </c>
      <c r="D135" s="588"/>
      <c r="E135" s="38"/>
      <c r="F135" s="36"/>
      <c r="G135" s="588"/>
      <c r="H135" s="38"/>
      <c r="I135" s="34"/>
    </row>
    <row r="136" spans="1:9" ht="20.399999999999999" x14ac:dyDescent="0.2">
      <c r="A136" s="588"/>
      <c r="B136" s="38" t="s">
        <v>2508</v>
      </c>
      <c r="C136" s="36" t="s">
        <v>2509</v>
      </c>
      <c r="D136" s="588"/>
      <c r="E136" s="38"/>
      <c r="F136" s="36" t="s">
        <v>3084</v>
      </c>
      <c r="G136" s="588"/>
      <c r="H136" s="38"/>
      <c r="I136" s="36"/>
    </row>
    <row r="137" spans="1:9" ht="20.399999999999999" x14ac:dyDescent="0.2">
      <c r="A137" s="588"/>
      <c r="B137" s="38" t="s">
        <v>2510</v>
      </c>
      <c r="C137" s="36" t="s">
        <v>2511</v>
      </c>
      <c r="D137" s="588"/>
      <c r="E137" s="38"/>
      <c r="F137" s="36" t="s">
        <v>2931</v>
      </c>
      <c r="G137" s="588"/>
      <c r="H137" s="38"/>
      <c r="I137" s="36"/>
    </row>
    <row r="138" spans="1:9" ht="20.399999999999999" x14ac:dyDescent="0.2">
      <c r="A138" s="588"/>
      <c r="B138" s="38" t="s">
        <v>2512</v>
      </c>
      <c r="C138" s="36" t="s">
        <v>2513</v>
      </c>
      <c r="D138" s="588"/>
      <c r="E138" s="38"/>
      <c r="F138" s="36" t="s">
        <v>2932</v>
      </c>
      <c r="G138" s="588"/>
      <c r="H138" s="38"/>
      <c r="I138" s="36"/>
    </row>
    <row r="139" spans="1:9" x14ac:dyDescent="0.2">
      <c r="A139" s="588"/>
      <c r="B139" s="38" t="s">
        <v>2514</v>
      </c>
      <c r="C139" s="40" t="s">
        <v>2515</v>
      </c>
      <c r="D139" s="588"/>
      <c r="E139" s="38"/>
      <c r="F139" s="36" t="s">
        <v>2933</v>
      </c>
      <c r="G139" s="588"/>
      <c r="H139" s="38"/>
      <c r="I139" s="40"/>
    </row>
    <row r="140" spans="1:9" ht="12.75" customHeight="1" x14ac:dyDescent="0.2">
      <c r="A140" s="588"/>
      <c r="B140" s="38" t="s">
        <v>2516</v>
      </c>
      <c r="C140" s="40" t="s">
        <v>2517</v>
      </c>
      <c r="D140" s="588"/>
      <c r="E140" s="38"/>
      <c r="F140" s="36" t="s">
        <v>2934</v>
      </c>
      <c r="G140" s="588"/>
      <c r="H140" s="38"/>
      <c r="I140" s="40"/>
    </row>
    <row r="141" spans="1:9" ht="20.399999999999999" x14ac:dyDescent="0.2">
      <c r="A141" s="588"/>
      <c r="B141" s="38" t="s">
        <v>2518</v>
      </c>
      <c r="C141" s="36" t="s">
        <v>2483</v>
      </c>
      <c r="D141" s="588"/>
      <c r="E141" s="38"/>
      <c r="F141" s="36" t="s">
        <v>2935</v>
      </c>
      <c r="G141" s="588"/>
      <c r="H141" s="38"/>
      <c r="I141" s="36"/>
    </row>
    <row r="142" spans="1:9" x14ac:dyDescent="0.25">
      <c r="A142" s="588"/>
      <c r="B142" s="35" t="s">
        <v>2519</v>
      </c>
      <c r="C142" s="587"/>
      <c r="D142" s="588"/>
      <c r="E142" s="35"/>
      <c r="F142" s="587"/>
      <c r="G142" s="588"/>
      <c r="H142" s="35"/>
      <c r="I142" s="34"/>
    </row>
    <row r="143" spans="1:9" x14ac:dyDescent="0.2">
      <c r="A143" s="588"/>
      <c r="B143" s="38" t="s">
        <v>2520</v>
      </c>
      <c r="C143" s="36" t="s">
        <v>2521</v>
      </c>
      <c r="D143" s="588"/>
      <c r="E143" s="38"/>
      <c r="F143" s="36" t="s">
        <v>2936</v>
      </c>
      <c r="G143" s="588"/>
      <c r="H143" s="38"/>
      <c r="I143" s="36"/>
    </row>
    <row r="144" spans="1:9" ht="20.399999999999999" x14ac:dyDescent="0.2">
      <c r="A144" s="588"/>
      <c r="B144" s="38" t="s">
        <v>2522</v>
      </c>
      <c r="C144" s="36" t="s">
        <v>2523</v>
      </c>
      <c r="D144" s="588"/>
      <c r="E144" s="38"/>
      <c r="F144" s="36" t="s">
        <v>2936</v>
      </c>
      <c r="G144" s="588"/>
      <c r="H144" s="38"/>
      <c r="I144" s="36"/>
    </row>
    <row r="145" spans="1:9" ht="40.799999999999997" x14ac:dyDescent="0.2">
      <c r="A145" s="588"/>
      <c r="B145" s="38" t="s">
        <v>2524</v>
      </c>
      <c r="C145" s="36" t="s">
        <v>2525</v>
      </c>
      <c r="D145" s="588"/>
      <c r="E145" s="38"/>
      <c r="F145" s="36" t="s">
        <v>2937</v>
      </c>
      <c r="G145" s="588"/>
      <c r="H145" s="38"/>
      <c r="I145" s="36"/>
    </row>
    <row r="146" spans="1:9" ht="20.399999999999999" x14ac:dyDescent="0.2">
      <c r="A146" s="588"/>
      <c r="B146" s="38" t="s">
        <v>2526</v>
      </c>
      <c r="C146" s="36" t="s">
        <v>2527</v>
      </c>
      <c r="D146" s="588"/>
      <c r="E146" s="38"/>
      <c r="F146" s="36" t="s">
        <v>2937</v>
      </c>
      <c r="G146" s="588"/>
      <c r="H146" s="38"/>
      <c r="I146" s="36"/>
    </row>
    <row r="147" spans="1:9" ht="40.799999999999997" x14ac:dyDescent="0.2">
      <c r="A147" s="588"/>
      <c r="B147" s="38" t="s">
        <v>2528</v>
      </c>
      <c r="C147" s="36" t="s">
        <v>2529</v>
      </c>
      <c r="D147" s="588"/>
      <c r="E147" s="38"/>
      <c r="F147" s="36" t="s">
        <v>2937</v>
      </c>
      <c r="G147" s="588"/>
      <c r="H147" s="38"/>
      <c r="I147" s="36"/>
    </row>
    <row r="148" spans="1:9" ht="20.399999999999999" x14ac:dyDescent="0.2">
      <c r="A148" s="588"/>
      <c r="B148" s="43" t="s">
        <v>2530</v>
      </c>
      <c r="C148" s="40" t="s">
        <v>2531</v>
      </c>
      <c r="D148" s="588"/>
      <c r="E148" s="43"/>
      <c r="F148" s="36" t="s">
        <v>2937</v>
      </c>
      <c r="G148" s="588"/>
      <c r="H148" s="43"/>
      <c r="I148" s="40"/>
    </row>
    <row r="149" spans="1:9" x14ac:dyDescent="0.2">
      <c r="A149" s="588"/>
      <c r="B149" s="43" t="s">
        <v>2532</v>
      </c>
      <c r="C149" s="40" t="s">
        <v>2533</v>
      </c>
      <c r="D149" s="588"/>
      <c r="E149" s="43"/>
      <c r="F149" s="36" t="s">
        <v>2937</v>
      </c>
      <c r="G149" s="588"/>
      <c r="H149" s="43"/>
      <c r="I149" s="40"/>
    </row>
    <row r="150" spans="1:9" x14ac:dyDescent="0.2">
      <c r="A150" s="588"/>
      <c r="B150" s="43" t="s">
        <v>2534</v>
      </c>
      <c r="C150" s="40" t="s">
        <v>2535</v>
      </c>
      <c r="D150" s="588"/>
      <c r="E150" s="43"/>
      <c r="F150" s="36" t="s">
        <v>2937</v>
      </c>
      <c r="G150" s="588"/>
      <c r="H150" s="43"/>
      <c r="I150" s="40"/>
    </row>
    <row r="151" spans="1:9" ht="20.399999999999999" x14ac:dyDescent="0.2">
      <c r="A151" s="588"/>
      <c r="B151" s="43" t="s">
        <v>2536</v>
      </c>
      <c r="C151" s="40" t="s">
        <v>2537</v>
      </c>
      <c r="D151" s="588"/>
      <c r="E151" s="43"/>
      <c r="F151" s="36" t="s">
        <v>2937</v>
      </c>
      <c r="G151" s="588"/>
      <c r="H151" s="43"/>
      <c r="I151" s="40"/>
    </row>
    <row r="152" spans="1:9" x14ac:dyDescent="0.2">
      <c r="A152" s="561"/>
      <c r="B152" s="35" t="s">
        <v>2538</v>
      </c>
      <c r="C152" s="37"/>
      <c r="D152" s="561"/>
      <c r="E152" s="35"/>
      <c r="F152" s="37"/>
      <c r="G152" s="561"/>
      <c r="H152" s="35"/>
      <c r="I152" s="37"/>
    </row>
    <row r="153" spans="1:9" x14ac:dyDescent="0.25">
      <c r="A153" s="562"/>
      <c r="B153" s="38" t="s">
        <v>2539</v>
      </c>
      <c r="C153" s="36" t="s">
        <v>2540</v>
      </c>
      <c r="D153" s="562"/>
      <c r="E153" s="38"/>
      <c r="F153" s="36" t="s">
        <v>2541</v>
      </c>
      <c r="G153" s="562"/>
      <c r="H153" s="38"/>
      <c r="I153" s="566"/>
    </row>
    <row r="154" spans="1:9" x14ac:dyDescent="0.25">
      <c r="A154" s="562"/>
      <c r="B154" s="38" t="s">
        <v>2542</v>
      </c>
      <c r="C154" s="36" t="s">
        <v>2543</v>
      </c>
      <c r="D154" s="562"/>
      <c r="E154" s="38"/>
      <c r="F154" s="36" t="s">
        <v>2544</v>
      </c>
      <c r="G154" s="562"/>
      <c r="H154" s="38"/>
      <c r="I154" s="566"/>
    </row>
    <row r="155" spans="1:9" ht="30.6" x14ac:dyDescent="0.2">
      <c r="A155" s="561"/>
      <c r="B155" s="38" t="s">
        <v>2545</v>
      </c>
      <c r="C155" s="36" t="s">
        <v>2546</v>
      </c>
      <c r="D155" s="561"/>
      <c r="E155" s="38"/>
      <c r="F155" s="36" t="s">
        <v>2541</v>
      </c>
      <c r="G155" s="561"/>
      <c r="H155" s="38"/>
      <c r="I155" s="566"/>
    </row>
    <row r="156" spans="1:9" ht="20.399999999999999" x14ac:dyDescent="0.2">
      <c r="A156" s="561"/>
      <c r="B156" s="38" t="s">
        <v>2547</v>
      </c>
      <c r="C156" s="36" t="s">
        <v>2548</v>
      </c>
      <c r="D156" s="561"/>
      <c r="E156" s="38"/>
      <c r="F156" s="36" t="s">
        <v>2544</v>
      </c>
      <c r="G156" s="561"/>
      <c r="H156" s="38"/>
      <c r="I156" s="566"/>
    </row>
    <row r="157" spans="1:9" x14ac:dyDescent="0.25">
      <c r="A157" s="561"/>
      <c r="B157" s="35" t="s">
        <v>2549</v>
      </c>
      <c r="C157" s="37"/>
      <c r="D157" s="561"/>
      <c r="E157" s="35"/>
      <c r="F157" s="589"/>
      <c r="G157" s="561"/>
      <c r="H157" s="35"/>
      <c r="I157" s="34"/>
    </row>
    <row r="158" spans="1:9" x14ac:dyDescent="0.25">
      <c r="A158" s="562"/>
      <c r="B158" s="38" t="s">
        <v>2550</v>
      </c>
      <c r="C158" s="36" t="s">
        <v>2551</v>
      </c>
      <c r="D158" s="562"/>
      <c r="E158" s="38"/>
      <c r="F158" s="36" t="s">
        <v>2499</v>
      </c>
      <c r="G158" s="562"/>
      <c r="H158" s="38"/>
      <c r="I158" s="36"/>
    </row>
    <row r="159" spans="1:9" ht="20.399999999999999" x14ac:dyDescent="0.2">
      <c r="A159" s="561"/>
      <c r="B159" s="38" t="s">
        <v>2552</v>
      </c>
      <c r="C159" s="36" t="s">
        <v>2553</v>
      </c>
      <c r="D159" s="561"/>
      <c r="E159" s="38"/>
      <c r="F159" s="36" t="s">
        <v>2502</v>
      </c>
      <c r="G159" s="561"/>
      <c r="H159" s="38"/>
      <c r="I159" s="36"/>
    </row>
    <row r="160" spans="1:9" x14ac:dyDescent="0.2">
      <c r="A160" s="561"/>
      <c r="B160" s="38" t="s">
        <v>2554</v>
      </c>
      <c r="C160" s="36" t="s">
        <v>2555</v>
      </c>
      <c r="D160" s="561"/>
      <c r="E160" s="38"/>
      <c r="F160" s="36" t="s">
        <v>2499</v>
      </c>
      <c r="G160" s="561"/>
      <c r="H160" s="38"/>
      <c r="I160" s="36"/>
    </row>
    <row r="161" spans="1:9" ht="15.6" x14ac:dyDescent="0.25">
      <c r="A161" s="555"/>
      <c r="B161" s="556" t="s">
        <v>2966</v>
      </c>
      <c r="C161" s="557"/>
      <c r="D161"/>
      <c r="E161"/>
      <c r="F161"/>
      <c r="G161"/>
      <c r="H161"/>
      <c r="I161"/>
    </row>
    <row r="162" spans="1:9" x14ac:dyDescent="0.25">
      <c r="A162" s="561"/>
      <c r="B162" s="41" t="s">
        <v>463</v>
      </c>
      <c r="C162" s="37"/>
      <c r="D162" s="561"/>
      <c r="E162" s="41"/>
      <c r="F162" s="589"/>
      <c r="G162" s="561"/>
      <c r="H162" s="41"/>
      <c r="I162" s="34"/>
    </row>
    <row r="163" spans="1:9" ht="27.75" customHeight="1" x14ac:dyDescent="0.25">
      <c r="A163" s="562"/>
      <c r="B163" s="36" t="s">
        <v>2556</v>
      </c>
      <c r="C163" s="36" t="s">
        <v>2557</v>
      </c>
      <c r="D163" s="36"/>
      <c r="E163" s="36"/>
      <c r="F163" s="36" t="s">
        <v>2943</v>
      </c>
      <c r="G163" s="36"/>
      <c r="H163" s="36"/>
      <c r="I163" s="36"/>
    </row>
    <row r="164" spans="1:9" ht="20.399999999999999" x14ac:dyDescent="0.25">
      <c r="A164" s="562"/>
      <c r="B164" s="38" t="s">
        <v>2558</v>
      </c>
      <c r="C164" s="36" t="s">
        <v>2559</v>
      </c>
      <c r="D164" s="562"/>
      <c r="E164" s="36"/>
      <c r="F164" s="36" t="s">
        <v>2944</v>
      </c>
      <c r="G164" s="562"/>
      <c r="H164" s="36"/>
      <c r="I164" s="36"/>
    </row>
    <row r="165" spans="1:9" ht="14.25" customHeight="1" x14ac:dyDescent="0.2">
      <c r="A165" s="561"/>
      <c r="B165" s="38" t="s">
        <v>2560</v>
      </c>
      <c r="C165" s="36" t="s">
        <v>345</v>
      </c>
      <c r="D165" s="561"/>
      <c r="E165" s="38"/>
      <c r="F165" s="36" t="s">
        <v>2945</v>
      </c>
      <c r="G165" s="561"/>
      <c r="H165" s="38"/>
      <c r="I165" s="36"/>
    </row>
    <row r="166" spans="1:9" ht="14.25" customHeight="1" x14ac:dyDescent="0.2">
      <c r="A166" s="561"/>
      <c r="B166" s="38" t="s">
        <v>2561</v>
      </c>
      <c r="C166" s="36" t="s">
        <v>2562</v>
      </c>
      <c r="D166" s="561"/>
      <c r="E166" s="38"/>
      <c r="F166" s="36" t="s">
        <v>2945</v>
      </c>
      <c r="G166" s="561"/>
      <c r="H166" s="38"/>
      <c r="I166" s="36"/>
    </row>
    <row r="167" spans="1:9" ht="20.399999999999999" x14ac:dyDescent="0.2">
      <c r="A167" s="561"/>
      <c r="B167" s="38" t="s">
        <v>2563</v>
      </c>
      <c r="C167" s="36" t="s">
        <v>2564</v>
      </c>
      <c r="D167" s="561"/>
      <c r="E167" s="38"/>
      <c r="F167" s="36"/>
      <c r="G167" s="561"/>
      <c r="H167" s="38"/>
      <c r="I167" s="36"/>
    </row>
    <row r="168" spans="1:9" ht="15" customHeight="1" x14ac:dyDescent="0.2">
      <c r="A168" s="561"/>
      <c r="B168" s="38" t="s">
        <v>2565</v>
      </c>
      <c r="C168" s="36" t="s">
        <v>2566</v>
      </c>
      <c r="D168" s="561"/>
      <c r="E168" s="38"/>
      <c r="F168" s="36"/>
      <c r="G168" s="561"/>
      <c r="H168" s="38"/>
      <c r="I168" s="36"/>
    </row>
    <row r="169" spans="1:9" ht="20.399999999999999" x14ac:dyDescent="0.2">
      <c r="A169" s="561"/>
      <c r="B169" s="38" t="s">
        <v>2567</v>
      </c>
      <c r="C169" s="36" t="s">
        <v>2568</v>
      </c>
      <c r="D169" s="561"/>
      <c r="E169" s="38"/>
      <c r="F169" s="36"/>
      <c r="G169" s="561"/>
      <c r="H169" s="38"/>
      <c r="I169" s="36"/>
    </row>
    <row r="170" spans="1:9" x14ac:dyDescent="0.2">
      <c r="A170" s="561"/>
      <c r="B170" s="38" t="s">
        <v>2569</v>
      </c>
      <c r="C170" s="36" t="s">
        <v>2570</v>
      </c>
      <c r="D170" s="561"/>
      <c r="E170" s="38"/>
      <c r="F170" s="36"/>
      <c r="G170" s="561"/>
      <c r="H170" s="38"/>
      <c r="I170" s="36"/>
    </row>
    <row r="171" spans="1:9" x14ac:dyDescent="0.2">
      <c r="A171" s="561"/>
      <c r="B171" s="41" t="s">
        <v>2571</v>
      </c>
      <c r="C171" s="37"/>
      <c r="D171" s="561"/>
      <c r="E171" s="41"/>
      <c r="F171" s="37"/>
      <c r="G171" s="561"/>
      <c r="H171" s="41"/>
      <c r="I171" s="37"/>
    </row>
    <row r="172" spans="1:9" ht="20.399999999999999" x14ac:dyDescent="0.2">
      <c r="A172" s="561"/>
      <c r="B172" s="38" t="s">
        <v>2572</v>
      </c>
      <c r="C172" s="36" t="s">
        <v>2573</v>
      </c>
      <c r="D172" s="561"/>
      <c r="E172" s="38"/>
      <c r="F172" s="36" t="s">
        <v>2946</v>
      </c>
      <c r="G172" s="561"/>
      <c r="H172" s="38"/>
      <c r="I172" s="36"/>
    </row>
    <row r="173" spans="1:9" x14ac:dyDescent="0.25">
      <c r="A173" s="562"/>
      <c r="B173" s="38" t="s">
        <v>2574</v>
      </c>
      <c r="C173" s="36" t="s">
        <v>2575</v>
      </c>
      <c r="D173" s="562"/>
      <c r="E173" s="38"/>
      <c r="F173" s="36"/>
      <c r="G173" s="562"/>
      <c r="H173" s="38"/>
      <c r="I173" s="36"/>
    </row>
    <row r="174" spans="1:9" x14ac:dyDescent="0.25">
      <c r="A174" s="562"/>
      <c r="B174" s="35" t="s">
        <v>2576</v>
      </c>
      <c r="C174" s="37"/>
      <c r="D174" s="562"/>
      <c r="E174" s="35"/>
      <c r="F174" s="37"/>
      <c r="G174" s="562"/>
      <c r="H174" s="35"/>
      <c r="I174" s="34"/>
    </row>
    <row r="175" spans="1:9" ht="20.399999999999999" x14ac:dyDescent="0.2">
      <c r="A175" s="561"/>
      <c r="B175" s="38" t="s">
        <v>2577</v>
      </c>
      <c r="C175" s="36" t="s">
        <v>2578</v>
      </c>
      <c r="D175" s="561"/>
      <c r="E175" s="38"/>
      <c r="F175" s="36" t="s">
        <v>2947</v>
      </c>
      <c r="G175" s="561"/>
      <c r="H175" s="38"/>
      <c r="I175" s="36"/>
    </row>
    <row r="176" spans="1:9" ht="20.399999999999999" x14ac:dyDescent="0.2">
      <c r="A176" s="561"/>
      <c r="B176" s="38" t="s">
        <v>2580</v>
      </c>
      <c r="C176" s="36" t="s">
        <v>2581</v>
      </c>
      <c r="D176" s="561"/>
      <c r="E176" s="38"/>
      <c r="F176" s="36" t="s">
        <v>2948</v>
      </c>
      <c r="G176" s="561"/>
      <c r="H176" s="38"/>
      <c r="I176" s="36"/>
    </row>
    <row r="177" spans="1:9" ht="12.75" customHeight="1" x14ac:dyDescent="0.2">
      <c r="A177" s="561"/>
      <c r="B177" s="38" t="s">
        <v>2583</v>
      </c>
      <c r="C177" s="36" t="s">
        <v>2584</v>
      </c>
      <c r="D177" s="561"/>
      <c r="E177" s="38"/>
      <c r="F177" s="36" t="s">
        <v>2949</v>
      </c>
      <c r="G177" s="561"/>
      <c r="H177" s="38"/>
      <c r="I177" s="36"/>
    </row>
    <row r="178" spans="1:9" ht="14.25" customHeight="1" x14ac:dyDescent="0.2">
      <c r="A178" s="561"/>
      <c r="B178" s="38" t="s">
        <v>2585</v>
      </c>
      <c r="C178" s="36" t="s">
        <v>2586</v>
      </c>
      <c r="D178" s="561"/>
      <c r="E178" s="38"/>
      <c r="F178" s="36"/>
      <c r="G178" s="561"/>
      <c r="H178" s="38"/>
      <c r="I178" s="36"/>
    </row>
    <row r="179" spans="1:9" x14ac:dyDescent="0.25">
      <c r="A179" s="561"/>
      <c r="B179" s="210" t="s">
        <v>2587</v>
      </c>
      <c r="C179" s="39"/>
      <c r="D179" s="561"/>
      <c r="E179" s="210"/>
      <c r="G179" s="561"/>
      <c r="H179" s="210"/>
      <c r="I179" s="34"/>
    </row>
    <row r="180" spans="1:9" ht="15" customHeight="1" x14ac:dyDescent="0.25">
      <c r="A180" s="562"/>
      <c r="B180" s="590" t="s">
        <v>2588</v>
      </c>
      <c r="C180" s="211" t="s">
        <v>2589</v>
      </c>
      <c r="D180" s="562"/>
      <c r="E180" s="590"/>
      <c r="F180" s="36"/>
      <c r="G180" s="562"/>
      <c r="H180" s="590"/>
      <c r="I180" s="211"/>
    </row>
    <row r="181" spans="1:9" ht="14.25" customHeight="1" x14ac:dyDescent="0.25">
      <c r="A181" s="562"/>
      <c r="B181" s="590" t="s">
        <v>2590</v>
      </c>
      <c r="C181" s="211" t="s">
        <v>2591</v>
      </c>
      <c r="D181" s="562"/>
      <c r="E181" s="590"/>
      <c r="F181" s="36"/>
      <c r="G181" s="562"/>
      <c r="H181" s="590"/>
      <c r="I181" s="211"/>
    </row>
    <row r="182" spans="1:9" ht="30.75" customHeight="1" x14ac:dyDescent="0.25">
      <c r="A182" s="555"/>
      <c r="B182" s="1419" t="s">
        <v>2967</v>
      </c>
      <c r="C182" s="1420"/>
      <c r="D182" s="559"/>
      <c r="E182" s="1419" t="s">
        <v>2968</v>
      </c>
      <c r="F182" s="1420"/>
      <c r="G182" s="559"/>
      <c r="H182" s="1419" t="s">
        <v>2950</v>
      </c>
      <c r="I182" s="1420"/>
    </row>
    <row r="183" spans="1:9" x14ac:dyDescent="0.2">
      <c r="A183" s="572"/>
      <c r="B183" s="591" t="s">
        <v>269</v>
      </c>
      <c r="C183" s="592"/>
      <c r="D183" s="561"/>
      <c r="E183" s="41" t="s">
        <v>269</v>
      </c>
      <c r="F183" s="37"/>
      <c r="G183" s="561"/>
      <c r="H183" s="41" t="s">
        <v>269</v>
      </c>
      <c r="I183" s="37"/>
    </row>
    <row r="184" spans="1:9" x14ac:dyDescent="0.2">
      <c r="A184" s="572"/>
      <c r="B184" s="591"/>
      <c r="C184" s="592"/>
      <c r="D184" s="561"/>
      <c r="E184" s="38" t="s">
        <v>728</v>
      </c>
      <c r="F184" s="36" t="s">
        <v>7</v>
      </c>
      <c r="G184" s="561"/>
      <c r="H184" s="41"/>
      <c r="I184" s="37"/>
    </row>
    <row r="185" spans="1:9" ht="24.75" customHeight="1" x14ac:dyDescent="0.2">
      <c r="A185" s="593"/>
      <c r="B185" s="575" t="s">
        <v>2592</v>
      </c>
      <c r="C185" s="52" t="s">
        <v>2593</v>
      </c>
      <c r="D185" s="594"/>
      <c r="F185" s="36" t="s">
        <v>2408</v>
      </c>
      <c r="G185" s="561"/>
      <c r="I185" s="36" t="s">
        <v>2408</v>
      </c>
    </row>
    <row r="186" spans="1:9" ht="20.399999999999999" x14ac:dyDescent="0.25">
      <c r="A186" s="570"/>
      <c r="B186" s="575" t="s">
        <v>2595</v>
      </c>
      <c r="C186" s="52" t="s">
        <v>2523</v>
      </c>
      <c r="D186" s="562"/>
      <c r="E186" s="38" t="s">
        <v>629</v>
      </c>
      <c r="F186" s="52" t="s">
        <v>2523</v>
      </c>
      <c r="G186" s="562"/>
      <c r="H186" s="38"/>
      <c r="I186" s="36" t="s">
        <v>2408</v>
      </c>
    </row>
    <row r="187" spans="1:9" x14ac:dyDescent="0.25">
      <c r="A187" s="570"/>
      <c r="B187" s="575"/>
      <c r="C187" s="52"/>
      <c r="D187" s="562"/>
      <c r="E187" s="38" t="s">
        <v>729</v>
      </c>
      <c r="F187" s="52" t="s">
        <v>730</v>
      </c>
      <c r="G187" s="562"/>
      <c r="H187" s="38"/>
      <c r="I187" s="36"/>
    </row>
    <row r="188" spans="1:9" ht="24.75" customHeight="1" x14ac:dyDescent="0.2">
      <c r="A188" s="572"/>
      <c r="B188" s="575" t="s">
        <v>2596</v>
      </c>
      <c r="C188" s="52" t="s">
        <v>2597</v>
      </c>
      <c r="D188" s="561"/>
      <c r="E188" s="38" t="s">
        <v>628</v>
      </c>
      <c r="F188" s="36" t="s">
        <v>731</v>
      </c>
      <c r="G188" s="561"/>
      <c r="H188" s="38" t="s">
        <v>728</v>
      </c>
      <c r="I188" s="36" t="s">
        <v>2594</v>
      </c>
    </row>
    <row r="189" spans="1:9" ht="15" customHeight="1" x14ac:dyDescent="0.25">
      <c r="A189" s="596"/>
      <c r="B189" s="575" t="s">
        <v>2598</v>
      </c>
      <c r="C189" s="52" t="s">
        <v>2599</v>
      </c>
      <c r="D189" s="597"/>
      <c r="E189" s="38"/>
      <c r="F189" s="36" t="s">
        <v>2413</v>
      </c>
      <c r="G189" s="597"/>
      <c r="H189" s="38"/>
      <c r="I189" s="36" t="s">
        <v>2413</v>
      </c>
    </row>
    <row r="190" spans="1:9" ht="15" customHeight="1" x14ac:dyDescent="0.2">
      <c r="A190" s="572"/>
      <c r="B190" s="575"/>
      <c r="C190" s="52"/>
      <c r="D190" s="561"/>
      <c r="E190" s="38"/>
      <c r="F190" s="36"/>
      <c r="G190" s="561"/>
      <c r="H190" s="656" t="s">
        <v>629</v>
      </c>
      <c r="I190" s="36" t="s">
        <v>3069</v>
      </c>
    </row>
    <row r="191" spans="1:9" s="639" customFormat="1" ht="20.399999999999999" x14ac:dyDescent="0.25">
      <c r="A191" s="596"/>
      <c r="B191" s="575" t="s">
        <v>2600</v>
      </c>
      <c r="C191" s="135" t="s">
        <v>2601</v>
      </c>
      <c r="D191" s="597"/>
      <c r="E191" s="38" t="s">
        <v>732</v>
      </c>
      <c r="F191" s="135" t="s">
        <v>2601</v>
      </c>
      <c r="G191" s="597"/>
      <c r="H191" s="38"/>
      <c r="I191" s="36"/>
    </row>
    <row r="192" spans="1:9" s="639" customFormat="1" x14ac:dyDescent="0.25">
      <c r="A192" s="596"/>
      <c r="B192" s="575"/>
      <c r="C192" s="135"/>
      <c r="D192" s="597"/>
      <c r="E192" s="38" t="s">
        <v>733</v>
      </c>
      <c r="F192" s="135" t="s">
        <v>2952</v>
      </c>
      <c r="G192" s="597"/>
      <c r="H192" s="38"/>
      <c r="I192" s="36"/>
    </row>
    <row r="193" spans="1:9" s="639" customFormat="1" x14ac:dyDescent="0.25">
      <c r="A193" s="596"/>
      <c r="B193" s="575"/>
      <c r="C193" s="135"/>
      <c r="D193" s="597"/>
      <c r="E193" s="38" t="s">
        <v>819</v>
      </c>
      <c r="F193" s="135" t="s">
        <v>2953</v>
      </c>
      <c r="G193" s="597"/>
      <c r="H193" s="38"/>
      <c r="I193" s="36"/>
    </row>
    <row r="194" spans="1:9" s="639" customFormat="1" x14ac:dyDescent="0.25">
      <c r="A194" s="596"/>
      <c r="B194" s="575"/>
      <c r="C194" s="135"/>
      <c r="D194" s="597"/>
      <c r="E194" s="38" t="s">
        <v>820</v>
      </c>
      <c r="F194" s="135" t="s">
        <v>2954</v>
      </c>
      <c r="G194" s="597"/>
      <c r="H194" s="38"/>
      <c r="I194" s="36"/>
    </row>
    <row r="195" spans="1:9" x14ac:dyDescent="0.2">
      <c r="A195" s="572"/>
      <c r="B195" s="591" t="s">
        <v>2602</v>
      </c>
      <c r="C195" s="592"/>
      <c r="D195" s="561"/>
      <c r="E195" s="41"/>
      <c r="F195" s="37"/>
      <c r="G195" s="561"/>
      <c r="H195" s="41"/>
      <c r="I195" s="36"/>
    </row>
    <row r="196" spans="1:9" ht="14.25" customHeight="1" x14ac:dyDescent="0.2">
      <c r="A196" s="593"/>
      <c r="B196" s="575" t="s">
        <v>2603</v>
      </c>
      <c r="C196" s="52" t="s">
        <v>2604</v>
      </c>
      <c r="D196" s="594"/>
      <c r="E196" s="38"/>
      <c r="F196" s="36"/>
      <c r="G196" s="594"/>
      <c r="H196" s="38"/>
      <c r="I196" s="36"/>
    </row>
    <row r="197" spans="1:9" x14ac:dyDescent="0.2">
      <c r="A197" s="572"/>
      <c r="B197" s="591" t="s">
        <v>2605</v>
      </c>
      <c r="C197" s="592"/>
      <c r="D197" s="561"/>
      <c r="E197" s="41"/>
      <c r="F197" s="37"/>
      <c r="G197" s="561"/>
      <c r="H197" s="41"/>
      <c r="I197" s="36"/>
    </row>
    <row r="198" spans="1:9" ht="13.5" customHeight="1" x14ac:dyDescent="0.2">
      <c r="A198" s="593"/>
      <c r="B198" s="575" t="s">
        <v>2606</v>
      </c>
      <c r="C198" s="52" t="s">
        <v>2607</v>
      </c>
      <c r="D198" s="594"/>
      <c r="E198" s="38"/>
      <c r="F198" s="36" t="s">
        <v>2608</v>
      </c>
      <c r="G198" s="594"/>
      <c r="H198" s="38"/>
      <c r="I198" s="36"/>
    </row>
    <row r="199" spans="1:9" ht="13.5" customHeight="1" x14ac:dyDescent="0.25">
      <c r="A199" s="570"/>
      <c r="B199" s="575" t="s">
        <v>2609</v>
      </c>
      <c r="C199" s="52" t="s">
        <v>2610</v>
      </c>
      <c r="D199" s="562"/>
      <c r="E199" s="38"/>
      <c r="F199" s="36" t="s">
        <v>2608</v>
      </c>
      <c r="G199" s="562"/>
      <c r="H199" s="38"/>
      <c r="I199" s="36"/>
    </row>
    <row r="200" spans="1:9" x14ac:dyDescent="0.2">
      <c r="A200" s="572"/>
      <c r="B200" s="591" t="s">
        <v>2611</v>
      </c>
      <c r="C200" s="592"/>
      <c r="D200" s="561"/>
      <c r="E200" s="41" t="s">
        <v>2612</v>
      </c>
      <c r="F200" s="37"/>
      <c r="G200" s="561"/>
      <c r="H200" s="41" t="s">
        <v>2613</v>
      </c>
      <c r="I200" s="37"/>
    </row>
    <row r="201" spans="1:9" ht="15.75" customHeight="1" x14ac:dyDescent="0.2">
      <c r="A201" s="593"/>
      <c r="B201" s="575" t="s">
        <v>2614</v>
      </c>
      <c r="C201" s="52" t="s">
        <v>379</v>
      </c>
      <c r="D201" s="594"/>
      <c r="E201" s="38" t="s">
        <v>630</v>
      </c>
      <c r="F201" s="36" t="s">
        <v>379</v>
      </c>
      <c r="G201" s="594"/>
      <c r="H201" s="38" t="s">
        <v>630</v>
      </c>
      <c r="I201" s="36" t="s">
        <v>379</v>
      </c>
    </row>
    <row r="202" spans="1:9" ht="15.75" customHeight="1" x14ac:dyDescent="0.2">
      <c r="A202" s="657"/>
      <c r="B202" s="575"/>
      <c r="C202" s="52"/>
      <c r="D202" s="598"/>
      <c r="E202" s="43"/>
      <c r="F202" s="40"/>
      <c r="G202" s="598"/>
      <c r="H202" s="38" t="s">
        <v>3070</v>
      </c>
      <c r="I202" s="658" t="s">
        <v>3071</v>
      </c>
    </row>
    <row r="203" spans="1:9" ht="15" customHeight="1" x14ac:dyDescent="0.25">
      <c r="A203" s="598"/>
      <c r="B203" s="38" t="s">
        <v>2615</v>
      </c>
      <c r="C203" s="36" t="s">
        <v>2616</v>
      </c>
      <c r="D203" s="598"/>
      <c r="E203" s="43"/>
      <c r="F203" s="40"/>
      <c r="G203" s="598"/>
      <c r="H203" s="43"/>
      <c r="I203" s="34"/>
    </row>
    <row r="204" spans="1:9" ht="26.25" customHeight="1" x14ac:dyDescent="0.2">
      <c r="A204" s="572"/>
      <c r="B204" s="591"/>
      <c r="C204" s="592"/>
      <c r="D204" s="561"/>
      <c r="E204" s="1438" t="s">
        <v>2617</v>
      </c>
      <c r="F204" s="1438"/>
      <c r="G204" s="561"/>
      <c r="H204" s="41"/>
      <c r="I204" s="37"/>
    </row>
    <row r="205" spans="1:9" ht="20.399999999999999" x14ac:dyDescent="0.2">
      <c r="A205" s="593"/>
      <c r="B205" s="575"/>
      <c r="C205" s="52"/>
      <c r="D205" s="594"/>
      <c r="E205" s="38" t="s">
        <v>734</v>
      </c>
      <c r="F205" s="36" t="s">
        <v>1613</v>
      </c>
      <c r="G205" s="594"/>
      <c r="H205" s="38"/>
      <c r="I205" s="36"/>
    </row>
    <row r="206" spans="1:9" ht="28.5" customHeight="1" x14ac:dyDescent="0.25">
      <c r="A206" s="555"/>
      <c r="B206" s="628" t="s">
        <v>2969</v>
      </c>
      <c r="C206" s="557"/>
      <c r="D206" s="50"/>
      <c r="E206" s="1439" t="s">
        <v>2970</v>
      </c>
      <c r="F206" s="1440"/>
      <c r="G206" s="50"/>
      <c r="H206" s="1439" t="s">
        <v>2618</v>
      </c>
      <c r="I206" s="1440"/>
    </row>
    <row r="207" spans="1:9" x14ac:dyDescent="0.2">
      <c r="A207" s="561"/>
      <c r="B207" s="41" t="s">
        <v>463</v>
      </c>
      <c r="C207" s="37"/>
      <c r="D207" s="561"/>
      <c r="E207" s="41" t="s">
        <v>463</v>
      </c>
      <c r="F207" s="37"/>
      <c r="G207" s="561"/>
      <c r="H207" s="41" t="s">
        <v>463</v>
      </c>
      <c r="I207" s="37"/>
    </row>
    <row r="208" spans="1:9" x14ac:dyDescent="0.2">
      <c r="A208" s="561"/>
      <c r="B208" s="41"/>
      <c r="C208" s="37"/>
      <c r="D208" s="561"/>
      <c r="E208" s="44" t="s">
        <v>735</v>
      </c>
      <c r="F208" s="212" t="s">
        <v>736</v>
      </c>
      <c r="G208" s="561"/>
      <c r="H208" s="41"/>
      <c r="I208" s="212"/>
    </row>
    <row r="209" spans="1:9" x14ac:dyDescent="0.2">
      <c r="A209" s="561"/>
      <c r="B209" s="41"/>
      <c r="C209" s="37"/>
      <c r="D209" s="561"/>
      <c r="E209" s="44" t="s">
        <v>650</v>
      </c>
      <c r="F209" s="212" t="s">
        <v>737</v>
      </c>
      <c r="G209" s="561"/>
      <c r="H209" s="41"/>
      <c r="I209" s="212"/>
    </row>
    <row r="210" spans="1:9" x14ac:dyDescent="0.2">
      <c r="A210" s="561"/>
      <c r="B210" s="41"/>
      <c r="C210" s="37"/>
      <c r="D210" s="561"/>
      <c r="E210" s="44" t="s">
        <v>622</v>
      </c>
      <c r="F210" s="135" t="s">
        <v>2955</v>
      </c>
      <c r="G210" s="561"/>
      <c r="H210" s="41"/>
      <c r="I210" s="212"/>
    </row>
    <row r="211" spans="1:9" x14ac:dyDescent="0.2">
      <c r="A211" s="561"/>
      <c r="B211" s="41"/>
      <c r="C211" s="37"/>
      <c r="D211" s="561"/>
      <c r="E211" s="44" t="s">
        <v>739</v>
      </c>
      <c r="F211" s="212" t="s">
        <v>740</v>
      </c>
      <c r="G211" s="561"/>
      <c r="H211" s="41"/>
      <c r="I211" s="212"/>
    </row>
    <row r="212" spans="1:9" ht="20.399999999999999" x14ac:dyDescent="0.25">
      <c r="A212" s="562"/>
      <c r="B212" s="36" t="s">
        <v>2620</v>
      </c>
      <c r="C212" s="36" t="s">
        <v>2557</v>
      </c>
      <c r="D212" s="36"/>
      <c r="E212" s="565"/>
      <c r="F212" s="299" t="s">
        <v>2621</v>
      </c>
      <c r="G212" s="36"/>
      <c r="H212" s="565"/>
      <c r="I212" s="299" t="s">
        <v>2622</v>
      </c>
    </row>
    <row r="213" spans="1:9" ht="15" customHeight="1" x14ac:dyDescent="0.25">
      <c r="A213" s="562"/>
      <c r="B213" s="38" t="s">
        <v>2623</v>
      </c>
      <c r="C213" s="36" t="s">
        <v>2586</v>
      </c>
      <c r="D213" s="562"/>
      <c r="E213" s="38" t="s">
        <v>1056</v>
      </c>
      <c r="F213" s="285" t="s">
        <v>1396</v>
      </c>
      <c r="G213" s="562"/>
      <c r="H213" s="38"/>
      <c r="I213" s="600"/>
    </row>
    <row r="214" spans="1:9" ht="20.399999999999999" x14ac:dyDescent="0.2">
      <c r="A214" s="561"/>
      <c r="B214" s="38" t="s">
        <v>2624</v>
      </c>
      <c r="C214" s="36" t="s">
        <v>2625</v>
      </c>
      <c r="D214" s="561"/>
      <c r="E214" s="38" t="s">
        <v>625</v>
      </c>
      <c r="F214" s="36" t="s">
        <v>743</v>
      </c>
      <c r="G214" s="561"/>
      <c r="H214" s="38" t="s">
        <v>735</v>
      </c>
      <c r="I214" s="36" t="s">
        <v>2625</v>
      </c>
    </row>
    <row r="215" spans="1:9" x14ac:dyDescent="0.2">
      <c r="A215" s="561"/>
      <c r="B215" s="38"/>
      <c r="C215" s="36"/>
      <c r="D215" s="561"/>
      <c r="E215" s="38" t="s">
        <v>744</v>
      </c>
      <c r="F215" s="40" t="s">
        <v>47</v>
      </c>
      <c r="G215" s="561"/>
      <c r="H215" s="352"/>
      <c r="I215" s="601"/>
    </row>
    <row r="216" spans="1:9" x14ac:dyDescent="0.2">
      <c r="A216" s="561"/>
      <c r="B216" s="38"/>
      <c r="C216" s="36"/>
      <c r="D216" s="561"/>
      <c r="E216" s="38" t="s">
        <v>745</v>
      </c>
      <c r="F216" s="40" t="s">
        <v>746</v>
      </c>
      <c r="G216" s="561"/>
      <c r="H216" s="352"/>
      <c r="I216" s="601"/>
    </row>
    <row r="217" spans="1:9" x14ac:dyDescent="0.2">
      <c r="A217" s="561"/>
      <c r="B217" s="38"/>
      <c r="C217" s="36"/>
      <c r="D217" s="561"/>
      <c r="E217" s="38" t="s">
        <v>747</v>
      </c>
      <c r="F217" s="40" t="s">
        <v>748</v>
      </c>
      <c r="G217" s="561"/>
      <c r="H217" s="352"/>
      <c r="I217" s="601"/>
    </row>
    <row r="218" spans="1:9" x14ac:dyDescent="0.25">
      <c r="A218" s="561"/>
      <c r="B218" s="38" t="s">
        <v>2626</v>
      </c>
      <c r="C218" s="36" t="s">
        <v>345</v>
      </c>
      <c r="D218" s="561"/>
      <c r="E218" s="38" t="s">
        <v>626</v>
      </c>
      <c r="F218" s="36" t="s">
        <v>345</v>
      </c>
      <c r="G218" s="561"/>
      <c r="H218" s="34"/>
      <c r="I218" s="34"/>
    </row>
    <row r="219" spans="1:9" ht="30.6" x14ac:dyDescent="0.2">
      <c r="A219" s="561"/>
      <c r="B219" s="38" t="s">
        <v>2627</v>
      </c>
      <c r="C219" s="36" t="s">
        <v>2628</v>
      </c>
      <c r="D219" s="561"/>
      <c r="E219" s="563"/>
      <c r="F219" s="36" t="s">
        <v>2629</v>
      </c>
      <c r="G219" s="561"/>
      <c r="H219" s="38" t="s">
        <v>650</v>
      </c>
      <c r="I219" s="36" t="s">
        <v>2630</v>
      </c>
    </row>
    <row r="220" spans="1:9" x14ac:dyDescent="0.25">
      <c r="A220" s="561"/>
      <c r="B220" s="38" t="s">
        <v>2631</v>
      </c>
      <c r="C220" s="36" t="s">
        <v>2562</v>
      </c>
      <c r="D220" s="561"/>
      <c r="E220" s="34"/>
      <c r="F220" s="36" t="s">
        <v>2629</v>
      </c>
      <c r="G220" s="561"/>
      <c r="H220" s="34"/>
      <c r="I220" s="36"/>
    </row>
    <row r="221" spans="1:9" ht="20.399999999999999" x14ac:dyDescent="0.2">
      <c r="A221" s="561"/>
      <c r="B221" s="41"/>
      <c r="C221" s="37"/>
      <c r="D221" s="561"/>
      <c r="E221" s="44" t="s">
        <v>624</v>
      </c>
      <c r="F221" s="599" t="s">
        <v>741</v>
      </c>
      <c r="G221" s="561"/>
      <c r="H221" s="41"/>
      <c r="I221" s="212"/>
    </row>
    <row r="222" spans="1:9" x14ac:dyDescent="0.25">
      <c r="A222" s="561"/>
      <c r="B222" s="41"/>
      <c r="C222" s="37"/>
      <c r="D222" s="561"/>
      <c r="E222" s="44" t="s">
        <v>623</v>
      </c>
      <c r="F222" s="212" t="s">
        <v>742</v>
      </c>
      <c r="G222" s="561"/>
      <c r="H222" s="41"/>
      <c r="I222" s="34"/>
    </row>
    <row r="223" spans="1:9" x14ac:dyDescent="0.2">
      <c r="A223" s="561"/>
      <c r="B223" s="38" t="s">
        <v>2632</v>
      </c>
      <c r="C223" s="36" t="s">
        <v>1045</v>
      </c>
      <c r="D223" s="561"/>
      <c r="E223" s="38" t="s">
        <v>631</v>
      </c>
      <c r="F223" s="36" t="s">
        <v>1045</v>
      </c>
      <c r="G223" s="561"/>
      <c r="H223" s="38"/>
      <c r="I223" s="36"/>
    </row>
    <row r="224" spans="1:9" ht="20.399999999999999" x14ac:dyDescent="0.25">
      <c r="A224" s="561"/>
      <c r="B224" s="38" t="s">
        <v>2633</v>
      </c>
      <c r="C224" s="36" t="s">
        <v>2634</v>
      </c>
      <c r="D224" s="561"/>
      <c r="E224" s="36"/>
      <c r="F224" s="36" t="s">
        <v>2635</v>
      </c>
      <c r="G224" s="561"/>
      <c r="H224" s="36"/>
      <c r="I224" s="34"/>
    </row>
    <row r="225" spans="1:9" ht="20.399999999999999" x14ac:dyDescent="0.2">
      <c r="A225" s="561"/>
      <c r="B225" s="38" t="s">
        <v>2636</v>
      </c>
      <c r="C225" s="36" t="s">
        <v>2637</v>
      </c>
      <c r="D225" s="561"/>
      <c r="E225" s="38"/>
      <c r="F225" s="36" t="s">
        <v>2638</v>
      </c>
      <c r="G225" s="561"/>
      <c r="H225" s="38"/>
      <c r="I225" s="36"/>
    </row>
    <row r="226" spans="1:9" ht="26.25" customHeight="1" x14ac:dyDescent="0.25">
      <c r="A226" s="562"/>
      <c r="B226" s="1426" t="s">
        <v>233</v>
      </c>
      <c r="C226" s="1427"/>
      <c r="D226" s="562"/>
      <c r="E226" s="1426" t="s">
        <v>233</v>
      </c>
      <c r="F226" s="1427"/>
      <c r="G226" s="562"/>
      <c r="H226" s="1426"/>
      <c r="I226" s="1427"/>
    </row>
    <row r="227" spans="1:9" ht="20.399999999999999" x14ac:dyDescent="0.2">
      <c r="A227" s="561"/>
      <c r="B227" s="38" t="s">
        <v>2639</v>
      </c>
      <c r="C227" s="36" t="s">
        <v>2640</v>
      </c>
      <c r="D227" s="561"/>
      <c r="E227" s="38" t="s">
        <v>627</v>
      </c>
      <c r="F227" s="36" t="s">
        <v>727</v>
      </c>
      <c r="G227" s="561"/>
      <c r="H227" s="602"/>
      <c r="I227" s="565"/>
    </row>
    <row r="228" spans="1:9" ht="20.399999999999999" x14ac:dyDescent="0.2">
      <c r="A228" s="561"/>
      <c r="B228" s="38" t="s">
        <v>2641</v>
      </c>
      <c r="C228" s="36" t="s">
        <v>2642</v>
      </c>
      <c r="D228" s="561"/>
      <c r="E228" s="38" t="s">
        <v>749</v>
      </c>
      <c r="F228" s="36" t="s">
        <v>2643</v>
      </c>
      <c r="G228" s="561"/>
      <c r="H228" s="38"/>
      <c r="I228" s="566"/>
    </row>
    <row r="229" spans="1:9" ht="20.399999999999999" x14ac:dyDescent="0.25">
      <c r="A229" s="562"/>
      <c r="B229" s="38" t="s">
        <v>2644</v>
      </c>
      <c r="C229" s="36" t="s">
        <v>2645</v>
      </c>
      <c r="D229" s="562"/>
      <c r="E229" s="38" t="s">
        <v>1060</v>
      </c>
      <c r="F229" s="285" t="s">
        <v>1061</v>
      </c>
      <c r="G229" s="562"/>
      <c r="H229" s="38"/>
      <c r="I229" s="34"/>
    </row>
    <row r="230" spans="1:9" ht="24.75" customHeight="1" x14ac:dyDescent="0.2">
      <c r="A230" s="623"/>
      <c r="B230" s="1426" t="s">
        <v>2646</v>
      </c>
      <c r="C230" s="1427"/>
      <c r="D230" s="623"/>
      <c r="E230" s="1426" t="s">
        <v>750</v>
      </c>
      <c r="F230" s="1427"/>
      <c r="G230" s="623"/>
      <c r="H230" s="1426" t="s">
        <v>2647</v>
      </c>
      <c r="I230" s="1427"/>
    </row>
    <row r="231" spans="1:9" x14ac:dyDescent="0.25">
      <c r="A231" s="562"/>
      <c r="B231" s="38" t="s">
        <v>2648</v>
      </c>
      <c r="C231" s="36" t="s">
        <v>2649</v>
      </c>
      <c r="D231" s="562"/>
      <c r="E231" s="38" t="s">
        <v>651</v>
      </c>
      <c r="F231" s="36" t="s">
        <v>5</v>
      </c>
      <c r="G231" s="562"/>
      <c r="H231" s="38"/>
      <c r="I231" s="36" t="s">
        <v>2650</v>
      </c>
    </row>
    <row r="232" spans="1:9" ht="20.399999999999999" x14ac:dyDescent="0.25">
      <c r="A232" s="561"/>
      <c r="B232" s="38" t="s">
        <v>2651</v>
      </c>
      <c r="C232" s="36" t="s">
        <v>2652</v>
      </c>
      <c r="D232" s="561"/>
      <c r="E232" s="34"/>
      <c r="F232" s="36" t="s">
        <v>2650</v>
      </c>
      <c r="G232" s="561"/>
      <c r="H232" s="34"/>
      <c r="I232" s="36"/>
    </row>
    <row r="233" spans="1:9" x14ac:dyDescent="0.25">
      <c r="A233" s="562"/>
      <c r="B233" s="38" t="s">
        <v>2653</v>
      </c>
      <c r="C233" s="36" t="s">
        <v>2654</v>
      </c>
      <c r="D233" s="562"/>
      <c r="E233" s="38" t="s">
        <v>751</v>
      </c>
      <c r="F233" s="36" t="s">
        <v>1397</v>
      </c>
      <c r="G233" s="562"/>
      <c r="H233" s="38" t="s">
        <v>627</v>
      </c>
      <c r="I233" s="36" t="s">
        <v>2655</v>
      </c>
    </row>
    <row r="234" spans="1:9" x14ac:dyDescent="0.25">
      <c r="A234" s="562"/>
      <c r="B234" s="38"/>
      <c r="C234" s="36"/>
      <c r="D234" s="562"/>
      <c r="E234" s="38" t="s">
        <v>754</v>
      </c>
      <c r="F234" s="36" t="s">
        <v>752</v>
      </c>
      <c r="G234" s="562"/>
      <c r="H234" s="43"/>
      <c r="I234" s="36"/>
    </row>
    <row r="235" spans="1:9" ht="20.399999999999999" x14ac:dyDescent="0.25">
      <c r="A235" s="562"/>
      <c r="B235" s="38" t="s">
        <v>2656</v>
      </c>
      <c r="C235" s="36" t="s">
        <v>2657</v>
      </c>
      <c r="D235" s="562"/>
      <c r="E235" s="38"/>
      <c r="F235" s="36" t="s">
        <v>2957</v>
      </c>
      <c r="G235" s="562"/>
      <c r="H235" s="34"/>
      <c r="I235" s="603"/>
    </row>
    <row r="236" spans="1:9" x14ac:dyDescent="0.25">
      <c r="A236" s="562"/>
      <c r="B236" s="38" t="s">
        <v>2659</v>
      </c>
      <c r="C236" s="36" t="s">
        <v>2660</v>
      </c>
      <c r="D236" s="562"/>
      <c r="E236" s="38"/>
      <c r="F236" s="36" t="s">
        <v>2658</v>
      </c>
      <c r="G236" s="562"/>
      <c r="H236" s="38"/>
      <c r="I236" s="36"/>
    </row>
    <row r="237" spans="1:9" x14ac:dyDescent="0.25">
      <c r="A237" s="562"/>
      <c r="B237" s="38" t="s">
        <v>2661</v>
      </c>
      <c r="C237" s="36" t="s">
        <v>152</v>
      </c>
      <c r="D237" s="562"/>
      <c r="E237" s="38" t="s">
        <v>1398</v>
      </c>
      <c r="F237" s="36" t="s">
        <v>152</v>
      </c>
      <c r="G237" s="562"/>
      <c r="H237" s="38"/>
      <c r="I237" s="36"/>
    </row>
    <row r="238" spans="1:9" x14ac:dyDescent="0.25">
      <c r="A238" s="562"/>
      <c r="B238" s="38" t="s">
        <v>2662</v>
      </c>
      <c r="C238" s="36" t="s">
        <v>481</v>
      </c>
      <c r="D238" s="562"/>
      <c r="E238" s="38" t="s">
        <v>753</v>
      </c>
      <c r="F238" s="36" t="s">
        <v>481</v>
      </c>
      <c r="G238" s="562"/>
      <c r="H238" s="38"/>
      <c r="I238" s="34"/>
    </row>
    <row r="239" spans="1:9" x14ac:dyDescent="0.2">
      <c r="A239" s="561"/>
      <c r="B239" s="41" t="s">
        <v>482</v>
      </c>
      <c r="C239" s="37"/>
      <c r="D239" s="561"/>
      <c r="E239" s="41" t="s">
        <v>488</v>
      </c>
      <c r="F239" s="37"/>
      <c r="G239" s="561"/>
      <c r="H239" s="41" t="s">
        <v>488</v>
      </c>
      <c r="I239" s="37"/>
    </row>
    <row r="240" spans="1:9" ht="30.6" x14ac:dyDescent="0.2">
      <c r="A240" s="561"/>
      <c r="B240" s="38" t="s">
        <v>2663</v>
      </c>
      <c r="C240" s="36" t="s">
        <v>2664</v>
      </c>
      <c r="D240" s="561"/>
      <c r="E240" s="38" t="s">
        <v>619</v>
      </c>
      <c r="F240" s="36" t="s">
        <v>2665</v>
      </c>
      <c r="G240" s="561"/>
      <c r="H240" s="38" t="s">
        <v>619</v>
      </c>
      <c r="I240" s="36" t="s">
        <v>2666</v>
      </c>
    </row>
    <row r="241" spans="1:9" ht="20.399999999999999" x14ac:dyDescent="0.25">
      <c r="A241" s="561"/>
      <c r="B241" s="38" t="s">
        <v>2667</v>
      </c>
      <c r="C241" s="36" t="s">
        <v>2668</v>
      </c>
      <c r="D241" s="561"/>
      <c r="E241" s="34"/>
      <c r="F241" s="36" t="s">
        <v>2413</v>
      </c>
      <c r="G241" s="561"/>
      <c r="H241" s="34"/>
      <c r="I241" s="36" t="s">
        <v>2413</v>
      </c>
    </row>
    <row r="242" spans="1:9" ht="20.399999999999999" x14ac:dyDescent="0.2">
      <c r="A242" s="561"/>
      <c r="B242" s="38" t="s">
        <v>2669</v>
      </c>
      <c r="C242" s="36" t="s">
        <v>137</v>
      </c>
      <c r="D242" s="561"/>
      <c r="E242" s="38" t="s">
        <v>633</v>
      </c>
      <c r="F242" s="36" t="s">
        <v>137</v>
      </c>
      <c r="G242" s="561"/>
      <c r="H242" s="38" t="s">
        <v>633</v>
      </c>
      <c r="I242" s="36" t="s">
        <v>137</v>
      </c>
    </row>
    <row r="243" spans="1:9" ht="20.399999999999999" x14ac:dyDescent="0.2">
      <c r="A243" s="561"/>
      <c r="B243" s="38" t="s">
        <v>2619</v>
      </c>
      <c r="C243" s="36" t="s">
        <v>2670</v>
      </c>
      <c r="D243" s="561"/>
      <c r="E243" s="38" t="s">
        <v>622</v>
      </c>
      <c r="F243" s="285" t="s">
        <v>738</v>
      </c>
      <c r="G243" s="561"/>
      <c r="H243" s="38" t="s">
        <v>620</v>
      </c>
      <c r="I243" s="36" t="s">
        <v>2670</v>
      </c>
    </row>
    <row r="244" spans="1:9" ht="15" customHeight="1" x14ac:dyDescent="0.2">
      <c r="A244" s="561"/>
      <c r="B244" s="38" t="s">
        <v>2671</v>
      </c>
      <c r="C244" s="36" t="s">
        <v>2672</v>
      </c>
      <c r="D244" s="561"/>
      <c r="E244" s="38"/>
      <c r="F244" s="36" t="s">
        <v>2413</v>
      </c>
      <c r="G244" s="561"/>
      <c r="H244" s="38" t="s">
        <v>755</v>
      </c>
      <c r="I244" s="36" t="s">
        <v>2673</v>
      </c>
    </row>
    <row r="245" spans="1:9" ht="20.399999999999999" x14ac:dyDescent="0.2">
      <c r="A245" s="561"/>
      <c r="B245" s="38" t="s">
        <v>2674</v>
      </c>
      <c r="C245" s="36" t="s">
        <v>2675</v>
      </c>
      <c r="D245" s="561"/>
      <c r="E245" s="38" t="s">
        <v>620</v>
      </c>
      <c r="F245" s="36" t="s">
        <v>756</v>
      </c>
      <c r="G245" s="561"/>
      <c r="H245" s="38" t="s">
        <v>621</v>
      </c>
      <c r="I245" s="36" t="s">
        <v>3072</v>
      </c>
    </row>
    <row r="246" spans="1:9" ht="20.399999999999999" x14ac:dyDescent="0.2">
      <c r="A246" s="561"/>
      <c r="B246" s="38"/>
      <c r="C246" s="36"/>
      <c r="D246" s="561"/>
      <c r="E246" s="38" t="s">
        <v>755</v>
      </c>
      <c r="F246" s="36" t="s">
        <v>757</v>
      </c>
      <c r="G246" s="561"/>
      <c r="H246" s="38"/>
      <c r="I246" s="36"/>
    </row>
    <row r="247" spans="1:9" x14ac:dyDescent="0.2">
      <c r="A247" s="561"/>
      <c r="B247" s="38" t="s">
        <v>2676</v>
      </c>
      <c r="C247" s="36" t="s">
        <v>2677</v>
      </c>
      <c r="D247" s="561"/>
      <c r="E247" s="38"/>
      <c r="F247" s="36" t="s">
        <v>2678</v>
      </c>
      <c r="G247" s="561"/>
      <c r="H247" s="38" t="s">
        <v>634</v>
      </c>
      <c r="I247" s="36" t="s">
        <v>2679</v>
      </c>
    </row>
    <row r="248" spans="1:9" ht="20.399999999999999" x14ac:dyDescent="0.2">
      <c r="A248" s="561"/>
      <c r="B248" s="38" t="s">
        <v>2680</v>
      </c>
      <c r="C248" s="36" t="s">
        <v>2681</v>
      </c>
      <c r="D248" s="561"/>
      <c r="E248" s="38" t="s">
        <v>634</v>
      </c>
      <c r="F248" s="36" t="s">
        <v>2681</v>
      </c>
      <c r="G248" s="561"/>
      <c r="H248" s="38" t="s">
        <v>3074</v>
      </c>
      <c r="I248" s="135" t="s">
        <v>3073</v>
      </c>
    </row>
    <row r="249" spans="1:9" x14ac:dyDescent="0.2">
      <c r="A249" s="561"/>
      <c r="B249" s="38" t="s">
        <v>2682</v>
      </c>
      <c r="C249" s="36" t="s">
        <v>2683</v>
      </c>
      <c r="D249" s="561"/>
      <c r="E249" s="563"/>
      <c r="F249" s="36" t="s">
        <v>2684</v>
      </c>
      <c r="G249" s="561"/>
      <c r="H249" s="563"/>
      <c r="I249" s="36"/>
    </row>
    <row r="250" spans="1:9" x14ac:dyDescent="0.25">
      <c r="A250" s="213"/>
      <c r="B250" s="38" t="s">
        <v>2685</v>
      </c>
      <c r="C250" s="36" t="s">
        <v>505</v>
      </c>
      <c r="D250" s="561"/>
      <c r="E250" s="38" t="s">
        <v>621</v>
      </c>
      <c r="F250" s="36" t="s">
        <v>505</v>
      </c>
      <c r="G250" s="561"/>
      <c r="H250" s="38" t="s">
        <v>2686</v>
      </c>
      <c r="I250" s="36" t="s">
        <v>505</v>
      </c>
    </row>
    <row r="251" spans="1:9" x14ac:dyDescent="0.25">
      <c r="A251" s="561"/>
      <c r="B251" s="41" t="s">
        <v>2687</v>
      </c>
      <c r="C251" s="37"/>
      <c r="D251" s="561"/>
      <c r="E251" s="41" t="s">
        <v>758</v>
      </c>
      <c r="F251" s="37"/>
      <c r="G251" s="561"/>
      <c r="I251" s="34"/>
    </row>
    <row r="252" spans="1:9" ht="20.399999999999999" x14ac:dyDescent="0.25">
      <c r="A252" s="562"/>
      <c r="B252" s="38" t="s">
        <v>2688</v>
      </c>
      <c r="C252" s="36" t="s">
        <v>2689</v>
      </c>
      <c r="D252" s="562"/>
      <c r="E252" s="38"/>
      <c r="F252" s="36" t="s">
        <v>2690</v>
      </c>
      <c r="G252" s="562"/>
      <c r="H252" s="38"/>
      <c r="I252" s="34"/>
    </row>
    <row r="253" spans="1:9" ht="20.399999999999999" x14ac:dyDescent="0.25">
      <c r="A253" s="562"/>
      <c r="B253" s="38" t="s">
        <v>2691</v>
      </c>
      <c r="C253" s="36" t="s">
        <v>2692</v>
      </c>
      <c r="D253" s="562"/>
      <c r="E253" s="38"/>
      <c r="F253" s="36" t="s">
        <v>2693</v>
      </c>
      <c r="G253" s="562"/>
      <c r="H253" s="38"/>
      <c r="I253" s="36"/>
    </row>
    <row r="254" spans="1:9" ht="20.399999999999999" x14ac:dyDescent="0.25">
      <c r="A254" s="562"/>
      <c r="B254" s="38" t="s">
        <v>2694</v>
      </c>
      <c r="C254" s="36" t="s">
        <v>196</v>
      </c>
      <c r="D254" s="562"/>
      <c r="E254" s="38" t="s">
        <v>759</v>
      </c>
      <c r="F254" s="36" t="s">
        <v>196</v>
      </c>
      <c r="G254" s="562"/>
      <c r="H254" s="38"/>
      <c r="I254" s="34"/>
    </row>
    <row r="255" spans="1:9" x14ac:dyDescent="0.25">
      <c r="A255" s="562"/>
      <c r="B255" s="38"/>
      <c r="C255" s="36"/>
      <c r="D255" s="562"/>
      <c r="E255" s="38" t="s">
        <v>1170</v>
      </c>
      <c r="F255" s="36" t="s">
        <v>1171</v>
      </c>
      <c r="G255" s="562"/>
      <c r="H255" s="38"/>
      <c r="I255" s="34"/>
    </row>
    <row r="256" spans="1:9" x14ac:dyDescent="0.2">
      <c r="A256" s="561"/>
      <c r="B256" s="41" t="s">
        <v>2695</v>
      </c>
      <c r="C256" s="37"/>
      <c r="D256" s="561"/>
      <c r="E256" s="41" t="s">
        <v>2695</v>
      </c>
      <c r="F256" s="37"/>
      <c r="G256" s="561"/>
      <c r="H256" s="41" t="s">
        <v>3075</v>
      </c>
      <c r="I256" s="37"/>
    </row>
    <row r="257" spans="1:9" ht="20.399999999999999" x14ac:dyDescent="0.25">
      <c r="A257" s="562"/>
      <c r="B257" s="38" t="s">
        <v>2696</v>
      </c>
      <c r="C257" s="36" t="s">
        <v>2697</v>
      </c>
      <c r="D257" s="562"/>
      <c r="E257" s="38" t="s">
        <v>733</v>
      </c>
      <c r="F257" s="36" t="s">
        <v>2698</v>
      </c>
      <c r="G257" s="562"/>
      <c r="H257" s="38"/>
      <c r="I257" s="36" t="s">
        <v>2699</v>
      </c>
    </row>
    <row r="258" spans="1:9" ht="20.399999999999999" x14ac:dyDescent="0.25">
      <c r="A258" s="562"/>
      <c r="B258" s="38" t="s">
        <v>2700</v>
      </c>
      <c r="C258" s="36" t="s">
        <v>2581</v>
      </c>
      <c r="D258" s="562"/>
      <c r="E258" s="38" t="s">
        <v>819</v>
      </c>
      <c r="F258" s="36" t="s">
        <v>821</v>
      </c>
      <c r="G258" s="562"/>
      <c r="H258" s="38"/>
      <c r="I258" s="36" t="s">
        <v>2699</v>
      </c>
    </row>
    <row r="259" spans="1:9" ht="20.399999999999999" x14ac:dyDescent="0.25">
      <c r="A259" s="562"/>
      <c r="B259" s="38" t="s">
        <v>2701</v>
      </c>
      <c r="C259" s="36" t="s">
        <v>2702</v>
      </c>
      <c r="D259" s="562"/>
      <c r="E259" s="38" t="s">
        <v>820</v>
      </c>
      <c r="F259" s="36" t="s">
        <v>2703</v>
      </c>
      <c r="G259" s="562"/>
      <c r="H259" s="47" t="s">
        <v>759</v>
      </c>
      <c r="I259" s="49" t="s">
        <v>3076</v>
      </c>
    </row>
    <row r="260" spans="1:9" x14ac:dyDescent="0.25">
      <c r="A260" s="561"/>
      <c r="B260" s="210" t="s">
        <v>2704</v>
      </c>
      <c r="C260" s="39"/>
      <c r="D260" s="561"/>
      <c r="E260" s="210"/>
      <c r="G260" s="561"/>
      <c r="H260" s="210"/>
      <c r="I260" s="34"/>
    </row>
    <row r="261" spans="1:9" x14ac:dyDescent="0.25">
      <c r="A261" s="562"/>
      <c r="B261" s="590" t="s">
        <v>2705</v>
      </c>
      <c r="C261" s="211" t="s">
        <v>2589</v>
      </c>
      <c r="D261" s="562"/>
      <c r="E261" s="590"/>
      <c r="F261" s="211" t="s">
        <v>2956</v>
      </c>
      <c r="G261" s="562"/>
      <c r="H261" s="590"/>
      <c r="I261" s="211"/>
    </row>
    <row r="262" spans="1:9" x14ac:dyDescent="0.25">
      <c r="A262" s="562"/>
      <c r="B262" s="590" t="s">
        <v>2706</v>
      </c>
      <c r="C262" s="211" t="s">
        <v>2591</v>
      </c>
      <c r="D262" s="562"/>
      <c r="E262" s="590"/>
      <c r="F262" s="211" t="s">
        <v>2956</v>
      </c>
      <c r="G262" s="562"/>
      <c r="H262" s="590"/>
      <c r="I262" s="211"/>
    </row>
    <row r="263" spans="1:9" x14ac:dyDescent="0.25">
      <c r="A263" s="561"/>
      <c r="B263" s="210" t="s">
        <v>2707</v>
      </c>
      <c r="C263" s="39"/>
      <c r="D263" s="604"/>
      <c r="E263" s="210" t="s">
        <v>760</v>
      </c>
      <c r="G263" s="604"/>
      <c r="H263" s="590"/>
      <c r="I263" s="34"/>
    </row>
    <row r="264" spans="1:9" ht="15.6" x14ac:dyDescent="0.2">
      <c r="A264" s="605"/>
      <c r="B264" s="590" t="s">
        <v>2708</v>
      </c>
      <c r="C264" s="640" t="s">
        <v>2709</v>
      </c>
      <c r="D264" s="604"/>
      <c r="E264" s="590" t="s">
        <v>637</v>
      </c>
      <c r="F264" s="640" t="s">
        <v>2709</v>
      </c>
      <c r="G264" s="604"/>
    </row>
    <row r="265" spans="1:9" x14ac:dyDescent="0.25">
      <c r="A265" s="562"/>
      <c r="B265" s="590" t="s">
        <v>2710</v>
      </c>
      <c r="C265" s="211" t="s">
        <v>116</v>
      </c>
      <c r="D265" s="604"/>
      <c r="E265" s="590" t="s">
        <v>635</v>
      </c>
      <c r="F265" s="211" t="s">
        <v>116</v>
      </c>
      <c r="G265" s="604"/>
      <c r="H265" s="590"/>
      <c r="I265" s="211"/>
    </row>
    <row r="266" spans="1:9" x14ac:dyDescent="0.25">
      <c r="A266" s="562"/>
      <c r="B266" s="590" t="s">
        <v>2711</v>
      </c>
      <c r="C266" s="211" t="s">
        <v>2712</v>
      </c>
      <c r="D266" s="604"/>
      <c r="E266" s="590" t="s">
        <v>636</v>
      </c>
      <c r="F266" s="211" t="s">
        <v>2712</v>
      </c>
      <c r="G266" s="604"/>
      <c r="H266" s="590"/>
      <c r="I266" s="34"/>
    </row>
    <row r="267" spans="1:9" ht="33" customHeight="1" x14ac:dyDescent="0.25">
      <c r="A267" s="555"/>
      <c r="B267" s="628" t="s">
        <v>2971</v>
      </c>
      <c r="C267" s="629"/>
      <c r="D267" s="630"/>
      <c r="E267" s="1435" t="s">
        <v>2972</v>
      </c>
      <c r="F267" s="1436"/>
      <c r="G267" s="630"/>
      <c r="H267" s="1435" t="s">
        <v>2713</v>
      </c>
      <c r="I267" s="1436"/>
    </row>
    <row r="268" spans="1:9" ht="15.6" x14ac:dyDescent="0.25">
      <c r="A268" s="606"/>
      <c r="B268" s="607" t="s">
        <v>2714</v>
      </c>
      <c r="C268" s="608"/>
      <c r="D268" s="34"/>
      <c r="E268" s="609"/>
      <c r="F268" s="39" t="s">
        <v>2715</v>
      </c>
      <c r="G268" s="34"/>
      <c r="H268" s="609"/>
      <c r="I268" s="39" t="s">
        <v>2715</v>
      </c>
    </row>
    <row r="269" spans="1:9" ht="15.6" x14ac:dyDescent="0.25">
      <c r="A269" s="605"/>
      <c r="B269" s="53" t="s">
        <v>2716</v>
      </c>
      <c r="C269" s="53" t="s">
        <v>2717</v>
      </c>
      <c r="D269" s="34"/>
      <c r="F269" s="211" t="s">
        <v>629</v>
      </c>
      <c r="G269" s="34"/>
    </row>
    <row r="270" spans="1:9" ht="15.6" x14ac:dyDescent="0.25">
      <c r="A270" s="605"/>
      <c r="B270" s="53" t="s">
        <v>2718</v>
      </c>
      <c r="C270" s="53" t="s">
        <v>2719</v>
      </c>
      <c r="D270" s="34"/>
      <c r="F270" s="211" t="s">
        <v>629</v>
      </c>
      <c r="G270" s="34"/>
    </row>
    <row r="271" spans="1:9" ht="15.6" x14ac:dyDescent="0.25">
      <c r="A271" s="605"/>
      <c r="B271" s="53" t="s">
        <v>2720</v>
      </c>
      <c r="C271" s="53" t="s">
        <v>2597</v>
      </c>
      <c r="D271" s="34"/>
      <c r="F271" s="211" t="s">
        <v>628</v>
      </c>
      <c r="G271" s="34"/>
    </row>
    <row r="272" spans="1:9" ht="15.6" x14ac:dyDescent="0.25">
      <c r="A272" s="605"/>
      <c r="B272" s="53" t="s">
        <v>2721</v>
      </c>
      <c r="C272" s="53" t="s">
        <v>2599</v>
      </c>
      <c r="D272" s="34"/>
      <c r="F272" s="211" t="s">
        <v>628</v>
      </c>
      <c r="G272" s="34"/>
    </row>
    <row r="273" spans="1:9" ht="20.399999999999999" x14ac:dyDescent="0.25">
      <c r="A273" s="596"/>
      <c r="B273" s="53" t="s">
        <v>2722</v>
      </c>
      <c r="C273" s="135" t="s">
        <v>2723</v>
      </c>
      <c r="D273" s="34"/>
      <c r="F273" s="211" t="s">
        <v>732</v>
      </c>
      <c r="G273" s="34"/>
    </row>
    <row r="274" spans="1:9" ht="15.6" x14ac:dyDescent="0.25">
      <c r="A274" s="605"/>
      <c r="B274" s="54" t="s">
        <v>2724</v>
      </c>
      <c r="C274" s="53"/>
      <c r="D274" s="34"/>
      <c r="E274" s="609" t="s">
        <v>761</v>
      </c>
      <c r="F274" s="291"/>
      <c r="G274" s="34"/>
      <c r="H274" s="609" t="s">
        <v>761</v>
      </c>
      <c r="I274" s="291"/>
    </row>
    <row r="275" spans="1:9" ht="20.399999999999999" x14ac:dyDescent="0.25">
      <c r="A275" s="605"/>
      <c r="B275" s="53" t="s">
        <v>2725</v>
      </c>
      <c r="C275" s="53" t="s">
        <v>2726</v>
      </c>
      <c r="D275" s="34"/>
      <c r="E275" s="214" t="s">
        <v>763</v>
      </c>
      <c r="F275" s="128" t="s">
        <v>1997</v>
      </c>
      <c r="G275" s="34"/>
      <c r="H275" s="214" t="s">
        <v>762</v>
      </c>
      <c r="I275" s="141" t="s">
        <v>2726</v>
      </c>
    </row>
    <row r="276" spans="1:9" ht="20.399999999999999" x14ac:dyDescent="0.25">
      <c r="A276" s="605"/>
      <c r="B276" s="53" t="s">
        <v>2727</v>
      </c>
      <c r="C276" s="53" t="s">
        <v>2728</v>
      </c>
      <c r="D276" s="34"/>
      <c r="E276" s="214" t="s">
        <v>762</v>
      </c>
      <c r="F276" s="641" t="s">
        <v>1260</v>
      </c>
      <c r="G276" s="34"/>
      <c r="H276" s="214" t="s">
        <v>763</v>
      </c>
      <c r="I276" s="141" t="s">
        <v>2728</v>
      </c>
    </row>
    <row r="277" spans="1:9" ht="15.6" x14ac:dyDescent="0.25">
      <c r="A277" s="605"/>
      <c r="B277" s="53" t="s">
        <v>2729</v>
      </c>
      <c r="C277" s="53" t="s">
        <v>398</v>
      </c>
      <c r="D277" s="34"/>
      <c r="E277" s="595" t="s">
        <v>639</v>
      </c>
      <c r="F277" s="53" t="s">
        <v>398</v>
      </c>
      <c r="G277" s="34"/>
      <c r="H277" s="214"/>
      <c r="I277" s="141"/>
    </row>
    <row r="278" spans="1:9" s="626" customFormat="1" ht="20.399999999999999" x14ac:dyDescent="0.25">
      <c r="A278" s="624"/>
      <c r="B278" s="575" t="s">
        <v>2730</v>
      </c>
      <c r="C278" s="575" t="s">
        <v>2958</v>
      </c>
      <c r="D278" s="625"/>
      <c r="E278" s="575" t="s">
        <v>638</v>
      </c>
      <c r="F278" s="575" t="s">
        <v>764</v>
      </c>
      <c r="G278" s="625"/>
      <c r="H278" s="575" t="s">
        <v>638</v>
      </c>
      <c r="I278" s="575" t="s">
        <v>764</v>
      </c>
    </row>
    <row r="279" spans="1:9" ht="20.399999999999999" x14ac:dyDescent="0.25">
      <c r="A279" s="34"/>
      <c r="B279" s="595" t="s">
        <v>2731</v>
      </c>
      <c r="C279" s="575" t="s">
        <v>2732</v>
      </c>
      <c r="D279" s="34"/>
      <c r="E279" s="610"/>
      <c r="F279" s="635" t="s">
        <v>2413</v>
      </c>
      <c r="G279" s="34"/>
      <c r="H279" s="610"/>
      <c r="I279" s="141" t="s">
        <v>2413</v>
      </c>
    </row>
    <row r="280" spans="1:9" ht="20.399999999999999" x14ac:dyDescent="0.25">
      <c r="A280" s="34"/>
      <c r="B280" s="595"/>
      <c r="C280" s="575"/>
      <c r="D280" s="34"/>
      <c r="E280" s="610"/>
      <c r="F280" s="635"/>
      <c r="G280" s="34"/>
      <c r="H280" s="659" t="s">
        <v>639</v>
      </c>
      <c r="I280" s="641" t="s">
        <v>3077</v>
      </c>
    </row>
    <row r="281" spans="1:9" ht="15.6" x14ac:dyDescent="0.25">
      <c r="A281" s="605"/>
      <c r="B281" s="54" t="s">
        <v>2733</v>
      </c>
      <c r="C281" s="53"/>
      <c r="D281" s="34"/>
      <c r="E281" s="609" t="s">
        <v>2734</v>
      </c>
      <c r="F281" s="291"/>
      <c r="G281" s="34"/>
      <c r="H281" s="609" t="s">
        <v>2734</v>
      </c>
      <c r="I281" s="291"/>
    </row>
    <row r="282" spans="1:9" ht="15.6" x14ac:dyDescent="0.25">
      <c r="A282" s="605"/>
      <c r="B282" s="53" t="s">
        <v>2735</v>
      </c>
      <c r="C282" s="53" t="s">
        <v>2736</v>
      </c>
      <c r="D282" s="34"/>
      <c r="E282" s="595" t="s">
        <v>640</v>
      </c>
      <c r="F282" s="289" t="s">
        <v>1617</v>
      </c>
      <c r="G282" s="34"/>
      <c r="H282" s="595" t="s">
        <v>640</v>
      </c>
      <c r="I282" s="39" t="s">
        <v>3078</v>
      </c>
    </row>
    <row r="283" spans="1:9" ht="15.6" x14ac:dyDescent="0.25">
      <c r="A283" s="605"/>
      <c r="B283" s="53" t="s">
        <v>2737</v>
      </c>
      <c r="C283" s="53" t="s">
        <v>2738</v>
      </c>
      <c r="D283" s="34"/>
      <c r="E283" s="595" t="s">
        <v>641</v>
      </c>
      <c r="F283" s="289" t="s">
        <v>1618</v>
      </c>
      <c r="G283" s="34"/>
      <c r="H283" s="595" t="s">
        <v>641</v>
      </c>
      <c r="I283" s="39" t="s">
        <v>2738</v>
      </c>
    </row>
    <row r="284" spans="1:9" ht="15.6" x14ac:dyDescent="0.25">
      <c r="A284" s="605"/>
      <c r="B284" s="53" t="s">
        <v>2739</v>
      </c>
      <c r="C284" s="53" t="s">
        <v>2740</v>
      </c>
      <c r="D284" s="34"/>
      <c r="F284" s="53"/>
      <c r="G284" s="34"/>
    </row>
    <row r="285" spans="1:9" ht="15.6" x14ac:dyDescent="0.25">
      <c r="A285" s="605"/>
      <c r="B285" s="54" t="s">
        <v>2741</v>
      </c>
      <c r="C285" s="53"/>
      <c r="D285" s="34"/>
      <c r="E285" s="54" t="s">
        <v>765</v>
      </c>
      <c r="F285" s="53"/>
      <c r="G285" s="34"/>
      <c r="H285" s="54" t="s">
        <v>765</v>
      </c>
      <c r="I285" s="53"/>
    </row>
    <row r="286" spans="1:9" ht="15.6" x14ac:dyDescent="0.25">
      <c r="A286" s="605"/>
      <c r="B286" s="53" t="s">
        <v>2742</v>
      </c>
      <c r="C286" s="53" t="s">
        <v>200</v>
      </c>
      <c r="D286" s="34"/>
      <c r="E286" s="53" t="s">
        <v>642</v>
      </c>
      <c r="F286" s="53" t="s">
        <v>200</v>
      </c>
      <c r="G286" s="34"/>
      <c r="H286" s="53"/>
      <c r="I286" s="53"/>
    </row>
    <row r="287" spans="1:9" ht="15.6" x14ac:dyDescent="0.25">
      <c r="A287" s="605"/>
      <c r="B287" s="53" t="s">
        <v>2743</v>
      </c>
      <c r="C287" s="53" t="s">
        <v>2744</v>
      </c>
      <c r="D287" s="34"/>
      <c r="E287" s="53" t="s">
        <v>643</v>
      </c>
      <c r="F287" s="53" t="s">
        <v>2745</v>
      </c>
      <c r="G287" s="34"/>
      <c r="H287" s="53" t="s">
        <v>643</v>
      </c>
      <c r="I287" s="53" t="s">
        <v>2745</v>
      </c>
    </row>
    <row r="288" spans="1:9" x14ac:dyDescent="0.25">
      <c r="A288" s="34"/>
      <c r="B288" s="609" t="s">
        <v>2746</v>
      </c>
      <c r="C288" s="291"/>
      <c r="D288" s="34"/>
      <c r="E288" s="609" t="s">
        <v>482</v>
      </c>
      <c r="F288" s="291"/>
      <c r="G288" s="34"/>
      <c r="H288" s="609" t="s">
        <v>482</v>
      </c>
      <c r="I288" s="291"/>
    </row>
    <row r="289" spans="1:9" x14ac:dyDescent="0.25">
      <c r="A289" s="34"/>
      <c r="B289" s="595" t="s">
        <v>2747</v>
      </c>
      <c r="C289" s="39" t="s">
        <v>2748</v>
      </c>
      <c r="D289" s="34"/>
      <c r="G289" s="34"/>
    </row>
    <row r="290" spans="1:9" x14ac:dyDescent="0.25">
      <c r="A290" s="34"/>
      <c r="B290" s="595" t="s">
        <v>2749</v>
      </c>
      <c r="C290" s="39" t="s">
        <v>201</v>
      </c>
      <c r="D290" s="34"/>
      <c r="E290" s="595" t="s">
        <v>698</v>
      </c>
      <c r="F290" s="39" t="s">
        <v>201</v>
      </c>
      <c r="G290" s="34"/>
      <c r="H290" s="595" t="s">
        <v>698</v>
      </c>
      <c r="I290" s="39" t="s">
        <v>3079</v>
      </c>
    </row>
    <row r="291" spans="1:9" x14ac:dyDescent="0.25">
      <c r="A291" s="34"/>
      <c r="B291" s="595"/>
      <c r="C291" s="39"/>
      <c r="D291" s="34"/>
      <c r="E291" s="595" t="s">
        <v>700</v>
      </c>
      <c r="F291" s="39" t="s">
        <v>766</v>
      </c>
      <c r="G291" s="34"/>
    </row>
    <row r="292" spans="1:9" ht="21.75" customHeight="1" x14ac:dyDescent="0.25">
      <c r="A292" s="34"/>
      <c r="B292" s="595"/>
      <c r="C292" s="39"/>
      <c r="D292" s="34"/>
      <c r="E292" s="214" t="s">
        <v>702</v>
      </c>
      <c r="F292" s="215" t="s">
        <v>767</v>
      </c>
      <c r="G292" s="34"/>
    </row>
    <row r="293" spans="1:9" ht="21" x14ac:dyDescent="0.25">
      <c r="A293" s="34"/>
      <c r="B293" s="214" t="s">
        <v>2750</v>
      </c>
      <c r="C293" s="611" t="s">
        <v>2751</v>
      </c>
      <c r="D293" s="34"/>
      <c r="F293" s="141" t="s">
        <v>2752</v>
      </c>
      <c r="G293" s="34"/>
    </row>
    <row r="294" spans="1:9" ht="25.5" customHeight="1" x14ac:dyDescent="0.25">
      <c r="A294" s="605"/>
      <c r="B294" s="644" t="s">
        <v>2753</v>
      </c>
      <c r="C294" s="640"/>
      <c r="D294" s="240"/>
      <c r="E294" s="1431" t="s">
        <v>768</v>
      </c>
      <c r="F294" s="1431"/>
      <c r="G294" s="34"/>
      <c r="H294" s="609"/>
      <c r="I294" s="291"/>
    </row>
    <row r="295" spans="1:9" ht="15.6" x14ac:dyDescent="0.25">
      <c r="A295" s="605"/>
      <c r="B295" s="53" t="s">
        <v>2754</v>
      </c>
      <c r="C295" s="53" t="s">
        <v>612</v>
      </c>
      <c r="D295" s="34"/>
      <c r="E295" s="216" t="s">
        <v>769</v>
      </c>
      <c r="F295" s="53" t="s">
        <v>612</v>
      </c>
      <c r="G295" s="34"/>
    </row>
    <row r="296" spans="1:9" ht="20.399999999999999" x14ac:dyDescent="0.25">
      <c r="A296" s="605"/>
      <c r="B296" s="640" t="s">
        <v>2755</v>
      </c>
      <c r="C296" s="642" t="s">
        <v>202</v>
      </c>
      <c r="D296" s="34"/>
      <c r="E296" s="643" t="s">
        <v>770</v>
      </c>
      <c r="F296" s="642" t="s">
        <v>202</v>
      </c>
      <c r="G296" s="34"/>
    </row>
    <row r="297" spans="1:9" ht="15.6" x14ac:dyDescent="0.25">
      <c r="A297" s="605"/>
      <c r="B297" s="53" t="s">
        <v>2756</v>
      </c>
      <c r="C297" s="53" t="s">
        <v>289</v>
      </c>
      <c r="D297" s="34"/>
      <c r="E297" s="216" t="s">
        <v>771</v>
      </c>
      <c r="F297" s="53" t="s">
        <v>289</v>
      </c>
      <c r="G297" s="34"/>
    </row>
    <row r="298" spans="1:9" ht="15.6" x14ac:dyDescent="0.25">
      <c r="A298" s="605"/>
      <c r="B298" s="54" t="s">
        <v>2757</v>
      </c>
      <c r="C298" s="53"/>
      <c r="D298" s="34"/>
      <c r="E298" s="609"/>
      <c r="F298" s="291"/>
      <c r="G298" s="34"/>
      <c r="H298" s="609"/>
      <c r="I298" s="291"/>
    </row>
    <row r="299" spans="1:9" ht="15.6" x14ac:dyDescent="0.25">
      <c r="A299" s="612"/>
      <c r="B299" s="613" t="s">
        <v>2758</v>
      </c>
      <c r="C299" s="613" t="s">
        <v>2759</v>
      </c>
      <c r="D299" s="34"/>
      <c r="G299" s="34"/>
    </row>
    <row r="300" spans="1:9" x14ac:dyDescent="0.25">
      <c r="A300" s="34"/>
      <c r="B300" s="609" t="s">
        <v>2760</v>
      </c>
      <c r="C300" s="291"/>
      <c r="D300" s="34"/>
      <c r="E300" s="609"/>
      <c r="F300" s="291"/>
      <c r="G300" s="34"/>
      <c r="H300" s="609"/>
      <c r="I300" s="291"/>
    </row>
    <row r="301" spans="1:9" x14ac:dyDescent="0.25">
      <c r="A301" s="34"/>
      <c r="B301" s="595" t="s">
        <v>2761</v>
      </c>
      <c r="C301" s="39" t="s">
        <v>2762</v>
      </c>
      <c r="D301" s="34"/>
      <c r="G301" s="34"/>
      <c r="I301" s="34"/>
    </row>
    <row r="302" spans="1:9" x14ac:dyDescent="0.25">
      <c r="A302" s="34"/>
      <c r="B302" s="595" t="s">
        <v>3046</v>
      </c>
      <c r="C302" s="39" t="s">
        <v>3048</v>
      </c>
      <c r="D302" s="34"/>
      <c r="G302" s="34"/>
      <c r="I302" s="34"/>
    </row>
    <row r="303" spans="1:9" x14ac:dyDescent="0.25">
      <c r="A303" s="34"/>
      <c r="B303" s="595" t="s">
        <v>3047</v>
      </c>
      <c r="C303" s="39" t="s">
        <v>3049</v>
      </c>
      <c r="D303" s="34"/>
      <c r="G303" s="34"/>
      <c r="I303" s="34"/>
    </row>
    <row r="304" spans="1:9" x14ac:dyDescent="0.25">
      <c r="A304" s="34"/>
      <c r="B304" s="595"/>
      <c r="C304" s="39"/>
      <c r="D304" s="34"/>
      <c r="E304" s="1431" t="s">
        <v>1606</v>
      </c>
      <c r="F304" s="1431"/>
      <c r="G304" s="34"/>
      <c r="I304" s="34"/>
    </row>
    <row r="305" spans="1:9" ht="24.75" customHeight="1" x14ac:dyDescent="0.25">
      <c r="A305" s="34"/>
      <c r="B305" s="595"/>
      <c r="C305" s="39"/>
      <c r="D305" s="34"/>
      <c r="E305" s="327" t="s">
        <v>1607</v>
      </c>
      <c r="F305" s="135" t="s">
        <v>1600</v>
      </c>
      <c r="G305" s="34"/>
      <c r="I305" s="34"/>
    </row>
    <row r="306" spans="1:9" ht="20.399999999999999" x14ac:dyDescent="0.25">
      <c r="A306" s="34"/>
      <c r="B306" s="595"/>
      <c r="C306" s="39"/>
      <c r="D306" s="34"/>
      <c r="E306" s="327" t="s">
        <v>1608</v>
      </c>
      <c r="F306" s="128" t="s">
        <v>1921</v>
      </c>
      <c r="G306" s="34"/>
      <c r="I306" s="34"/>
    </row>
    <row r="307" spans="1:9" x14ac:dyDescent="0.25">
      <c r="A307" s="34"/>
      <c r="B307" s="595"/>
      <c r="C307" s="39"/>
      <c r="D307" s="34"/>
      <c r="E307" s="1431" t="s">
        <v>1609</v>
      </c>
      <c r="F307" s="1431"/>
      <c r="G307" s="34"/>
      <c r="I307" s="34"/>
    </row>
    <row r="308" spans="1:9" ht="24.75" customHeight="1" x14ac:dyDescent="0.25">
      <c r="A308" s="34"/>
      <c r="B308" s="595"/>
      <c r="C308" s="39"/>
      <c r="D308" s="34"/>
      <c r="E308" s="327" t="s">
        <v>1610</v>
      </c>
      <c r="F308" s="135" t="s">
        <v>2310</v>
      </c>
      <c r="G308" s="34"/>
      <c r="I308" s="34"/>
    </row>
    <row r="309" spans="1:9" x14ac:dyDescent="0.25">
      <c r="A309" s="34"/>
      <c r="B309" s="595"/>
      <c r="C309" s="39"/>
      <c r="D309" s="34"/>
      <c r="E309" s="327" t="s">
        <v>1611</v>
      </c>
      <c r="F309" s="128" t="s">
        <v>1599</v>
      </c>
      <c r="G309" s="34"/>
      <c r="I309" s="34"/>
    </row>
    <row r="310" spans="1:9" ht="28.5" customHeight="1" x14ac:dyDescent="0.25">
      <c r="A310" s="555">
        <v>10</v>
      </c>
      <c r="B310" s="1419" t="s">
        <v>2973</v>
      </c>
      <c r="C310" s="1420"/>
      <c r="D310" s="558"/>
      <c r="E310" s="1419" t="s">
        <v>2974</v>
      </c>
      <c r="F310" s="1420"/>
      <c r="G310"/>
      <c r="H310"/>
      <c r="I310"/>
    </row>
    <row r="311" spans="1:9" ht="24" customHeight="1" x14ac:dyDescent="0.2">
      <c r="A311" s="39"/>
      <c r="B311" s="1432" t="s">
        <v>290</v>
      </c>
      <c r="C311" s="1432"/>
      <c r="E311" s="39"/>
      <c r="F311" s="39" t="s">
        <v>2763</v>
      </c>
      <c r="H311" s="39"/>
    </row>
    <row r="312" spans="1:9" ht="20.399999999999999" x14ac:dyDescent="0.2">
      <c r="A312" s="39"/>
      <c r="B312" s="45" t="s">
        <v>2764</v>
      </c>
      <c r="C312" s="40" t="s">
        <v>2765</v>
      </c>
      <c r="E312" s="39"/>
      <c r="H312" s="39"/>
    </row>
    <row r="313" spans="1:9" x14ac:dyDescent="0.2">
      <c r="A313" s="39"/>
      <c r="B313" s="44" t="s">
        <v>2766</v>
      </c>
      <c r="C313" s="45" t="s">
        <v>291</v>
      </c>
      <c r="E313" s="39"/>
      <c r="H313" s="39"/>
    </row>
    <row r="314" spans="1:9" x14ac:dyDescent="0.2">
      <c r="A314" s="39"/>
      <c r="B314" s="44" t="s">
        <v>2767</v>
      </c>
      <c r="C314" s="46" t="s">
        <v>2768</v>
      </c>
      <c r="E314" s="39"/>
      <c r="H314" s="39"/>
    </row>
    <row r="315" spans="1:9" x14ac:dyDescent="0.2">
      <c r="A315" s="39"/>
      <c r="B315" s="44" t="s">
        <v>2769</v>
      </c>
      <c r="C315" s="36" t="s">
        <v>2770</v>
      </c>
      <c r="E315" s="39"/>
      <c r="F315" s="39" t="s">
        <v>2959</v>
      </c>
      <c r="H315" s="39"/>
    </row>
    <row r="316" spans="1:9" ht="15.6" x14ac:dyDescent="0.3">
      <c r="A316" s="39"/>
      <c r="B316" s="44" t="s">
        <v>2771</v>
      </c>
      <c r="C316" s="36" t="s">
        <v>2772</v>
      </c>
      <c r="E316" s="39"/>
      <c r="F316" s="614"/>
      <c r="H316" s="39"/>
    </row>
    <row r="317" spans="1:9" ht="24" customHeight="1" x14ac:dyDescent="0.2">
      <c r="A317" s="39"/>
      <c r="B317" s="1438" t="s">
        <v>369</v>
      </c>
      <c r="C317" s="1438"/>
      <c r="E317" s="39"/>
      <c r="H317" s="39"/>
    </row>
    <row r="318" spans="1:9" ht="20.399999999999999" x14ac:dyDescent="0.2">
      <c r="A318" s="39"/>
      <c r="B318" s="44" t="s">
        <v>2773</v>
      </c>
      <c r="C318" s="36" t="s">
        <v>2774</v>
      </c>
      <c r="E318" s="39"/>
      <c r="H318" s="39"/>
    </row>
    <row r="319" spans="1:9" x14ac:dyDescent="0.2">
      <c r="A319" s="39"/>
      <c r="B319" s="44" t="s">
        <v>2775</v>
      </c>
      <c r="C319" s="36" t="s">
        <v>2776</v>
      </c>
      <c r="E319" s="39"/>
      <c r="H319" s="39"/>
    </row>
    <row r="320" spans="1:9" x14ac:dyDescent="0.2">
      <c r="A320" s="39"/>
      <c r="E320" s="41" t="s">
        <v>2777</v>
      </c>
      <c r="F320" s="37"/>
      <c r="G320" s="562"/>
      <c r="H320" s="41"/>
      <c r="I320" s="37"/>
    </row>
    <row r="321" spans="1:9" ht="20.399999999999999" x14ac:dyDescent="0.2">
      <c r="A321" s="39"/>
      <c r="E321" s="45" t="s">
        <v>772</v>
      </c>
      <c r="F321" s="40" t="s">
        <v>773</v>
      </c>
      <c r="G321" s="45"/>
      <c r="H321" s="45"/>
      <c r="I321" s="45"/>
    </row>
    <row r="322" spans="1:9" ht="20.399999999999999" x14ac:dyDescent="0.2">
      <c r="A322" s="39"/>
      <c r="E322" s="45" t="s">
        <v>774</v>
      </c>
      <c r="F322" s="40" t="s">
        <v>775</v>
      </c>
      <c r="G322" s="562"/>
      <c r="H322" s="44"/>
      <c r="I322" s="45"/>
    </row>
    <row r="323" spans="1:9" x14ac:dyDescent="0.25">
      <c r="A323" s="562"/>
      <c r="B323" s="34"/>
      <c r="C323" s="34"/>
      <c r="D323" s="562"/>
      <c r="E323" s="45" t="s">
        <v>776</v>
      </c>
      <c r="F323" s="46" t="s">
        <v>777</v>
      </c>
      <c r="G323" s="562"/>
      <c r="H323" s="44"/>
      <c r="I323" s="46"/>
    </row>
    <row r="324" spans="1:9" x14ac:dyDescent="0.25">
      <c r="A324" s="562"/>
      <c r="B324" s="34"/>
      <c r="C324" s="34"/>
      <c r="D324" s="562"/>
      <c r="E324" s="41" t="s">
        <v>369</v>
      </c>
      <c r="F324" s="37"/>
      <c r="G324" s="562"/>
      <c r="H324" s="41"/>
      <c r="I324" s="37"/>
    </row>
    <row r="325" spans="1:9" x14ac:dyDescent="0.25">
      <c r="A325" s="562"/>
      <c r="B325" s="44" t="s">
        <v>3050</v>
      </c>
      <c r="C325" s="40" t="s">
        <v>779</v>
      </c>
      <c r="D325" s="562"/>
      <c r="E325" s="44" t="s">
        <v>778</v>
      </c>
      <c r="F325" s="45" t="s">
        <v>779</v>
      </c>
      <c r="G325" s="562"/>
      <c r="H325" s="44"/>
      <c r="I325" s="45"/>
    </row>
    <row r="326" spans="1:9" x14ac:dyDescent="0.25">
      <c r="A326" s="562"/>
      <c r="B326" s="34"/>
      <c r="C326" s="34"/>
      <c r="D326" s="562"/>
      <c r="E326" s="44" t="s">
        <v>780</v>
      </c>
      <c r="F326" s="46" t="s">
        <v>781</v>
      </c>
      <c r="G326" s="562"/>
      <c r="H326" s="44"/>
      <c r="I326" s="46"/>
    </row>
    <row r="327" spans="1:9" x14ac:dyDescent="0.25">
      <c r="A327" s="562"/>
      <c r="B327" s="34"/>
      <c r="C327" s="34"/>
      <c r="D327" s="562"/>
      <c r="E327" s="44" t="s">
        <v>782</v>
      </c>
      <c r="F327" s="46" t="s">
        <v>784</v>
      </c>
      <c r="G327" s="562"/>
      <c r="H327" s="44"/>
      <c r="I327" s="46"/>
    </row>
    <row r="328" spans="1:9" x14ac:dyDescent="0.25">
      <c r="A328" s="562"/>
      <c r="B328" s="44" t="s">
        <v>2778</v>
      </c>
      <c r="C328" s="45" t="s">
        <v>2779</v>
      </c>
      <c r="D328" s="562"/>
      <c r="E328" s="44" t="s">
        <v>783</v>
      </c>
      <c r="F328" s="36" t="s">
        <v>787</v>
      </c>
      <c r="G328" s="562"/>
      <c r="H328" s="44"/>
      <c r="I328" s="34"/>
    </row>
    <row r="329" spans="1:9" x14ac:dyDescent="0.25">
      <c r="A329" s="561"/>
      <c r="B329" s="34"/>
      <c r="C329" s="34"/>
      <c r="D329" s="561"/>
      <c r="E329" s="44" t="s">
        <v>785</v>
      </c>
      <c r="F329" s="40" t="s">
        <v>789</v>
      </c>
      <c r="G329" s="561"/>
      <c r="H329" s="44"/>
      <c r="I329" s="564"/>
    </row>
    <row r="330" spans="1:9" x14ac:dyDescent="0.2">
      <c r="A330" s="594"/>
      <c r="D330" s="594"/>
      <c r="E330" s="44" t="s">
        <v>786</v>
      </c>
      <c r="F330" s="40" t="s">
        <v>1883</v>
      </c>
      <c r="G330" s="594"/>
      <c r="H330" s="44"/>
      <c r="I330" s="36"/>
    </row>
    <row r="331" spans="1:9" x14ac:dyDescent="0.2">
      <c r="A331" s="598"/>
      <c r="B331" s="44" t="s">
        <v>2780</v>
      </c>
      <c r="C331" s="46" t="s">
        <v>2781</v>
      </c>
      <c r="D331" s="598"/>
      <c r="E331" s="44" t="s">
        <v>788</v>
      </c>
      <c r="F331" s="40" t="s">
        <v>792</v>
      </c>
      <c r="G331" s="598"/>
      <c r="H331" s="615"/>
      <c r="I331" s="40"/>
    </row>
    <row r="332" spans="1:9" x14ac:dyDescent="0.2">
      <c r="A332" s="598"/>
      <c r="B332" s="44" t="s">
        <v>2782</v>
      </c>
      <c r="C332" s="46" t="s">
        <v>370</v>
      </c>
      <c r="D332" s="598"/>
      <c r="E332" s="44" t="s">
        <v>790</v>
      </c>
      <c r="F332" s="46" t="s">
        <v>370</v>
      </c>
      <c r="G332" s="598"/>
      <c r="H332" s="615"/>
      <c r="I332" s="40"/>
    </row>
    <row r="333" spans="1:9" ht="11.25" customHeight="1" x14ac:dyDescent="0.2">
      <c r="A333" s="598"/>
      <c r="B333" s="44" t="s">
        <v>2783</v>
      </c>
      <c r="C333" s="36" t="s">
        <v>371</v>
      </c>
      <c r="D333" s="598"/>
      <c r="E333" s="44" t="s">
        <v>791</v>
      </c>
      <c r="F333" s="36" t="s">
        <v>371</v>
      </c>
      <c r="G333" s="598"/>
      <c r="H333" s="615"/>
      <c r="I333" s="40"/>
    </row>
    <row r="334" spans="1:9" s="626" customFormat="1" ht="31.5" customHeight="1" x14ac:dyDescent="0.25">
      <c r="A334" s="645">
        <v>11</v>
      </c>
      <c r="B334" s="1422" t="s">
        <v>2976</v>
      </c>
      <c r="C334" s="1422"/>
      <c r="D334" s="645"/>
      <c r="E334" s="1422" t="s">
        <v>2975</v>
      </c>
      <c r="F334" s="1422"/>
      <c r="G334" s="645"/>
      <c r="H334" s="1422" t="s">
        <v>2784</v>
      </c>
      <c r="I334" s="1422"/>
    </row>
    <row r="335" spans="1:9" s="626" customFormat="1" ht="24" customHeight="1" x14ac:dyDescent="0.25">
      <c r="A335" s="276"/>
      <c r="B335" s="1429" t="s">
        <v>2785</v>
      </c>
      <c r="C335" s="1430"/>
      <c r="D335" s="276"/>
      <c r="E335" s="1429"/>
      <c r="F335" s="1430"/>
      <c r="G335" s="276"/>
      <c r="H335" s="1429"/>
      <c r="I335" s="1430"/>
    </row>
    <row r="336" spans="1:9" s="626" customFormat="1" ht="20.399999999999999" x14ac:dyDescent="0.25">
      <c r="A336" s="276"/>
      <c r="B336" s="135" t="s">
        <v>2786</v>
      </c>
      <c r="C336" s="135" t="s">
        <v>2787</v>
      </c>
      <c r="D336" s="276"/>
      <c r="E336" s="135"/>
      <c r="F336" s="135" t="s">
        <v>2788</v>
      </c>
      <c r="G336" s="276"/>
      <c r="H336" s="135"/>
      <c r="I336" s="135"/>
    </row>
    <row r="337" spans="1:9" x14ac:dyDescent="0.2">
      <c r="A337" s="37"/>
      <c r="B337" s="136" t="s">
        <v>2789</v>
      </c>
      <c r="C337" s="135" t="s">
        <v>2790</v>
      </c>
      <c r="D337" s="37"/>
      <c r="E337" s="136"/>
      <c r="F337" s="135"/>
      <c r="G337" s="37"/>
      <c r="H337" s="136"/>
      <c r="I337" s="135"/>
    </row>
    <row r="338" spans="1:9" ht="15" customHeight="1" x14ac:dyDescent="0.2">
      <c r="A338" s="37"/>
      <c r="B338" s="136" t="s">
        <v>2791</v>
      </c>
      <c r="C338" s="135" t="s">
        <v>2792</v>
      </c>
      <c r="D338" s="37"/>
      <c r="E338" s="136"/>
      <c r="F338" s="135"/>
      <c r="G338" s="37"/>
      <c r="H338" s="136"/>
      <c r="I338" s="135"/>
    </row>
    <row r="339" spans="1:9" ht="20.399999999999999" x14ac:dyDescent="0.25">
      <c r="A339" s="37"/>
      <c r="B339" s="136" t="s">
        <v>2793</v>
      </c>
      <c r="C339" s="135" t="s">
        <v>2794</v>
      </c>
      <c r="D339" s="37"/>
      <c r="E339" s="136"/>
      <c r="F339" s="135"/>
      <c r="G339" s="37"/>
      <c r="H339" s="136"/>
      <c r="I339" s="34"/>
    </row>
    <row r="340" spans="1:9" ht="20.399999999999999" x14ac:dyDescent="0.25">
      <c r="A340" s="37"/>
      <c r="B340" s="136" t="s">
        <v>3051</v>
      </c>
      <c r="C340" s="135" t="s">
        <v>3052</v>
      </c>
      <c r="D340" s="37"/>
      <c r="E340" s="136"/>
      <c r="F340" s="135"/>
      <c r="G340" s="37"/>
      <c r="H340" s="136"/>
      <c r="I340" s="34"/>
    </row>
    <row r="341" spans="1:9" x14ac:dyDescent="0.2">
      <c r="A341" s="37"/>
      <c r="B341" s="35" t="s">
        <v>2795</v>
      </c>
      <c r="C341" s="48"/>
      <c r="D341" s="37"/>
      <c r="E341" s="35" t="s">
        <v>793</v>
      </c>
      <c r="F341" s="48"/>
      <c r="G341" s="37"/>
      <c r="H341" s="35" t="s">
        <v>793</v>
      </c>
      <c r="I341" s="48"/>
    </row>
    <row r="342" spans="1:9" ht="12.75" customHeight="1" x14ac:dyDescent="0.2">
      <c r="A342" s="37"/>
      <c r="B342" s="38" t="s">
        <v>2796</v>
      </c>
      <c r="C342" s="36" t="s">
        <v>383</v>
      </c>
      <c r="D342" s="37"/>
      <c r="E342" s="38" t="s">
        <v>644</v>
      </c>
      <c r="F342" s="36" t="s">
        <v>2797</v>
      </c>
      <c r="G342" s="37"/>
      <c r="H342" s="38" t="s">
        <v>644</v>
      </c>
      <c r="I342" s="36" t="s">
        <v>383</v>
      </c>
    </row>
    <row r="343" spans="1:9" ht="12.75" customHeight="1" x14ac:dyDescent="0.25">
      <c r="A343" s="562"/>
      <c r="B343" s="38" t="s">
        <v>2798</v>
      </c>
      <c r="C343" s="36" t="s">
        <v>385</v>
      </c>
      <c r="D343" s="562"/>
      <c r="E343" s="38" t="s">
        <v>645</v>
      </c>
      <c r="F343" s="36" t="s">
        <v>385</v>
      </c>
      <c r="G343" s="562"/>
      <c r="H343" s="38" t="s">
        <v>645</v>
      </c>
      <c r="I343" s="36" t="s">
        <v>385</v>
      </c>
    </row>
    <row r="344" spans="1:9" ht="12.75" customHeight="1" x14ac:dyDescent="0.25">
      <c r="A344" s="562"/>
      <c r="B344" s="38" t="s">
        <v>2799</v>
      </c>
      <c r="C344" s="36" t="s">
        <v>2800</v>
      </c>
      <c r="D344" s="562"/>
      <c r="E344" s="38"/>
      <c r="F344" s="36" t="s">
        <v>2977</v>
      </c>
      <c r="G344" s="562"/>
      <c r="H344" s="38"/>
      <c r="I344" s="36"/>
    </row>
    <row r="345" spans="1:9" x14ac:dyDescent="0.2">
      <c r="A345" s="37"/>
      <c r="B345" s="246" t="s">
        <v>2801</v>
      </c>
      <c r="C345" s="294"/>
      <c r="D345" s="37"/>
      <c r="E345" s="246" t="s">
        <v>794</v>
      </c>
      <c r="F345" s="294"/>
      <c r="G345" s="37"/>
      <c r="H345" s="246" t="s">
        <v>794</v>
      </c>
      <c r="I345" s="294"/>
    </row>
    <row r="346" spans="1:9" ht="30.6" x14ac:dyDescent="0.2">
      <c r="A346" s="37"/>
      <c r="B346" s="38" t="s">
        <v>2802</v>
      </c>
      <c r="C346" s="36" t="s">
        <v>2803</v>
      </c>
      <c r="D346" s="37"/>
      <c r="E346" s="38" t="s">
        <v>646</v>
      </c>
      <c r="F346" s="36" t="s">
        <v>2803</v>
      </c>
      <c r="G346" s="37"/>
      <c r="H346" s="38" t="s">
        <v>646</v>
      </c>
      <c r="I346" s="36" t="s">
        <v>2803</v>
      </c>
    </row>
    <row r="347" spans="1:9" ht="30.6" x14ac:dyDescent="0.2">
      <c r="A347" s="37"/>
      <c r="B347" s="646" t="s">
        <v>2804</v>
      </c>
      <c r="C347" s="217" t="s">
        <v>2805</v>
      </c>
      <c r="D347" s="37"/>
      <c r="E347" s="38"/>
      <c r="F347" s="36" t="s">
        <v>2413</v>
      </c>
      <c r="G347" s="37"/>
      <c r="H347" s="38"/>
      <c r="I347" s="36" t="s">
        <v>2413</v>
      </c>
    </row>
    <row r="348" spans="1:9" ht="20.399999999999999" x14ac:dyDescent="0.2">
      <c r="A348" s="37"/>
      <c r="B348" s="38" t="s">
        <v>2806</v>
      </c>
      <c r="C348" s="36" t="s">
        <v>2807</v>
      </c>
      <c r="D348" s="37"/>
      <c r="E348" s="38"/>
      <c r="F348" s="36" t="s">
        <v>2808</v>
      </c>
      <c r="G348" s="37"/>
      <c r="H348" s="38"/>
      <c r="I348" s="36" t="s">
        <v>2809</v>
      </c>
    </row>
    <row r="349" spans="1:9" ht="30.6" x14ac:dyDescent="0.2">
      <c r="A349" s="37"/>
      <c r="B349" s="38" t="s">
        <v>2810</v>
      </c>
      <c r="C349" s="36" t="s">
        <v>384</v>
      </c>
      <c r="D349" s="37"/>
      <c r="E349" s="38" t="s">
        <v>647</v>
      </c>
      <c r="F349" s="36" t="s">
        <v>384</v>
      </c>
      <c r="G349" s="37"/>
      <c r="H349" s="38" t="s">
        <v>647</v>
      </c>
      <c r="I349" s="36" t="s">
        <v>384</v>
      </c>
    </row>
    <row r="350" spans="1:9" ht="20.399999999999999" x14ac:dyDescent="0.2">
      <c r="A350" s="37"/>
      <c r="B350" s="38" t="s">
        <v>2811</v>
      </c>
      <c r="C350" s="217" t="s">
        <v>2812</v>
      </c>
      <c r="D350" s="37"/>
      <c r="E350" s="38" t="s">
        <v>648</v>
      </c>
      <c r="F350" s="217" t="s">
        <v>2812</v>
      </c>
      <c r="G350" s="37"/>
      <c r="H350" s="38" t="s">
        <v>648</v>
      </c>
      <c r="I350" s="217" t="s">
        <v>2812</v>
      </c>
    </row>
    <row r="351" spans="1:9" x14ac:dyDescent="0.25">
      <c r="A351" s="37"/>
      <c r="B351" s="38" t="s">
        <v>2813</v>
      </c>
      <c r="C351" s="217" t="s">
        <v>283</v>
      </c>
      <c r="D351" s="37"/>
      <c r="E351" s="38" t="s">
        <v>795</v>
      </c>
      <c r="F351" s="217" t="s">
        <v>283</v>
      </c>
      <c r="G351" s="37"/>
      <c r="H351" s="38"/>
      <c r="I351" s="34"/>
    </row>
    <row r="352" spans="1:9" x14ac:dyDescent="0.2">
      <c r="A352" s="37"/>
      <c r="B352" s="246" t="s">
        <v>2814</v>
      </c>
      <c r="C352" s="294"/>
      <c r="D352" s="37"/>
      <c r="E352" s="246" t="s">
        <v>2814</v>
      </c>
      <c r="F352" s="294"/>
      <c r="G352" s="37"/>
      <c r="H352" s="246" t="s">
        <v>2814</v>
      </c>
      <c r="I352" s="294"/>
    </row>
    <row r="353" spans="1:9" ht="20.399999999999999" x14ac:dyDescent="0.2">
      <c r="A353" s="37"/>
      <c r="B353" s="38" t="s">
        <v>2815</v>
      </c>
      <c r="C353" s="36" t="s">
        <v>2816</v>
      </c>
      <c r="D353" s="37"/>
      <c r="E353" s="38"/>
      <c r="F353" s="36" t="s">
        <v>2817</v>
      </c>
      <c r="G353" s="37"/>
      <c r="H353" s="38"/>
      <c r="I353" s="36" t="s">
        <v>2809</v>
      </c>
    </row>
    <row r="354" spans="1:9" ht="20.399999999999999" x14ac:dyDescent="0.2">
      <c r="A354" s="37"/>
      <c r="B354" s="38" t="s">
        <v>2818</v>
      </c>
      <c r="C354" s="36" t="s">
        <v>2819</v>
      </c>
      <c r="D354" s="37"/>
      <c r="E354" s="38"/>
      <c r="F354" s="36" t="s">
        <v>2817</v>
      </c>
      <c r="G354" s="37"/>
      <c r="H354" s="38"/>
      <c r="I354" s="36" t="s">
        <v>2809</v>
      </c>
    </row>
    <row r="355" spans="1:9" x14ac:dyDescent="0.2">
      <c r="A355" s="37"/>
      <c r="B355" s="38" t="s">
        <v>2820</v>
      </c>
      <c r="C355" s="36" t="s">
        <v>2821</v>
      </c>
      <c r="D355" s="37"/>
      <c r="E355" s="38"/>
      <c r="F355" s="36" t="s">
        <v>2822</v>
      </c>
      <c r="G355" s="37"/>
      <c r="H355" s="38"/>
      <c r="I355" s="36"/>
    </row>
    <row r="356" spans="1:9" ht="20.399999999999999" x14ac:dyDescent="0.2">
      <c r="A356" s="37"/>
      <c r="B356" s="38" t="s">
        <v>2823</v>
      </c>
      <c r="C356" s="36" t="s">
        <v>2824</v>
      </c>
      <c r="D356" s="37"/>
      <c r="E356" s="38"/>
      <c r="F356" s="36" t="s">
        <v>2822</v>
      </c>
      <c r="G356" s="37"/>
      <c r="H356" s="38"/>
      <c r="I356" s="36"/>
    </row>
    <row r="357" spans="1:9" ht="20.399999999999999" x14ac:dyDescent="0.2">
      <c r="A357" s="37"/>
      <c r="B357" s="38" t="s">
        <v>2825</v>
      </c>
      <c r="C357" s="36" t="s">
        <v>2826</v>
      </c>
      <c r="D357" s="37"/>
      <c r="E357" s="38" t="s">
        <v>649</v>
      </c>
      <c r="F357" s="36" t="s">
        <v>2827</v>
      </c>
      <c r="G357" s="37"/>
      <c r="H357" s="38" t="s">
        <v>649</v>
      </c>
      <c r="I357" s="36" t="s">
        <v>2827</v>
      </c>
    </row>
    <row r="358" spans="1:9" ht="20.399999999999999" x14ac:dyDescent="0.2">
      <c r="A358" s="37"/>
      <c r="B358" s="38" t="s">
        <v>2828</v>
      </c>
      <c r="C358" s="36" t="s">
        <v>3054</v>
      </c>
      <c r="D358" s="37"/>
      <c r="E358" s="563"/>
      <c r="F358" s="36" t="s">
        <v>2829</v>
      </c>
      <c r="G358" s="37"/>
      <c r="H358" s="563"/>
      <c r="I358" s="36" t="s">
        <v>2830</v>
      </c>
    </row>
    <row r="359" spans="1:9" ht="12.75" customHeight="1" x14ac:dyDescent="0.2">
      <c r="A359" s="37"/>
      <c r="B359" s="38" t="s">
        <v>2831</v>
      </c>
      <c r="C359" s="36" t="s">
        <v>3055</v>
      </c>
      <c r="D359" s="37"/>
      <c r="E359" s="563"/>
      <c r="F359" s="36"/>
      <c r="G359" s="37"/>
      <c r="H359" s="563"/>
      <c r="I359" s="36"/>
    </row>
    <row r="360" spans="1:9" ht="20.399999999999999" x14ac:dyDescent="0.2">
      <c r="A360" s="37"/>
      <c r="B360" s="38" t="s">
        <v>3053</v>
      </c>
      <c r="C360" s="36" t="s">
        <v>2832</v>
      </c>
      <c r="D360" s="37"/>
      <c r="E360" s="581"/>
      <c r="F360" s="36" t="s">
        <v>2833</v>
      </c>
      <c r="G360" s="37"/>
      <c r="H360" s="581"/>
      <c r="I360" s="564"/>
    </row>
    <row r="361" spans="1:9" ht="20.399999999999999" x14ac:dyDescent="0.2">
      <c r="A361" s="37"/>
      <c r="B361" s="38"/>
      <c r="C361" s="36"/>
      <c r="D361" s="37"/>
      <c r="E361" s="47" t="s">
        <v>2152</v>
      </c>
      <c r="F361" s="128" t="s">
        <v>2153</v>
      </c>
      <c r="G361" s="37"/>
      <c r="H361" s="581"/>
      <c r="I361" s="647"/>
    </row>
    <row r="362" spans="1:9" x14ac:dyDescent="0.25">
      <c r="A362" s="37"/>
      <c r="B362" s="246" t="s">
        <v>2834</v>
      </c>
      <c r="C362" s="294"/>
      <c r="D362" s="37"/>
      <c r="E362" s="246"/>
      <c r="F362" s="294"/>
      <c r="G362" s="37"/>
      <c r="H362" s="246"/>
      <c r="I362" s="34"/>
    </row>
    <row r="363" spans="1:9" ht="20.399999999999999" x14ac:dyDescent="0.2">
      <c r="A363" s="37"/>
      <c r="B363" s="38" t="s">
        <v>2835</v>
      </c>
      <c r="C363" s="135" t="s">
        <v>2836</v>
      </c>
      <c r="D363" s="37"/>
      <c r="E363" s="38"/>
      <c r="F363" s="36" t="s">
        <v>2579</v>
      </c>
      <c r="G363" s="37"/>
      <c r="H363" s="38"/>
      <c r="I363" s="135"/>
    </row>
    <row r="364" spans="1:9" ht="20.399999999999999" x14ac:dyDescent="0.2">
      <c r="A364" s="37"/>
      <c r="B364" s="38" t="s">
        <v>2837</v>
      </c>
      <c r="C364" s="135" t="s">
        <v>2838</v>
      </c>
      <c r="D364" s="37"/>
      <c r="E364" s="38"/>
      <c r="F364" s="36" t="s">
        <v>2582</v>
      </c>
      <c r="G364" s="37"/>
      <c r="H364" s="38"/>
      <c r="I364" s="135"/>
    </row>
    <row r="365" spans="1:9" ht="20.399999999999999" x14ac:dyDescent="0.2">
      <c r="A365" s="37"/>
      <c r="B365" s="38" t="s">
        <v>2839</v>
      </c>
      <c r="C365" s="135" t="s">
        <v>2840</v>
      </c>
      <c r="D365" s="37"/>
      <c r="E365" s="38"/>
      <c r="F365" s="36" t="s">
        <v>2608</v>
      </c>
      <c r="G365" s="37"/>
      <c r="H365" s="38"/>
      <c r="I365" s="565"/>
    </row>
    <row r="366" spans="1:9" x14ac:dyDescent="0.2">
      <c r="A366" s="39"/>
      <c r="B366" s="43"/>
      <c r="C366" s="135"/>
      <c r="E366" s="41" t="s">
        <v>2180</v>
      </c>
      <c r="F366" s="40"/>
      <c r="H366" s="43"/>
      <c r="I366" s="648"/>
    </row>
    <row r="367" spans="1:9" x14ac:dyDescent="0.2">
      <c r="A367" s="39"/>
      <c r="B367" s="43"/>
      <c r="C367" s="135"/>
      <c r="E367" s="47" t="s">
        <v>2156</v>
      </c>
      <c r="F367" s="128" t="s">
        <v>2157</v>
      </c>
      <c r="H367" s="43"/>
      <c r="I367" s="648"/>
    </row>
    <row r="368" spans="1:9" ht="20.399999999999999" x14ac:dyDescent="0.2">
      <c r="A368" s="39"/>
      <c r="B368" s="43"/>
      <c r="C368" s="135"/>
      <c r="E368" s="47" t="s">
        <v>2165</v>
      </c>
      <c r="F368" s="128" t="s">
        <v>2166</v>
      </c>
      <c r="H368" s="43"/>
      <c r="I368" s="648"/>
    </row>
    <row r="369" spans="1:11" ht="30" x14ac:dyDescent="0.25">
      <c r="A369" s="616">
        <v>12</v>
      </c>
      <c r="B369" s="616" t="s">
        <v>2978</v>
      </c>
      <c r="C369" s="558"/>
      <c r="D369"/>
      <c r="E369"/>
      <c r="F369" s="649" t="s">
        <v>2843</v>
      </c>
      <c r="G369"/>
      <c r="H369"/>
      <c r="I369" s="649" t="s">
        <v>2843</v>
      </c>
      <c r="K369" t="s">
        <v>2951</v>
      </c>
    </row>
    <row r="370" spans="1:11" x14ac:dyDescent="0.2">
      <c r="A370" s="561"/>
      <c r="B370" s="41" t="s">
        <v>463</v>
      </c>
      <c r="C370" s="37"/>
      <c r="D370" s="561"/>
      <c r="E370" s="41"/>
      <c r="F370" s="37"/>
      <c r="G370" s="561"/>
      <c r="H370" s="41"/>
      <c r="I370" s="37"/>
    </row>
    <row r="371" spans="1:11" ht="25.5" customHeight="1" x14ac:dyDescent="0.25">
      <c r="A371" s="562"/>
      <c r="B371" s="36" t="s">
        <v>2841</v>
      </c>
      <c r="C371" s="36" t="s">
        <v>2557</v>
      </c>
      <c r="D371" s="562"/>
      <c r="E371" s="36"/>
      <c r="F371" s="36"/>
      <c r="G371" s="562"/>
      <c r="H371" s="36"/>
      <c r="I371" s="36"/>
    </row>
    <row r="372" spans="1:11" ht="20.399999999999999" x14ac:dyDescent="0.2">
      <c r="A372" s="561"/>
      <c r="B372" s="36" t="s">
        <v>2842</v>
      </c>
      <c r="C372" s="36" t="s">
        <v>2625</v>
      </c>
      <c r="D372" s="561"/>
      <c r="E372" s="36"/>
      <c r="F372" s="617"/>
      <c r="G372" s="561"/>
      <c r="H372" s="36"/>
    </row>
    <row r="373" spans="1:11" ht="15.75" customHeight="1" x14ac:dyDescent="0.2">
      <c r="A373" s="561"/>
      <c r="B373" s="36" t="s">
        <v>2844</v>
      </c>
      <c r="C373" s="36" t="s">
        <v>345</v>
      </c>
      <c r="D373" s="561"/>
      <c r="E373" s="36"/>
      <c r="F373" s="36"/>
      <c r="G373" s="561"/>
      <c r="H373" s="36"/>
      <c r="I373" s="36"/>
    </row>
    <row r="374" spans="1:11" ht="15.75" customHeight="1" x14ac:dyDescent="0.2">
      <c r="A374" s="561"/>
      <c r="B374" s="36" t="s">
        <v>2845</v>
      </c>
      <c r="C374" s="36" t="s">
        <v>2562</v>
      </c>
      <c r="D374" s="561"/>
      <c r="E374" s="36"/>
      <c r="F374" s="36"/>
      <c r="G374" s="561"/>
      <c r="H374" s="36"/>
      <c r="I374" s="36"/>
    </row>
    <row r="375" spans="1:11" ht="20.399999999999999" x14ac:dyDescent="0.2">
      <c r="A375" s="561"/>
      <c r="B375" s="36" t="s">
        <v>2846</v>
      </c>
      <c r="C375" s="36" t="s">
        <v>2847</v>
      </c>
      <c r="D375" s="561"/>
      <c r="E375" s="36"/>
      <c r="F375" s="36"/>
      <c r="G375" s="561"/>
      <c r="H375" s="36"/>
      <c r="I375" s="36"/>
    </row>
    <row r="376" spans="1:11" ht="20.399999999999999" x14ac:dyDescent="0.2">
      <c r="A376" s="561"/>
      <c r="B376" s="36" t="s">
        <v>3056</v>
      </c>
      <c r="C376" s="36" t="s">
        <v>3057</v>
      </c>
      <c r="D376" s="561"/>
      <c r="E376" s="36"/>
      <c r="F376" s="36"/>
      <c r="G376" s="561"/>
      <c r="H376" s="36"/>
      <c r="I376" s="36"/>
    </row>
    <row r="377" spans="1:11" x14ac:dyDescent="0.2">
      <c r="A377" s="562"/>
      <c r="B377" s="41" t="s">
        <v>233</v>
      </c>
      <c r="C377" s="37"/>
      <c r="D377" s="562"/>
      <c r="E377" s="41"/>
      <c r="F377" s="37"/>
      <c r="G377" s="562"/>
      <c r="H377" s="41"/>
      <c r="I377" s="37"/>
    </row>
    <row r="378" spans="1:11" ht="20.399999999999999" x14ac:dyDescent="0.2">
      <c r="A378" s="561"/>
      <c r="B378" s="38" t="s">
        <v>2848</v>
      </c>
      <c r="C378" s="36" t="s">
        <v>2849</v>
      </c>
      <c r="D378" s="561"/>
      <c r="E378" s="38"/>
      <c r="F378" s="36"/>
      <c r="G378" s="561"/>
      <c r="H378" s="38"/>
      <c r="I378" s="36"/>
    </row>
    <row r="379" spans="1:11" ht="20.399999999999999" x14ac:dyDescent="0.2">
      <c r="A379" s="561"/>
      <c r="B379" s="38" t="s">
        <v>2850</v>
      </c>
      <c r="C379" s="135" t="s">
        <v>2645</v>
      </c>
      <c r="D379" s="561"/>
      <c r="E379" s="38"/>
      <c r="F379" s="135"/>
      <c r="G379" s="561"/>
      <c r="H379" s="38"/>
      <c r="I379" s="135"/>
    </row>
    <row r="380" spans="1:11" x14ac:dyDescent="0.2">
      <c r="A380" s="561"/>
      <c r="B380" s="41" t="s">
        <v>488</v>
      </c>
      <c r="C380" s="37"/>
      <c r="D380" s="561"/>
      <c r="E380" s="41"/>
      <c r="F380" s="37"/>
      <c r="G380" s="561"/>
      <c r="H380" s="41"/>
      <c r="I380" s="37"/>
    </row>
    <row r="381" spans="1:11" x14ac:dyDescent="0.2">
      <c r="A381" s="561"/>
      <c r="B381" s="38" t="s">
        <v>2851</v>
      </c>
      <c r="C381" s="36" t="s">
        <v>2852</v>
      </c>
      <c r="D381" s="561"/>
      <c r="E381" s="38"/>
      <c r="F381" s="36"/>
      <c r="G381" s="561"/>
      <c r="H381" s="38"/>
      <c r="I381" s="36"/>
    </row>
    <row r="382" spans="1:11" ht="20.399999999999999" x14ac:dyDescent="0.2">
      <c r="A382" s="561"/>
      <c r="B382" s="38" t="s">
        <v>2853</v>
      </c>
      <c r="C382" s="36" t="s">
        <v>2854</v>
      </c>
      <c r="D382" s="561"/>
      <c r="E382" s="38"/>
      <c r="F382" s="36"/>
      <c r="G382" s="561"/>
      <c r="H382" s="38"/>
      <c r="I382" s="36"/>
    </row>
    <row r="383" spans="1:11" ht="20.399999999999999" x14ac:dyDescent="0.2">
      <c r="A383" s="561"/>
      <c r="B383" s="618" t="s">
        <v>2855</v>
      </c>
      <c r="C383" s="650" t="s">
        <v>2856</v>
      </c>
      <c r="D383" s="561"/>
      <c r="E383" s="618"/>
      <c r="F383" s="619"/>
      <c r="G383" s="561"/>
      <c r="H383" s="618"/>
      <c r="I383" s="619"/>
    </row>
    <row r="384" spans="1:11" x14ac:dyDescent="0.2">
      <c r="A384" s="561"/>
      <c r="B384" s="618" t="s">
        <v>2857</v>
      </c>
      <c r="C384" s="36" t="s">
        <v>2675</v>
      </c>
      <c r="D384" s="561"/>
      <c r="E384" s="618"/>
      <c r="F384" s="36"/>
      <c r="G384" s="561"/>
      <c r="H384" s="618"/>
      <c r="I384" s="36"/>
    </row>
    <row r="385" spans="1:9" ht="20.399999999999999" x14ac:dyDescent="0.2">
      <c r="A385" s="561"/>
      <c r="B385" s="618" t="s">
        <v>2858</v>
      </c>
      <c r="C385" s="36" t="s">
        <v>2681</v>
      </c>
      <c r="D385" s="561"/>
      <c r="E385" s="618"/>
      <c r="F385" s="36"/>
      <c r="G385" s="561"/>
      <c r="H385" s="618"/>
      <c r="I385" s="36"/>
    </row>
    <row r="386" spans="1:9" x14ac:dyDescent="0.2">
      <c r="A386" s="561"/>
      <c r="B386" s="41" t="s">
        <v>3058</v>
      </c>
      <c r="C386" s="37"/>
      <c r="D386" s="561"/>
      <c r="E386" s="41"/>
      <c r="F386" s="37"/>
      <c r="G386" s="561"/>
      <c r="H386" s="41"/>
      <c r="I386" s="37"/>
    </row>
    <row r="387" spans="1:9" x14ac:dyDescent="0.25">
      <c r="A387" s="562"/>
      <c r="B387" s="618" t="s">
        <v>2859</v>
      </c>
      <c r="C387" s="36" t="s">
        <v>3059</v>
      </c>
      <c r="D387" s="562"/>
      <c r="E387" s="38"/>
      <c r="F387" s="36"/>
      <c r="G387" s="562"/>
      <c r="H387" s="38"/>
      <c r="I387" s="36"/>
    </row>
    <row r="388" spans="1:9" x14ac:dyDescent="0.25">
      <c r="A388" s="562"/>
      <c r="B388" s="618" t="s">
        <v>3060</v>
      </c>
      <c r="C388" s="36" t="s">
        <v>3061</v>
      </c>
      <c r="D388" s="562"/>
      <c r="E388" s="38"/>
      <c r="F388" s="36"/>
      <c r="G388" s="562"/>
      <c r="H388" s="38"/>
      <c r="I388" s="36"/>
    </row>
    <row r="389" spans="1:9" x14ac:dyDescent="0.25">
      <c r="A389" s="562"/>
      <c r="B389" s="618" t="s">
        <v>3062</v>
      </c>
      <c r="C389" s="36" t="s">
        <v>3063</v>
      </c>
      <c r="D389" s="562"/>
      <c r="E389" s="38"/>
      <c r="F389" s="36"/>
      <c r="G389" s="562"/>
      <c r="H389" s="38"/>
      <c r="I389" s="36"/>
    </row>
    <row r="390" spans="1:9" x14ac:dyDescent="0.2">
      <c r="A390" s="561"/>
      <c r="B390" s="41" t="s">
        <v>2860</v>
      </c>
      <c r="C390" s="37"/>
      <c r="D390" s="561"/>
      <c r="E390" s="41"/>
      <c r="F390" s="37"/>
      <c r="G390" s="561"/>
      <c r="H390" s="41"/>
      <c r="I390" s="37"/>
    </row>
    <row r="391" spans="1:9" ht="20.399999999999999" x14ac:dyDescent="0.25">
      <c r="A391" s="562"/>
      <c r="B391" s="38" t="s">
        <v>2861</v>
      </c>
      <c r="C391" s="36" t="s">
        <v>2697</v>
      </c>
      <c r="D391" s="562"/>
      <c r="E391" s="38"/>
      <c r="F391" s="36"/>
      <c r="G391" s="562"/>
      <c r="H391" s="38"/>
      <c r="I391" s="36"/>
    </row>
    <row r="392" spans="1:9" ht="20.399999999999999" x14ac:dyDescent="0.25">
      <c r="A392" s="562"/>
      <c r="B392" s="38" t="s">
        <v>2862</v>
      </c>
      <c r="C392" s="135" t="s">
        <v>2838</v>
      </c>
      <c r="D392" s="562"/>
      <c r="E392" s="38"/>
      <c r="F392" s="34"/>
      <c r="G392" s="562"/>
      <c r="H392" s="38"/>
      <c r="I392" s="34"/>
    </row>
    <row r="393" spans="1:9" x14ac:dyDescent="0.25">
      <c r="A393" s="562"/>
      <c r="B393" s="38" t="s">
        <v>2863</v>
      </c>
      <c r="C393" s="36" t="s">
        <v>2702</v>
      </c>
      <c r="D393" s="562"/>
      <c r="E393" s="38"/>
      <c r="F393" s="36"/>
      <c r="G393" s="562"/>
      <c r="H393" s="38"/>
      <c r="I393" s="36"/>
    </row>
    <row r="394" spans="1:9" ht="15.6" x14ac:dyDescent="0.25">
      <c r="A394" s="555">
        <v>13</v>
      </c>
      <c r="B394" s="556" t="s">
        <v>2981</v>
      </c>
      <c r="C394" s="557"/>
      <c r="D394" s="555">
        <v>13</v>
      </c>
      <c r="E394" s="556" t="s">
        <v>2980</v>
      </c>
      <c r="F394" s="557"/>
      <c r="G394" s="555">
        <v>13</v>
      </c>
      <c r="H394" s="556"/>
      <c r="I394" s="557"/>
    </row>
    <row r="395" spans="1:9" ht="15.6" x14ac:dyDescent="0.25">
      <c r="A395" s="652"/>
      <c r="B395" s="655" t="s">
        <v>3037</v>
      </c>
      <c r="C395" s="654"/>
      <c r="D395" s="653"/>
      <c r="E395" s="653"/>
      <c r="F395" s="654" t="s">
        <v>3044</v>
      </c>
      <c r="G395" s="651"/>
      <c r="H395" s="652"/>
      <c r="I395" s="653"/>
    </row>
    <row r="396" spans="1:9" ht="15.6" x14ac:dyDescent="0.25">
      <c r="A396" s="651"/>
      <c r="B396" s="654" t="s">
        <v>2982</v>
      </c>
      <c r="C396" s="208" t="s">
        <v>2983</v>
      </c>
      <c r="D396" s="653"/>
      <c r="E396" s="653"/>
      <c r="F396" s="653"/>
      <c r="G396" s="651"/>
      <c r="H396" s="652"/>
      <c r="I396" s="653"/>
    </row>
    <row r="397" spans="1:9" ht="15.6" x14ac:dyDescent="0.25">
      <c r="A397" s="651"/>
      <c r="B397" s="654" t="s">
        <v>2984</v>
      </c>
      <c r="C397" s="208" t="s">
        <v>2985</v>
      </c>
      <c r="D397" s="653"/>
      <c r="E397" s="653"/>
      <c r="F397" s="653"/>
      <c r="G397" s="651"/>
      <c r="H397" s="652"/>
      <c r="I397" s="653"/>
    </row>
    <row r="398" spans="1:9" ht="15.6" x14ac:dyDescent="0.25">
      <c r="A398" s="651"/>
      <c r="B398" s="654" t="s">
        <v>2986</v>
      </c>
      <c r="C398" s="208" t="s">
        <v>2987</v>
      </c>
      <c r="D398" s="653"/>
      <c r="E398" s="653"/>
      <c r="F398" s="653"/>
      <c r="G398" s="651"/>
      <c r="H398" s="652"/>
      <c r="I398" s="653"/>
    </row>
    <row r="399" spans="1:9" ht="15.6" x14ac:dyDescent="0.25">
      <c r="A399" s="651"/>
      <c r="B399" s="654" t="s">
        <v>2988</v>
      </c>
      <c r="C399" s="208" t="s">
        <v>2989</v>
      </c>
      <c r="D399" s="653"/>
      <c r="E399" s="653"/>
      <c r="F399" s="653"/>
      <c r="G399" s="651"/>
      <c r="H399" s="652"/>
      <c r="I399" s="653"/>
    </row>
    <row r="400" spans="1:9" ht="15.6" x14ac:dyDescent="0.25">
      <c r="A400" s="651"/>
      <c r="B400" s="655" t="s">
        <v>3038</v>
      </c>
      <c r="C400" s="208"/>
      <c r="D400" s="653"/>
      <c r="E400" s="653"/>
      <c r="F400" s="653"/>
      <c r="G400" s="651"/>
      <c r="H400" s="652"/>
      <c r="I400" s="653"/>
    </row>
    <row r="401" spans="1:9" ht="20.399999999999999" x14ac:dyDescent="0.25">
      <c r="A401" s="651"/>
      <c r="B401" s="277" t="s">
        <v>2990</v>
      </c>
      <c r="C401" s="208" t="s">
        <v>2991</v>
      </c>
      <c r="D401" s="653"/>
      <c r="E401" s="653"/>
      <c r="F401" s="653"/>
      <c r="G401" s="651"/>
      <c r="H401" s="652"/>
      <c r="I401" s="653"/>
    </row>
    <row r="402" spans="1:9" ht="20.399999999999999" x14ac:dyDescent="0.25">
      <c r="A402" s="651"/>
      <c r="B402" s="277" t="s">
        <v>2992</v>
      </c>
      <c r="C402" s="208" t="s">
        <v>2993</v>
      </c>
      <c r="D402" s="653"/>
      <c r="E402" s="653"/>
      <c r="F402" s="653"/>
      <c r="G402" s="651"/>
      <c r="H402" s="652"/>
      <c r="I402" s="653"/>
    </row>
    <row r="403" spans="1:9" ht="20.399999999999999" x14ac:dyDescent="0.25">
      <c r="A403" s="651"/>
      <c r="B403" s="277" t="s">
        <v>2994</v>
      </c>
      <c r="C403" s="208" t="s">
        <v>2995</v>
      </c>
      <c r="D403" s="653"/>
      <c r="E403" s="653"/>
      <c r="F403" s="653"/>
      <c r="G403" s="651"/>
      <c r="H403" s="652"/>
      <c r="I403" s="653"/>
    </row>
    <row r="404" spans="1:9" ht="20.399999999999999" x14ac:dyDescent="0.25">
      <c r="A404" s="651"/>
      <c r="B404" s="277" t="s">
        <v>2996</v>
      </c>
      <c r="C404" s="208" t="s">
        <v>2081</v>
      </c>
      <c r="D404" s="653"/>
      <c r="E404" s="653"/>
      <c r="F404" s="653"/>
      <c r="G404" s="651"/>
      <c r="H404" s="652"/>
      <c r="I404" s="653"/>
    </row>
    <row r="405" spans="1:9" ht="27" customHeight="1" x14ac:dyDescent="0.25">
      <c r="A405" s="651"/>
      <c r="B405" s="1434" t="s">
        <v>3039</v>
      </c>
      <c r="C405" s="1434"/>
      <c r="D405" s="653"/>
      <c r="E405" s="653"/>
      <c r="F405" s="653"/>
      <c r="G405" s="651"/>
      <c r="H405" s="652"/>
      <c r="I405" s="653"/>
    </row>
    <row r="406" spans="1:9" ht="15.6" x14ac:dyDescent="0.25">
      <c r="A406" s="651"/>
      <c r="B406" s="277" t="s">
        <v>2997</v>
      </c>
      <c r="C406" s="208" t="s">
        <v>2998</v>
      </c>
      <c r="D406" s="653"/>
      <c r="E406" s="653"/>
      <c r="F406" s="653"/>
      <c r="G406" s="651"/>
      <c r="H406" s="652"/>
      <c r="I406" s="653"/>
    </row>
    <row r="407" spans="1:9" ht="20.399999999999999" x14ac:dyDescent="0.25">
      <c r="A407" s="651"/>
      <c r="B407" s="277" t="s">
        <v>2999</v>
      </c>
      <c r="C407" s="208" t="s">
        <v>3000</v>
      </c>
      <c r="D407" s="653"/>
      <c r="E407" s="653"/>
      <c r="F407" s="653"/>
      <c r="G407" s="651"/>
      <c r="H407" s="652"/>
      <c r="I407" s="653"/>
    </row>
    <row r="408" spans="1:9" ht="30.6" x14ac:dyDescent="0.25">
      <c r="A408" s="651"/>
      <c r="B408" s="277" t="s">
        <v>3001</v>
      </c>
      <c r="C408" s="208" t="s">
        <v>3002</v>
      </c>
      <c r="D408" s="653"/>
      <c r="E408" s="653"/>
      <c r="F408" s="653"/>
      <c r="G408" s="651"/>
      <c r="H408" s="652"/>
      <c r="I408" s="653"/>
    </row>
    <row r="409" spans="1:9" ht="20.399999999999999" x14ac:dyDescent="0.25">
      <c r="A409" s="651"/>
      <c r="B409" s="277" t="s">
        <v>3003</v>
      </c>
      <c r="C409" s="208" t="s">
        <v>3004</v>
      </c>
      <c r="D409" s="653"/>
      <c r="E409" s="653"/>
      <c r="F409" s="653"/>
      <c r="G409" s="651"/>
      <c r="H409" s="652"/>
      <c r="I409" s="653"/>
    </row>
    <row r="410" spans="1:9" ht="20.399999999999999" x14ac:dyDescent="0.25">
      <c r="A410" s="651"/>
      <c r="B410" s="277" t="s">
        <v>3005</v>
      </c>
      <c r="C410" s="208" t="s">
        <v>3006</v>
      </c>
      <c r="D410" s="653"/>
      <c r="E410" s="653"/>
      <c r="F410" s="653"/>
      <c r="G410" s="651"/>
      <c r="H410" s="652"/>
      <c r="I410" s="653"/>
    </row>
    <row r="411" spans="1:9" ht="15.6" x14ac:dyDescent="0.25">
      <c r="A411" s="651"/>
      <c r="B411" s="655" t="s">
        <v>3040</v>
      </c>
      <c r="C411" s="208"/>
      <c r="D411" s="653"/>
      <c r="E411" s="653"/>
      <c r="F411" s="653"/>
      <c r="G411" s="651"/>
      <c r="H411" s="652"/>
      <c r="I411" s="653"/>
    </row>
    <row r="412" spans="1:9" ht="20.399999999999999" x14ac:dyDescent="0.25">
      <c r="A412" s="651"/>
      <c r="B412" s="277" t="s">
        <v>3007</v>
      </c>
      <c r="C412" s="208" t="s">
        <v>3008</v>
      </c>
      <c r="D412" s="653"/>
      <c r="E412" s="653"/>
      <c r="F412" s="653"/>
      <c r="G412" s="651"/>
      <c r="H412" s="652"/>
      <c r="I412" s="653"/>
    </row>
    <row r="413" spans="1:9" ht="20.399999999999999" x14ac:dyDescent="0.25">
      <c r="A413" s="651"/>
      <c r="B413" s="277" t="s">
        <v>3009</v>
      </c>
      <c r="C413" s="208" t="s">
        <v>3010</v>
      </c>
      <c r="D413" s="653"/>
      <c r="E413" s="653"/>
      <c r="F413" s="653"/>
      <c r="G413" s="651"/>
      <c r="H413" s="652"/>
      <c r="I413" s="653"/>
    </row>
    <row r="414" spans="1:9" ht="20.399999999999999" x14ac:dyDescent="0.25">
      <c r="A414" s="651"/>
      <c r="B414" s="277" t="s">
        <v>3011</v>
      </c>
      <c r="C414" s="208" t="s">
        <v>3012</v>
      </c>
      <c r="D414" s="653"/>
      <c r="E414" s="653"/>
      <c r="F414" s="653"/>
      <c r="G414" s="651"/>
      <c r="H414" s="652"/>
      <c r="I414" s="653"/>
    </row>
    <row r="415" spans="1:9" ht="20.399999999999999" x14ac:dyDescent="0.25">
      <c r="A415" s="651"/>
      <c r="B415" s="277" t="s">
        <v>3013</v>
      </c>
      <c r="C415" s="208" t="s">
        <v>3014</v>
      </c>
      <c r="D415" s="653"/>
      <c r="E415" s="653"/>
      <c r="F415" s="653"/>
      <c r="G415" s="651"/>
      <c r="H415" s="652"/>
      <c r="I415" s="653"/>
    </row>
    <row r="416" spans="1:9" ht="15.6" x14ac:dyDescent="0.25">
      <c r="A416" s="651"/>
      <c r="B416" s="655" t="s">
        <v>3041</v>
      </c>
      <c r="C416" s="208"/>
      <c r="D416" s="653"/>
      <c r="E416" s="653"/>
      <c r="F416" s="653"/>
      <c r="G416" s="651"/>
      <c r="H416" s="652"/>
      <c r="I416" s="653"/>
    </row>
    <row r="417" spans="1:9" ht="20.399999999999999" x14ac:dyDescent="0.25">
      <c r="A417" s="651"/>
      <c r="B417" s="277" t="s">
        <v>3015</v>
      </c>
      <c r="C417" s="208" t="s">
        <v>3016</v>
      </c>
      <c r="D417" s="653"/>
      <c r="E417" s="653"/>
      <c r="F417" s="653"/>
      <c r="G417" s="651"/>
      <c r="H417" s="652"/>
      <c r="I417" s="653"/>
    </row>
    <row r="418" spans="1:9" ht="20.399999999999999" x14ac:dyDescent="0.25">
      <c r="A418" s="651"/>
      <c r="B418" s="277" t="s">
        <v>3017</v>
      </c>
      <c r="C418" s="208" t="s">
        <v>3018</v>
      </c>
      <c r="D418" s="653"/>
      <c r="E418" s="653"/>
      <c r="F418" s="653"/>
      <c r="G418" s="651"/>
      <c r="H418" s="652"/>
      <c r="I418" s="653"/>
    </row>
    <row r="419" spans="1:9" ht="20.399999999999999" x14ac:dyDescent="0.25">
      <c r="A419" s="651"/>
      <c r="B419" s="277" t="s">
        <v>3019</v>
      </c>
      <c r="C419" s="208" t="s">
        <v>3020</v>
      </c>
      <c r="D419" s="653"/>
      <c r="E419" s="653"/>
      <c r="F419" s="653"/>
      <c r="G419" s="651"/>
      <c r="H419" s="652"/>
      <c r="I419" s="653"/>
    </row>
    <row r="420" spans="1:9" ht="20.399999999999999" x14ac:dyDescent="0.25">
      <c r="A420" s="651"/>
      <c r="B420" s="277" t="s">
        <v>3021</v>
      </c>
      <c r="C420" s="208" t="s">
        <v>3022</v>
      </c>
      <c r="D420" s="653"/>
      <c r="E420" s="653"/>
      <c r="F420" s="653"/>
      <c r="G420" s="651"/>
      <c r="H420" s="652"/>
      <c r="I420" s="653"/>
    </row>
    <row r="421" spans="1:9" ht="15.6" x14ac:dyDescent="0.25">
      <c r="A421" s="651"/>
      <c r="B421" s="655" t="s">
        <v>3042</v>
      </c>
      <c r="C421" s="208"/>
      <c r="D421" s="653"/>
      <c r="E421" s="653"/>
      <c r="F421" s="653"/>
      <c r="G421" s="651"/>
      <c r="H421" s="652"/>
      <c r="I421" s="653"/>
    </row>
    <row r="422" spans="1:9" ht="20.399999999999999" x14ac:dyDescent="0.25">
      <c r="A422" s="651"/>
      <c r="B422" s="277" t="s">
        <v>3023</v>
      </c>
      <c r="C422" s="208" t="s">
        <v>3024</v>
      </c>
      <c r="D422" s="653"/>
      <c r="E422" s="653"/>
      <c r="F422" s="653"/>
      <c r="G422" s="651"/>
      <c r="H422" s="652"/>
      <c r="I422" s="653"/>
    </row>
    <row r="423" spans="1:9" ht="30.6" x14ac:dyDescent="0.25">
      <c r="A423" s="651"/>
      <c r="B423" s="277" t="s">
        <v>3025</v>
      </c>
      <c r="C423" s="208" t="s">
        <v>3026</v>
      </c>
      <c r="D423" s="653"/>
      <c r="E423" s="653"/>
      <c r="F423" s="653"/>
      <c r="G423" s="651"/>
      <c r="H423" s="652"/>
      <c r="I423" s="653"/>
    </row>
    <row r="424" spans="1:9" ht="20.399999999999999" x14ac:dyDescent="0.25">
      <c r="A424" s="651"/>
      <c r="B424" s="277" t="s">
        <v>3027</v>
      </c>
      <c r="C424" s="208" t="s">
        <v>3028</v>
      </c>
      <c r="D424" s="653"/>
      <c r="E424" s="653"/>
      <c r="F424" s="653"/>
      <c r="G424" s="651"/>
      <c r="H424" s="652"/>
      <c r="I424" s="653"/>
    </row>
    <row r="425" spans="1:9" ht="20.399999999999999" x14ac:dyDescent="0.25">
      <c r="A425" s="651"/>
      <c r="B425" s="277" t="s">
        <v>3029</v>
      </c>
      <c r="C425" s="208" t="s">
        <v>3030</v>
      </c>
      <c r="D425" s="653"/>
      <c r="E425" s="653"/>
      <c r="F425" s="653"/>
      <c r="G425" s="651"/>
      <c r="H425" s="652"/>
      <c r="I425" s="653"/>
    </row>
    <row r="426" spans="1:9" ht="15.6" x14ac:dyDescent="0.25">
      <c r="A426" s="651"/>
      <c r="B426" s="655" t="s">
        <v>3043</v>
      </c>
      <c r="C426" s="208"/>
      <c r="D426" s="653"/>
      <c r="E426" s="653"/>
      <c r="F426" s="653"/>
      <c r="G426" s="651"/>
      <c r="H426" s="652"/>
      <c r="I426" s="653"/>
    </row>
    <row r="427" spans="1:9" ht="20.399999999999999" x14ac:dyDescent="0.25">
      <c r="A427" s="651"/>
      <c r="B427" s="277" t="s">
        <v>3031</v>
      </c>
      <c r="C427" s="208" t="s">
        <v>3032</v>
      </c>
      <c r="D427" s="653"/>
      <c r="E427" s="653"/>
      <c r="F427" s="653"/>
      <c r="G427" s="651"/>
      <c r="H427" s="652"/>
      <c r="I427" s="653"/>
    </row>
    <row r="428" spans="1:9" ht="20.399999999999999" x14ac:dyDescent="0.25">
      <c r="A428" s="651"/>
      <c r="B428" s="277" t="s">
        <v>3033</v>
      </c>
      <c r="C428" s="208" t="s">
        <v>3034</v>
      </c>
      <c r="D428" s="653"/>
      <c r="E428" s="653"/>
      <c r="F428" s="653"/>
      <c r="G428" s="651"/>
      <c r="H428" s="652"/>
      <c r="I428" s="653"/>
    </row>
    <row r="429" spans="1:9" ht="20.399999999999999" x14ac:dyDescent="0.25">
      <c r="A429" s="651"/>
      <c r="B429" s="277" t="s">
        <v>3035</v>
      </c>
      <c r="C429" s="208" t="s">
        <v>3036</v>
      </c>
      <c r="D429" s="653"/>
      <c r="E429" s="653"/>
      <c r="F429" s="653"/>
      <c r="G429" s="651"/>
      <c r="H429" s="652"/>
      <c r="I429" s="653"/>
    </row>
    <row r="430" spans="1:9" x14ac:dyDescent="0.25">
      <c r="A430" s="37"/>
      <c r="B430" s="218"/>
      <c r="C430" s="34"/>
      <c r="D430" s="37"/>
      <c r="E430" s="218" t="s">
        <v>796</v>
      </c>
      <c r="F430" s="34"/>
      <c r="G430" s="37"/>
      <c r="H430" s="218"/>
      <c r="I430" s="34"/>
    </row>
    <row r="431" spans="1:9" ht="20.399999999999999" x14ac:dyDescent="0.2">
      <c r="A431" s="37"/>
      <c r="B431" s="620"/>
      <c r="C431" s="219"/>
      <c r="D431" s="37"/>
      <c r="E431" s="620" t="s">
        <v>797</v>
      </c>
      <c r="F431" s="219" t="s">
        <v>798</v>
      </c>
      <c r="G431" s="37"/>
      <c r="H431" s="620"/>
      <c r="I431" s="219"/>
    </row>
    <row r="432" spans="1:9" x14ac:dyDescent="0.2">
      <c r="A432" s="37"/>
      <c r="B432" s="620"/>
      <c r="C432" s="219"/>
      <c r="D432" s="37"/>
      <c r="E432" s="620" t="s">
        <v>799</v>
      </c>
      <c r="F432" s="219" t="s">
        <v>48</v>
      </c>
      <c r="G432" s="37"/>
      <c r="H432" s="620"/>
      <c r="I432" s="219"/>
    </row>
    <row r="433" spans="1:9" x14ac:dyDescent="0.2">
      <c r="A433" s="37"/>
      <c r="B433" s="620"/>
      <c r="C433" s="219"/>
      <c r="D433" s="37"/>
      <c r="E433" s="620" t="s">
        <v>800</v>
      </c>
      <c r="F433" s="219" t="s">
        <v>801</v>
      </c>
      <c r="G433" s="37"/>
      <c r="H433" s="620"/>
      <c r="I433" s="219"/>
    </row>
    <row r="434" spans="1:9" x14ac:dyDescent="0.2">
      <c r="A434" s="37"/>
      <c r="B434" s="620"/>
      <c r="C434" s="219"/>
      <c r="D434" s="37"/>
      <c r="E434" s="620" t="s">
        <v>802</v>
      </c>
      <c r="F434" s="219" t="s">
        <v>803</v>
      </c>
      <c r="G434" s="37"/>
      <c r="H434" s="620"/>
      <c r="I434" s="219"/>
    </row>
    <row r="435" spans="1:9" x14ac:dyDescent="0.25">
      <c r="A435" s="37"/>
      <c r="B435" s="218"/>
      <c r="C435" s="34"/>
      <c r="D435" s="37"/>
      <c r="E435" s="620" t="s">
        <v>804</v>
      </c>
      <c r="F435" s="207" t="s">
        <v>805</v>
      </c>
      <c r="G435" s="37"/>
      <c r="H435" s="218"/>
      <c r="I435" s="34"/>
    </row>
    <row r="436" spans="1:9" x14ac:dyDescent="0.2">
      <c r="A436" s="37"/>
      <c r="B436" s="620"/>
      <c r="C436" s="219"/>
      <c r="D436" s="37"/>
      <c r="E436" s="1279" t="s">
        <v>806</v>
      </c>
      <c r="F436" s="1437"/>
      <c r="G436" s="37"/>
      <c r="H436" s="620"/>
      <c r="I436" s="219"/>
    </row>
    <row r="437" spans="1:9" x14ac:dyDescent="0.2">
      <c r="A437" s="37"/>
      <c r="B437" s="620"/>
      <c r="C437" s="219"/>
      <c r="D437" s="37"/>
      <c r="E437" s="620" t="s">
        <v>807</v>
      </c>
      <c r="F437" s="219" t="s">
        <v>83</v>
      </c>
      <c r="G437" s="37"/>
      <c r="H437" s="620"/>
      <c r="I437" s="219"/>
    </row>
    <row r="438" spans="1:9" ht="20.399999999999999" x14ac:dyDescent="0.2">
      <c r="A438" s="37"/>
      <c r="B438" s="620"/>
      <c r="C438" s="219"/>
      <c r="D438" s="37"/>
      <c r="E438" s="620" t="s">
        <v>808</v>
      </c>
      <c r="F438" s="219" t="s">
        <v>809</v>
      </c>
      <c r="G438" s="37"/>
      <c r="H438" s="620"/>
      <c r="I438" s="219"/>
    </row>
    <row r="439" spans="1:9" x14ac:dyDescent="0.2">
      <c r="A439" s="37"/>
      <c r="B439" s="620"/>
      <c r="C439" s="219"/>
      <c r="D439" s="37"/>
      <c r="E439" s="620" t="s">
        <v>810</v>
      </c>
      <c r="F439" s="219" t="s">
        <v>811</v>
      </c>
      <c r="G439" s="37"/>
      <c r="H439" s="620"/>
      <c r="I439" s="219"/>
    </row>
    <row r="440" spans="1:9" x14ac:dyDescent="0.25">
      <c r="A440" s="37"/>
      <c r="B440" s="218"/>
      <c r="C440" s="34"/>
      <c r="D440" s="37"/>
      <c r="E440" s="218" t="s">
        <v>812</v>
      </c>
      <c r="F440" s="34"/>
      <c r="G440" s="37"/>
      <c r="H440" s="218"/>
      <c r="I440" s="34"/>
    </row>
    <row r="441" spans="1:9" ht="30.6" x14ac:dyDescent="0.25">
      <c r="A441" s="34"/>
      <c r="B441" s="621"/>
      <c r="C441" s="217"/>
      <c r="D441" s="34"/>
      <c r="E441" s="621" t="s">
        <v>813</v>
      </c>
      <c r="F441" s="219" t="s">
        <v>814</v>
      </c>
      <c r="G441" s="34"/>
      <c r="H441" s="621"/>
      <c r="I441" s="217"/>
    </row>
    <row r="442" spans="1:9" ht="20.399999999999999" x14ac:dyDescent="0.25">
      <c r="A442" s="34"/>
      <c r="B442" s="621"/>
      <c r="C442" s="217"/>
      <c r="D442" s="34"/>
      <c r="E442" s="621" t="s">
        <v>815</v>
      </c>
      <c r="F442" s="219" t="s">
        <v>816</v>
      </c>
      <c r="G442" s="34"/>
      <c r="H442" s="621"/>
      <c r="I442" s="217"/>
    </row>
    <row r="443" spans="1:9" ht="20.399999999999999" x14ac:dyDescent="0.25">
      <c r="A443" s="34"/>
      <c r="B443" s="620"/>
      <c r="C443" s="219"/>
      <c r="D443" s="34"/>
      <c r="E443" s="621" t="s">
        <v>817</v>
      </c>
      <c r="F443" s="219" t="s">
        <v>818</v>
      </c>
      <c r="G443" s="34"/>
      <c r="H443" s="620"/>
      <c r="I443" s="219"/>
    </row>
    <row r="444" spans="1:9" ht="30" customHeight="1" x14ac:dyDescent="0.2">
      <c r="A444" s="616">
        <v>14</v>
      </c>
      <c r="B444" s="1433" t="s">
        <v>2979</v>
      </c>
      <c r="C444" s="1433"/>
    </row>
    <row r="445" spans="1:9" x14ac:dyDescent="0.2">
      <c r="B445" s="218" t="s">
        <v>2864</v>
      </c>
      <c r="C445" s="218"/>
      <c r="F445" s="1428"/>
    </row>
    <row r="446" spans="1:9" ht="15" customHeight="1" x14ac:dyDescent="0.2">
      <c r="B446" s="297" t="s">
        <v>2865</v>
      </c>
      <c r="C446" s="622" t="s">
        <v>2866</v>
      </c>
      <c r="F446" s="1428"/>
    </row>
    <row r="447" spans="1:9" ht="15" customHeight="1" x14ac:dyDescent="0.2">
      <c r="B447" s="297" t="s">
        <v>2867</v>
      </c>
      <c r="C447" s="622" t="s">
        <v>2868</v>
      </c>
      <c r="F447" s="1428"/>
    </row>
    <row r="448" spans="1:9" ht="20.399999999999999" x14ac:dyDescent="0.2">
      <c r="B448" s="297" t="s">
        <v>2869</v>
      </c>
      <c r="C448" s="622" t="s">
        <v>2870</v>
      </c>
    </row>
    <row r="449" spans="2:3" ht="15.75" customHeight="1" x14ac:dyDescent="0.2">
      <c r="B449" s="297" t="s">
        <v>2871</v>
      </c>
      <c r="C449" s="622" t="s">
        <v>2872</v>
      </c>
    </row>
    <row r="450" spans="2:3" ht="15.75" customHeight="1" x14ac:dyDescent="0.2">
      <c r="B450" s="297" t="s">
        <v>2873</v>
      </c>
      <c r="C450" s="622" t="s">
        <v>2874</v>
      </c>
    </row>
    <row r="451" spans="2:3" ht="15.75" customHeight="1" x14ac:dyDescent="0.2">
      <c r="B451" s="297" t="s">
        <v>2875</v>
      </c>
      <c r="C451" s="622" t="s">
        <v>2876</v>
      </c>
    </row>
    <row r="452" spans="2:3" ht="15.75" customHeight="1" x14ac:dyDescent="0.2">
      <c r="B452" s="297" t="s">
        <v>2877</v>
      </c>
      <c r="C452" s="622" t="s">
        <v>2878</v>
      </c>
    </row>
    <row r="453" spans="2:3" ht="20.399999999999999" x14ac:dyDescent="0.2">
      <c r="B453" s="297" t="s">
        <v>2879</v>
      </c>
      <c r="C453" s="622" t="s">
        <v>2880</v>
      </c>
    </row>
    <row r="454" spans="2:3" x14ac:dyDescent="0.2">
      <c r="B454" s="218" t="s">
        <v>2881</v>
      </c>
      <c r="C454" s="220"/>
    </row>
    <row r="455" spans="2:3" ht="12.75" customHeight="1" x14ac:dyDescent="0.2">
      <c r="B455" s="297" t="s">
        <v>2882</v>
      </c>
      <c r="C455" s="622" t="s">
        <v>2883</v>
      </c>
    </row>
    <row r="456" spans="2:3" ht="12.75" customHeight="1" x14ac:dyDescent="0.2">
      <c r="B456" s="297" t="s">
        <v>2884</v>
      </c>
      <c r="C456" s="622" t="s">
        <v>2885</v>
      </c>
    </row>
    <row r="457" spans="2:3" ht="12.75" customHeight="1" x14ac:dyDescent="0.2">
      <c r="B457" s="297" t="s">
        <v>2886</v>
      </c>
      <c r="C457" s="622" t="s">
        <v>2887</v>
      </c>
    </row>
    <row r="458" spans="2:3" x14ac:dyDescent="0.2">
      <c r="B458" s="297" t="s">
        <v>2888</v>
      </c>
      <c r="C458" s="622" t="s">
        <v>2889</v>
      </c>
    </row>
    <row r="459" spans="2:3" ht="12.75" customHeight="1" x14ac:dyDescent="0.2">
      <c r="B459" s="297" t="s">
        <v>2890</v>
      </c>
      <c r="C459" s="622" t="s">
        <v>2891</v>
      </c>
    </row>
    <row r="460" spans="2:3" x14ac:dyDescent="0.2">
      <c r="B460" s="218" t="s">
        <v>2892</v>
      </c>
      <c r="C460" s="220"/>
    </row>
    <row r="461" spans="2:3" ht="20.399999999999999" x14ac:dyDescent="0.2">
      <c r="B461" s="297" t="s">
        <v>2893</v>
      </c>
      <c r="C461" s="622" t="s">
        <v>2894</v>
      </c>
    </row>
    <row r="462" spans="2:3" ht="12.75" customHeight="1" x14ac:dyDescent="0.2">
      <c r="B462" s="297" t="s">
        <v>2895</v>
      </c>
      <c r="C462" s="622" t="s">
        <v>2896</v>
      </c>
    </row>
    <row r="463" spans="2:3" ht="12.75" customHeight="1" x14ac:dyDescent="0.2">
      <c r="B463" s="297" t="s">
        <v>2897</v>
      </c>
      <c r="C463" s="622" t="s">
        <v>2898</v>
      </c>
    </row>
    <row r="464" spans="2:3" x14ac:dyDescent="0.2">
      <c r="B464" s="218" t="s">
        <v>2899</v>
      </c>
      <c r="C464" s="220"/>
    </row>
    <row r="465" spans="2:3" ht="12.75" customHeight="1" x14ac:dyDescent="0.2">
      <c r="B465" s="297" t="s">
        <v>2900</v>
      </c>
      <c r="C465" s="622" t="s">
        <v>2901</v>
      </c>
    </row>
    <row r="466" spans="2:3" ht="12.75" customHeight="1" x14ac:dyDescent="0.2">
      <c r="B466" s="297" t="s">
        <v>2902</v>
      </c>
      <c r="C466" s="622" t="s">
        <v>2903</v>
      </c>
    </row>
    <row r="467" spans="2:3" ht="12.75" customHeight="1" x14ac:dyDescent="0.2">
      <c r="B467" s="297" t="s">
        <v>2904</v>
      </c>
      <c r="C467" s="622" t="s">
        <v>2905</v>
      </c>
    </row>
    <row r="468" spans="2:3" ht="12.75" customHeight="1" x14ac:dyDescent="0.2">
      <c r="B468" s="297" t="s">
        <v>2906</v>
      </c>
      <c r="C468" s="622" t="s">
        <v>2907</v>
      </c>
    </row>
    <row r="469" spans="2:3" x14ac:dyDescent="0.2">
      <c r="B469" s="218" t="s">
        <v>2908</v>
      </c>
      <c r="C469" s="220"/>
    </row>
    <row r="470" spans="2:3" x14ac:dyDescent="0.2">
      <c r="B470" s="297" t="s">
        <v>2909</v>
      </c>
      <c r="C470" s="622" t="s">
        <v>2910</v>
      </c>
    </row>
    <row r="471" spans="2:3" x14ac:dyDescent="0.2">
      <c r="B471" s="297" t="s">
        <v>2911</v>
      </c>
      <c r="C471" s="622" t="s">
        <v>2912</v>
      </c>
    </row>
    <row r="472" spans="2:3" x14ac:dyDescent="0.2">
      <c r="B472" s="297" t="s">
        <v>2913</v>
      </c>
      <c r="C472" s="622" t="s">
        <v>2914</v>
      </c>
    </row>
    <row r="473" spans="2:3" x14ac:dyDescent="0.2">
      <c r="B473" s="297" t="s">
        <v>2915</v>
      </c>
      <c r="C473" s="622" t="s">
        <v>2916</v>
      </c>
    </row>
    <row r="474" spans="2:3" x14ac:dyDescent="0.2">
      <c r="B474" s="297" t="s">
        <v>2917</v>
      </c>
      <c r="C474" s="622" t="s">
        <v>2918</v>
      </c>
    </row>
    <row r="475" spans="2:3" x14ac:dyDescent="0.2">
      <c r="B475" s="297" t="s">
        <v>2919</v>
      </c>
      <c r="C475" s="622" t="s">
        <v>2920</v>
      </c>
    </row>
  </sheetData>
  <mergeCells count="40">
    <mergeCell ref="H267:I267"/>
    <mergeCell ref="E436:F436"/>
    <mergeCell ref="E204:F204"/>
    <mergeCell ref="B317:C317"/>
    <mergeCell ref="B334:C334"/>
    <mergeCell ref="E334:F334"/>
    <mergeCell ref="H334:I334"/>
    <mergeCell ref="H206:I206"/>
    <mergeCell ref="E206:F206"/>
    <mergeCell ref="B226:C226"/>
    <mergeCell ref="E226:F226"/>
    <mergeCell ref="H226:I226"/>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B182:C182"/>
    <mergeCell ref="E182:F182"/>
    <mergeCell ref="H182:I182"/>
    <mergeCell ref="A2:C2"/>
    <mergeCell ref="E2:G2"/>
    <mergeCell ref="H2:I2"/>
    <mergeCell ref="E59:F59"/>
    <mergeCell ref="H59:I59"/>
    <mergeCell ref="B66:C66"/>
    <mergeCell ref="H66:I66"/>
    <mergeCell ref="E110:F110"/>
    <mergeCell ref="H110:I110"/>
  </mergeCells>
  <conditionalFormatting sqref="F361 F367:F368">
    <cfRule type="expression" dxfId="3" priority="9">
      <formula>AND(NOT($J361=""),$J$1=1)</formula>
    </cfRule>
    <cfRule type="expression" dxfId="2" priority="10">
      <formula>LEN($A361)=2</formula>
    </cfRule>
  </conditionalFormatting>
  <conditionalFormatting sqref="F361">
    <cfRule type="expression" dxfId="1" priority="8">
      <formula>LEN($A361)=4</formula>
    </cfRule>
  </conditionalFormatting>
  <conditionalFormatting sqref="F367:F368">
    <cfRule type="expression" dxfId="0" priority="5">
      <formula>LEN($A367)=4</formula>
    </cfRule>
  </conditionalFormatting>
  <pageMargins left="0.31496062992125984" right="0.31496062992125984" top="0.35433070866141736" bottom="0.35433070866141736" header="0" footer="0"/>
  <pageSetup paperSize="9"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F1478"/>
  <sheetViews>
    <sheetView topLeftCell="A25" zoomScaleNormal="100" workbookViewId="0">
      <selection activeCell="C59" sqref="C59"/>
    </sheetView>
  </sheetViews>
  <sheetFormatPr baseColWidth="10" defaultRowHeight="13.2" x14ac:dyDescent="0.25"/>
  <cols>
    <col min="1" max="1" width="11.33203125" customWidth="1"/>
    <col min="2" max="2" width="55.33203125" style="1" customWidth="1"/>
    <col min="3" max="3" width="76.33203125" style="1" customWidth="1"/>
    <col min="4" max="4" width="34" style="1" customWidth="1"/>
    <col min="5" max="5" width="72.44140625" customWidth="1"/>
    <col min="6" max="6" width="11.44140625" style="16" customWidth="1"/>
    <col min="7" max="7" width="16.109375" customWidth="1"/>
  </cols>
  <sheetData>
    <row r="1" spans="1:7" ht="58.5" customHeight="1" x14ac:dyDescent="0.25">
      <c r="A1" s="810" t="s">
        <v>6694</v>
      </c>
      <c r="B1" s="810" t="s">
        <v>6735</v>
      </c>
      <c r="C1" s="810" t="s">
        <v>6734</v>
      </c>
      <c r="D1" s="892"/>
      <c r="E1" s="892"/>
      <c r="G1" s="504"/>
    </row>
    <row r="2" spans="1:7" x14ac:dyDescent="0.25">
      <c r="A2" s="767" t="s">
        <v>4663</v>
      </c>
      <c r="B2" s="811"/>
      <c r="C2" s="770"/>
      <c r="D2" s="910"/>
    </row>
    <row r="3" spans="1:7" x14ac:dyDescent="0.25">
      <c r="A3" s="760" t="s">
        <v>4664</v>
      </c>
      <c r="B3" s="761"/>
      <c r="C3" s="763"/>
      <c r="D3" s="911"/>
    </row>
    <row r="4" spans="1:7" ht="28.5" customHeight="1" x14ac:dyDescent="0.25">
      <c r="A4" s="817" t="s">
        <v>1984</v>
      </c>
      <c r="B4" s="1087" t="s">
        <v>1961</v>
      </c>
      <c r="C4" s="812" t="s">
        <v>3130</v>
      </c>
      <c r="D4" s="912"/>
    </row>
    <row r="5" spans="1:7" ht="14.25" customHeight="1" x14ac:dyDescent="0.25">
      <c r="A5" s="1441" t="s">
        <v>2104</v>
      </c>
      <c r="B5" s="1444" t="s">
        <v>2103</v>
      </c>
      <c r="C5" s="757" t="s">
        <v>3133</v>
      </c>
      <c r="D5" s="912"/>
    </row>
    <row r="6" spans="1:7" ht="14.25" customHeight="1" x14ac:dyDescent="0.25">
      <c r="A6" s="1442"/>
      <c r="B6" s="1445"/>
      <c r="C6" s="812" t="s">
        <v>3134</v>
      </c>
      <c r="D6" s="912"/>
    </row>
    <row r="7" spans="1:7" ht="14.25" customHeight="1" x14ac:dyDescent="0.25">
      <c r="A7" s="1443"/>
      <c r="B7" s="1446"/>
      <c r="C7" s="812" t="s">
        <v>3135</v>
      </c>
      <c r="D7" s="912"/>
    </row>
    <row r="8" spans="1:7" ht="14.25" customHeight="1" x14ac:dyDescent="0.25">
      <c r="A8" s="745" t="s">
        <v>1988</v>
      </c>
      <c r="B8" s="759" t="s">
        <v>591</v>
      </c>
      <c r="C8" s="757" t="s">
        <v>3136</v>
      </c>
      <c r="D8" s="912"/>
    </row>
    <row r="9" spans="1:7" ht="14.25" customHeight="1" x14ac:dyDescent="0.25">
      <c r="A9" s="760" t="s">
        <v>4665</v>
      </c>
      <c r="B9" s="761"/>
      <c r="C9" s="763"/>
      <c r="D9" s="912"/>
    </row>
    <row r="10" spans="1:7" ht="14.25" customHeight="1" x14ac:dyDescent="0.25">
      <c r="A10" s="1441" t="s">
        <v>2003</v>
      </c>
      <c r="B10" s="1441" t="s">
        <v>1972</v>
      </c>
      <c r="C10" s="757" t="s">
        <v>3137</v>
      </c>
      <c r="D10" s="912"/>
    </row>
    <row r="11" spans="1:7" ht="14.25" customHeight="1" x14ac:dyDescent="0.25">
      <c r="A11" s="1442"/>
      <c r="B11" s="1442"/>
      <c r="C11" s="764" t="s">
        <v>3138</v>
      </c>
      <c r="D11" s="912"/>
    </row>
    <row r="12" spans="1:7" ht="14.25" customHeight="1" x14ac:dyDescent="0.25">
      <c r="A12" s="1442"/>
      <c r="B12" s="1442"/>
      <c r="C12" s="764" t="s">
        <v>3139</v>
      </c>
      <c r="D12" s="912"/>
    </row>
    <row r="13" spans="1:7" ht="14.25" customHeight="1" x14ac:dyDescent="0.25">
      <c r="A13" s="1443"/>
      <c r="B13" s="1443"/>
      <c r="C13" s="764" t="s">
        <v>4666</v>
      </c>
      <c r="D13" s="912"/>
    </row>
    <row r="14" spans="1:7" ht="14.25" customHeight="1" x14ac:dyDescent="0.25">
      <c r="A14" s="1448" t="s">
        <v>1981</v>
      </c>
      <c r="B14" s="1441" t="s">
        <v>6552</v>
      </c>
      <c r="C14" s="757" t="s">
        <v>6798</v>
      </c>
      <c r="D14" s="912"/>
    </row>
    <row r="15" spans="1:7" ht="14.25" customHeight="1" x14ac:dyDescent="0.25">
      <c r="A15" s="1449"/>
      <c r="B15" s="1443"/>
      <c r="C15" s="757" t="s">
        <v>6799</v>
      </c>
      <c r="D15" s="912"/>
    </row>
    <row r="16" spans="1:7" x14ac:dyDescent="0.25">
      <c r="A16" s="1448" t="s">
        <v>4621</v>
      </c>
      <c r="B16" s="1448" t="s">
        <v>4620</v>
      </c>
      <c r="C16" s="757" t="s">
        <v>3180</v>
      </c>
      <c r="D16" s="1452"/>
    </row>
    <row r="17" spans="1:6" ht="14.25" customHeight="1" x14ac:dyDescent="0.25">
      <c r="A17" s="1450"/>
      <c r="B17" s="1450"/>
      <c r="C17" s="757" t="s">
        <v>4667</v>
      </c>
      <c r="D17" s="1453"/>
    </row>
    <row r="18" spans="1:6" ht="14.25" customHeight="1" x14ac:dyDescent="0.25">
      <c r="A18" s="1451"/>
      <c r="B18" s="1451"/>
      <c r="C18" s="812" t="s">
        <v>4668</v>
      </c>
      <c r="D18" s="912"/>
      <c r="F18" s="875"/>
    </row>
    <row r="19" spans="1:6" ht="14.25" customHeight="1" x14ac:dyDescent="0.25">
      <c r="A19" s="1441" t="s">
        <v>2014</v>
      </c>
      <c r="B19" s="1447" t="s">
        <v>6813</v>
      </c>
      <c r="C19" s="764" t="s">
        <v>6800</v>
      </c>
      <c r="D19" s="912"/>
    </row>
    <row r="20" spans="1:6" ht="14.25" customHeight="1" x14ac:dyDescent="0.25">
      <c r="A20" s="1443"/>
      <c r="B20" s="1443"/>
      <c r="C20" s="764" t="s">
        <v>3140</v>
      </c>
      <c r="D20" s="912"/>
    </row>
    <row r="21" spans="1:6" ht="14.25" customHeight="1" x14ac:dyDescent="0.25">
      <c r="A21" s="760" t="s">
        <v>2242</v>
      </c>
      <c r="B21" s="761"/>
      <c r="C21" s="763"/>
      <c r="D21" s="912"/>
    </row>
    <row r="22" spans="1:6" ht="14.25" customHeight="1" x14ac:dyDescent="0.25">
      <c r="A22" s="1441" t="s">
        <v>1986</v>
      </c>
      <c r="B22" s="1444" t="s">
        <v>1963</v>
      </c>
      <c r="C22" s="812" t="s">
        <v>3141</v>
      </c>
      <c r="D22" s="912"/>
    </row>
    <row r="23" spans="1:6" ht="14.25" customHeight="1" x14ac:dyDescent="0.25">
      <c r="A23" s="1442"/>
      <c r="B23" s="1445"/>
      <c r="C23" s="812" t="s">
        <v>3142</v>
      </c>
      <c r="D23" s="912"/>
    </row>
    <row r="24" spans="1:6" ht="14.25" customHeight="1" x14ac:dyDescent="0.25">
      <c r="A24" s="1441" t="s">
        <v>1987</v>
      </c>
      <c r="B24" s="1444" t="s">
        <v>1964</v>
      </c>
      <c r="C24" s="812" t="s">
        <v>3143</v>
      </c>
      <c r="D24" s="912"/>
    </row>
    <row r="25" spans="1:6" ht="14.25" customHeight="1" x14ac:dyDescent="0.25">
      <c r="A25" s="1443"/>
      <c r="B25" s="1446"/>
      <c r="C25" s="812" t="s">
        <v>3144</v>
      </c>
      <c r="D25" s="912"/>
    </row>
    <row r="26" spans="1:6" x14ac:dyDescent="0.25">
      <c r="A26" s="745" t="s">
        <v>1985</v>
      </c>
      <c r="B26" s="759" t="s">
        <v>1962</v>
      </c>
      <c r="C26" s="764" t="s">
        <v>3145</v>
      </c>
      <c r="D26" s="912"/>
    </row>
    <row r="27" spans="1:6" ht="14.25" customHeight="1" x14ac:dyDescent="0.25">
      <c r="A27" s="745" t="s">
        <v>2012</v>
      </c>
      <c r="B27" s="759" t="s">
        <v>2013</v>
      </c>
      <c r="C27" s="764" t="s">
        <v>3146</v>
      </c>
      <c r="D27" s="912"/>
    </row>
    <row r="28" spans="1:6" ht="14.25" customHeight="1" x14ac:dyDescent="0.25">
      <c r="A28" s="745" t="s">
        <v>1983</v>
      </c>
      <c r="B28" s="814" t="s">
        <v>1960</v>
      </c>
      <c r="C28" s="813" t="s">
        <v>3147</v>
      </c>
      <c r="D28" s="912"/>
    </row>
    <row r="29" spans="1:6" ht="14.25" customHeight="1" x14ac:dyDescent="0.25">
      <c r="A29" s="767" t="s">
        <v>4669</v>
      </c>
      <c r="B29" s="768"/>
      <c r="C29" s="770"/>
      <c r="D29" s="912"/>
    </row>
    <row r="30" spans="1:6" ht="14.25" customHeight="1" x14ac:dyDescent="0.25">
      <c r="A30" s="760" t="s">
        <v>2243</v>
      </c>
      <c r="B30" s="761"/>
      <c r="C30" s="763"/>
      <c r="D30" s="912"/>
    </row>
    <row r="31" spans="1:6" ht="14.25" customHeight="1" x14ac:dyDescent="0.25">
      <c r="A31" s="1441" t="s">
        <v>2097</v>
      </c>
      <c r="B31" s="1441" t="s">
        <v>2098</v>
      </c>
      <c r="C31" s="757" t="s">
        <v>3148</v>
      </c>
      <c r="D31" s="912"/>
    </row>
    <row r="32" spans="1:6" ht="14.25" customHeight="1" x14ac:dyDescent="0.25">
      <c r="A32" s="1442"/>
      <c r="B32" s="1442"/>
      <c r="C32" s="757" t="s">
        <v>3149</v>
      </c>
      <c r="D32" s="912"/>
    </row>
    <row r="33" spans="1:6" ht="22.8" x14ac:dyDescent="0.25">
      <c r="A33" s="1443"/>
      <c r="B33" s="1443"/>
      <c r="C33" s="757" t="s">
        <v>3151</v>
      </c>
      <c r="D33" s="912"/>
    </row>
    <row r="34" spans="1:6" ht="14.25" customHeight="1" x14ac:dyDescent="0.25">
      <c r="A34" s="903" t="s">
        <v>6553</v>
      </c>
      <c r="B34" s="903" t="s">
        <v>6554</v>
      </c>
      <c r="C34" s="890" t="s">
        <v>3150</v>
      </c>
      <c r="D34" s="912"/>
    </row>
    <row r="35" spans="1:6" ht="14.25" customHeight="1" x14ac:dyDescent="0.25">
      <c r="A35" s="1441" t="s">
        <v>2100</v>
      </c>
      <c r="B35" s="1441" t="s">
        <v>2101</v>
      </c>
      <c r="C35" s="757" t="s">
        <v>3152</v>
      </c>
      <c r="D35" s="912"/>
    </row>
    <row r="36" spans="1:6" x14ac:dyDescent="0.25">
      <c r="A36" s="1442"/>
      <c r="B36" s="1442"/>
      <c r="C36" s="757" t="s">
        <v>3153</v>
      </c>
      <c r="D36" s="912"/>
    </row>
    <row r="37" spans="1:6" ht="14.25" customHeight="1" x14ac:dyDescent="0.25">
      <c r="A37" s="909" t="s">
        <v>6555</v>
      </c>
      <c r="B37" s="909" t="s">
        <v>547</v>
      </c>
      <c r="C37" s="890" t="s">
        <v>3154</v>
      </c>
      <c r="D37" s="912"/>
      <c r="F37"/>
    </row>
    <row r="38" spans="1:6" ht="14.25" customHeight="1" x14ac:dyDescent="0.25">
      <c r="A38" s="760" t="s">
        <v>2244</v>
      </c>
      <c r="B38" s="761"/>
      <c r="C38" s="763"/>
      <c r="D38" s="912"/>
    </row>
    <row r="39" spans="1:6" ht="14.25" customHeight="1" x14ac:dyDescent="0.25">
      <c r="A39" s="1447" t="s">
        <v>1976</v>
      </c>
      <c r="B39" s="1447" t="s">
        <v>731</v>
      </c>
      <c r="C39" s="757" t="s">
        <v>3155</v>
      </c>
      <c r="D39" s="912"/>
    </row>
    <row r="40" spans="1:6" x14ac:dyDescent="0.25">
      <c r="A40" s="1442"/>
      <c r="B40" s="1442"/>
      <c r="C40" s="757" t="s">
        <v>6801</v>
      </c>
      <c r="D40" s="912"/>
    </row>
    <row r="41" spans="1:6" ht="14.25" customHeight="1" x14ac:dyDescent="0.25">
      <c r="A41" s="1442"/>
      <c r="B41" s="1442"/>
      <c r="C41" s="757" t="s">
        <v>6802</v>
      </c>
      <c r="D41" s="912"/>
    </row>
    <row r="42" spans="1:6" ht="14.25" customHeight="1" x14ac:dyDescent="0.25">
      <c r="A42" s="1443"/>
      <c r="B42" s="1443"/>
      <c r="C42" s="757" t="s">
        <v>3156</v>
      </c>
      <c r="D42" s="912"/>
    </row>
    <row r="43" spans="1:6" ht="14.25" customHeight="1" x14ac:dyDescent="0.25">
      <c r="A43" s="817" t="s">
        <v>4607</v>
      </c>
      <c r="B43" s="817" t="s">
        <v>4604</v>
      </c>
      <c r="C43" s="757" t="s">
        <v>4693</v>
      </c>
      <c r="D43" s="912"/>
    </row>
    <row r="44" spans="1:6" ht="14.25" customHeight="1" x14ac:dyDescent="0.25">
      <c r="A44" s="760" t="s">
        <v>2247</v>
      </c>
      <c r="B44" s="761"/>
      <c r="C44" s="763"/>
      <c r="D44" s="912"/>
    </row>
    <row r="45" spans="1:6" ht="14.25" customHeight="1" x14ac:dyDescent="0.25">
      <c r="A45" s="745" t="s">
        <v>2109</v>
      </c>
      <c r="B45" s="759" t="s">
        <v>1404</v>
      </c>
      <c r="C45" s="757" t="s">
        <v>3157</v>
      </c>
      <c r="D45" s="912"/>
    </row>
    <row r="46" spans="1:6" ht="14.25" customHeight="1" x14ac:dyDescent="0.25">
      <c r="A46" s="745" t="s">
        <v>2181</v>
      </c>
      <c r="B46" s="759" t="s">
        <v>2182</v>
      </c>
      <c r="C46" s="757" t="s">
        <v>3158</v>
      </c>
      <c r="D46" s="912"/>
    </row>
    <row r="47" spans="1:6" ht="14.25" customHeight="1" x14ac:dyDescent="0.25">
      <c r="A47" s="767" t="s">
        <v>4670</v>
      </c>
      <c r="B47" s="768"/>
      <c r="C47" s="770"/>
      <c r="D47" s="912"/>
    </row>
    <row r="48" spans="1:6" ht="14.25" customHeight="1" x14ac:dyDescent="0.25">
      <c r="A48" s="760" t="s">
        <v>4671</v>
      </c>
      <c r="B48" s="761"/>
      <c r="C48" s="763"/>
      <c r="D48" s="912"/>
      <c r="F48"/>
    </row>
    <row r="49" spans="1:6" x14ac:dyDescent="0.25">
      <c r="A49" s="1448" t="s">
        <v>1979</v>
      </c>
      <c r="B49" s="1448" t="s">
        <v>4672</v>
      </c>
      <c r="C49" s="890" t="s">
        <v>4622</v>
      </c>
      <c r="D49" s="912"/>
      <c r="F49"/>
    </row>
    <row r="50" spans="1:6" ht="14.25" customHeight="1" x14ac:dyDescent="0.25">
      <c r="A50" s="1442"/>
      <c r="B50" s="1442"/>
      <c r="C50" s="890" t="s">
        <v>4647</v>
      </c>
      <c r="D50" s="912"/>
      <c r="F50"/>
    </row>
    <row r="51" spans="1:6" ht="14.25" customHeight="1" x14ac:dyDescent="0.25">
      <c r="A51" s="1448" t="s">
        <v>6556</v>
      </c>
      <c r="B51" s="1448" t="s">
        <v>6557</v>
      </c>
      <c r="C51" s="890" t="s">
        <v>6803</v>
      </c>
      <c r="D51" s="912"/>
      <c r="F51" s="29"/>
    </row>
    <row r="52" spans="1:6" ht="14.25" customHeight="1" x14ac:dyDescent="0.25">
      <c r="A52" s="1442"/>
      <c r="B52" s="1442"/>
      <c r="C52" s="890" t="s">
        <v>4613</v>
      </c>
      <c r="D52" s="912"/>
      <c r="F52" s="29"/>
    </row>
    <row r="53" spans="1:6" x14ac:dyDescent="0.25">
      <c r="A53" s="1449"/>
      <c r="B53" s="1449"/>
      <c r="C53" s="890" t="s">
        <v>4614</v>
      </c>
      <c r="D53" s="912"/>
      <c r="F53" s="29"/>
    </row>
    <row r="54" spans="1:6" ht="14.25" customHeight="1" x14ac:dyDescent="0.25">
      <c r="A54" s="817" t="s">
        <v>2005</v>
      </c>
      <c r="B54" s="817" t="s">
        <v>2108</v>
      </c>
      <c r="C54" s="757" t="s">
        <v>3159</v>
      </c>
      <c r="D54" s="912"/>
    </row>
    <row r="55" spans="1:6" ht="14.25" customHeight="1" x14ac:dyDescent="0.25">
      <c r="A55" s="760" t="s">
        <v>4673</v>
      </c>
      <c r="B55" s="761"/>
      <c r="C55" s="763"/>
      <c r="D55" s="912"/>
    </row>
    <row r="56" spans="1:6" ht="15" customHeight="1" x14ac:dyDescent="0.25">
      <c r="A56" s="1441" t="s">
        <v>6558</v>
      </c>
      <c r="B56" s="1454" t="s">
        <v>6559</v>
      </c>
      <c r="C56" s="757" t="s">
        <v>3161</v>
      </c>
      <c r="D56" s="912"/>
    </row>
    <row r="57" spans="1:6" ht="14.25" customHeight="1" x14ac:dyDescent="0.25">
      <c r="A57" s="1443"/>
      <c r="B57" s="1455"/>
      <c r="C57" s="757" t="s">
        <v>3160</v>
      </c>
      <c r="D57" s="912"/>
    </row>
    <row r="58" spans="1:6" ht="14.25" customHeight="1" x14ac:dyDescent="0.25">
      <c r="A58" s="815" t="s">
        <v>4656</v>
      </c>
      <c r="B58" s="814" t="s">
        <v>4392</v>
      </c>
      <c r="C58" s="757" t="s">
        <v>4674</v>
      </c>
      <c r="D58" s="912"/>
    </row>
    <row r="59" spans="1:6" ht="15.75" customHeight="1" x14ac:dyDescent="0.25">
      <c r="A59" s="1448" t="s">
        <v>6550</v>
      </c>
      <c r="B59" s="1454" t="s">
        <v>6551</v>
      </c>
      <c r="C59" s="907" t="s">
        <v>6804</v>
      </c>
      <c r="D59" s="912"/>
      <c r="F59" s="29"/>
    </row>
    <row r="60" spans="1:6" ht="18" customHeight="1" x14ac:dyDescent="0.25">
      <c r="A60" s="1442"/>
      <c r="B60" s="1445"/>
      <c r="C60" s="908" t="s">
        <v>3132</v>
      </c>
      <c r="D60" s="912"/>
      <c r="F60" s="29"/>
    </row>
    <row r="61" spans="1:6" ht="14.25" customHeight="1" x14ac:dyDescent="0.25">
      <c r="A61" s="1449"/>
      <c r="B61" s="1455"/>
      <c r="C61" s="890" t="s">
        <v>4675</v>
      </c>
      <c r="D61" s="912"/>
      <c r="F61" s="29"/>
    </row>
    <row r="62" spans="1:6" x14ac:dyDescent="0.25">
      <c r="A62" s="1457" t="s">
        <v>6290</v>
      </c>
      <c r="B62" s="1454" t="s">
        <v>6291</v>
      </c>
      <c r="C62" s="757" t="s">
        <v>3167</v>
      </c>
      <c r="D62" s="912"/>
    </row>
    <row r="63" spans="1:6" ht="14.25" customHeight="1" x14ac:dyDescent="0.25">
      <c r="A63" s="1458"/>
      <c r="B63" s="1451"/>
      <c r="C63" s="757" t="s">
        <v>6805</v>
      </c>
      <c r="D63" s="912"/>
      <c r="F63" s="29"/>
    </row>
    <row r="64" spans="1:6" ht="18.75" customHeight="1" x14ac:dyDescent="0.25">
      <c r="A64" s="767" t="s">
        <v>4676</v>
      </c>
      <c r="B64" s="768"/>
      <c r="C64" s="770"/>
      <c r="D64" s="912"/>
    </row>
    <row r="65" spans="1:4" ht="18" customHeight="1" x14ac:dyDescent="0.25">
      <c r="A65" s="760" t="s">
        <v>4677</v>
      </c>
      <c r="B65" s="761"/>
      <c r="C65" s="763"/>
      <c r="D65" s="912"/>
    </row>
    <row r="66" spans="1:4" ht="26.25" customHeight="1" x14ac:dyDescent="0.25">
      <c r="A66" s="745" t="s">
        <v>1973</v>
      </c>
      <c r="B66" s="759" t="s">
        <v>1618</v>
      </c>
      <c r="C66" s="757" t="s">
        <v>3162</v>
      </c>
      <c r="D66" s="912"/>
    </row>
    <row r="67" spans="1:4" ht="24" customHeight="1" x14ac:dyDescent="0.25">
      <c r="A67" s="816" t="s">
        <v>1974</v>
      </c>
      <c r="B67" s="759" t="s">
        <v>1955</v>
      </c>
      <c r="C67" s="757" t="s">
        <v>3163</v>
      </c>
      <c r="D67" s="912"/>
    </row>
    <row r="68" spans="1:4" ht="14.25" customHeight="1" x14ac:dyDescent="0.25">
      <c r="A68" s="745" t="s">
        <v>1975</v>
      </c>
      <c r="B68" s="759" t="s">
        <v>1956</v>
      </c>
      <c r="C68" s="757" t="s">
        <v>3164</v>
      </c>
      <c r="D68" s="912"/>
    </row>
    <row r="69" spans="1:4" ht="15" customHeight="1" x14ac:dyDescent="0.25">
      <c r="A69" s="745" t="s">
        <v>1990</v>
      </c>
      <c r="B69" s="759" t="s">
        <v>1965</v>
      </c>
      <c r="C69" s="757" t="s">
        <v>3165</v>
      </c>
      <c r="D69" s="912"/>
    </row>
    <row r="70" spans="1:4" ht="14.25" customHeight="1" x14ac:dyDescent="0.25">
      <c r="A70" s="1456" t="s">
        <v>2004</v>
      </c>
      <c r="B70" s="1456" t="s">
        <v>1969</v>
      </c>
      <c r="C70" s="757" t="s">
        <v>6692</v>
      </c>
      <c r="D70" s="912"/>
    </row>
    <row r="71" spans="1:4" ht="25.5" customHeight="1" x14ac:dyDescent="0.25">
      <c r="A71" s="1449"/>
      <c r="B71" s="1449"/>
      <c r="C71" s="757" t="s">
        <v>3166</v>
      </c>
      <c r="D71" s="912"/>
    </row>
    <row r="72" spans="1:4" ht="14.25" customHeight="1" x14ac:dyDescent="0.25">
      <c r="A72" s="817" t="s">
        <v>6288</v>
      </c>
      <c r="B72" s="817" t="s">
        <v>6814</v>
      </c>
      <c r="C72" s="764" t="s">
        <v>6808</v>
      </c>
      <c r="D72" s="912"/>
    </row>
    <row r="73" spans="1:4" x14ac:dyDescent="0.25">
      <c r="A73" s="745" t="s">
        <v>4650</v>
      </c>
      <c r="B73" s="759" t="s">
        <v>4651</v>
      </c>
      <c r="C73" s="764" t="s">
        <v>4678</v>
      </c>
      <c r="D73" s="912"/>
    </row>
    <row r="74" spans="1:4" ht="14.25" customHeight="1" x14ac:dyDescent="0.25">
      <c r="A74" s="745" t="s">
        <v>4657</v>
      </c>
      <c r="B74" s="759" t="s">
        <v>4658</v>
      </c>
      <c r="C74" s="764" t="s">
        <v>6782</v>
      </c>
      <c r="D74" s="912"/>
    </row>
    <row r="75" spans="1:4" ht="14.25" customHeight="1" x14ac:dyDescent="0.25">
      <c r="A75" s="760" t="s">
        <v>4679</v>
      </c>
      <c r="B75" s="761"/>
      <c r="C75" s="763"/>
      <c r="D75" s="912"/>
    </row>
    <row r="76" spans="1:4" ht="26.25" customHeight="1" x14ac:dyDescent="0.25">
      <c r="A76" s="745" t="s">
        <v>1999</v>
      </c>
      <c r="B76" s="759" t="s">
        <v>1998</v>
      </c>
      <c r="C76" s="757" t="s">
        <v>6809</v>
      </c>
      <c r="D76" s="912"/>
    </row>
    <row r="77" spans="1:4" ht="27.75" customHeight="1" x14ac:dyDescent="0.25">
      <c r="A77" s="745" t="s">
        <v>2000</v>
      </c>
      <c r="B77" s="759" t="s">
        <v>2001</v>
      </c>
      <c r="C77" s="757" t="s">
        <v>3168</v>
      </c>
      <c r="D77" s="912"/>
    </row>
    <row r="78" spans="1:4" ht="14.25" customHeight="1" x14ac:dyDescent="0.25">
      <c r="A78" s="745" t="s">
        <v>2002</v>
      </c>
      <c r="B78" s="759" t="s">
        <v>1967</v>
      </c>
      <c r="C78" s="757" t="s">
        <v>3169</v>
      </c>
      <c r="D78" s="912"/>
    </row>
    <row r="79" spans="1:4" ht="14.25" customHeight="1" x14ac:dyDescent="0.25">
      <c r="A79" s="745" t="s">
        <v>1992</v>
      </c>
      <c r="B79" s="759" t="s">
        <v>1991</v>
      </c>
      <c r="C79" s="757" t="s">
        <v>3170</v>
      </c>
      <c r="D79" s="912"/>
    </row>
    <row r="80" spans="1:4" ht="14.25" customHeight="1" x14ac:dyDescent="0.25">
      <c r="A80" s="1441" t="s">
        <v>1993</v>
      </c>
      <c r="B80" s="1441" t="s">
        <v>1966</v>
      </c>
      <c r="C80" s="757" t="s">
        <v>3171</v>
      </c>
      <c r="D80" s="912"/>
    </row>
    <row r="81" spans="1:6" ht="14.25" customHeight="1" x14ac:dyDescent="0.25">
      <c r="A81" s="1443"/>
      <c r="B81" s="1443"/>
      <c r="C81" s="757" t="s">
        <v>6810</v>
      </c>
      <c r="D81" s="912"/>
    </row>
    <row r="82" spans="1:6" ht="14.25" customHeight="1" x14ac:dyDescent="0.25">
      <c r="A82" s="817" t="s">
        <v>3100</v>
      </c>
      <c r="B82" s="817" t="s">
        <v>4680</v>
      </c>
      <c r="C82" s="757" t="s">
        <v>3172</v>
      </c>
      <c r="D82" s="912"/>
    </row>
    <row r="83" spans="1:6" ht="14.25" customHeight="1" x14ac:dyDescent="0.25">
      <c r="A83" s="760" t="s">
        <v>4681</v>
      </c>
      <c r="B83" s="761"/>
      <c r="C83" s="763"/>
      <c r="D83" s="912"/>
    </row>
    <row r="84" spans="1:6" ht="14.25" customHeight="1" x14ac:dyDescent="0.25">
      <c r="A84" s="891" t="s">
        <v>6286</v>
      </c>
      <c r="B84" s="759" t="s">
        <v>6287</v>
      </c>
      <c r="C84" s="890" t="s">
        <v>3131</v>
      </c>
      <c r="D84" s="912"/>
      <c r="F84"/>
    </row>
    <row r="85" spans="1:6" ht="15" customHeight="1" x14ac:dyDescent="0.25">
      <c r="A85" s="745" t="s">
        <v>1980</v>
      </c>
      <c r="B85" s="759" t="s">
        <v>1958</v>
      </c>
      <c r="C85" s="757" t="s">
        <v>3173</v>
      </c>
      <c r="D85" s="912"/>
    </row>
    <row r="86" spans="1:6" x14ac:dyDescent="0.25">
      <c r="A86" s="745" t="s">
        <v>1977</v>
      </c>
      <c r="B86" s="759" t="s">
        <v>398</v>
      </c>
      <c r="C86" s="757" t="s">
        <v>3174</v>
      </c>
      <c r="D86" s="912"/>
    </row>
    <row r="87" spans="1:6" x14ac:dyDescent="0.25">
      <c r="A87" s="1441" t="s">
        <v>1978</v>
      </c>
      <c r="B87" s="1441" t="s">
        <v>1957</v>
      </c>
      <c r="C87" s="764" t="s">
        <v>3175</v>
      </c>
      <c r="D87" s="912"/>
    </row>
    <row r="88" spans="1:6" x14ac:dyDescent="0.25">
      <c r="A88" s="1442"/>
      <c r="B88" s="1442"/>
      <c r="C88" s="764" t="s">
        <v>3176</v>
      </c>
      <c r="D88" s="912"/>
    </row>
    <row r="89" spans="1:6" x14ac:dyDescent="0.25">
      <c r="A89" s="1442"/>
      <c r="B89" s="1442"/>
      <c r="C89" s="764" t="s">
        <v>6811</v>
      </c>
      <c r="D89" s="912"/>
    </row>
    <row r="90" spans="1:6" x14ac:dyDescent="0.25">
      <c r="A90" s="1443"/>
      <c r="B90" s="1443"/>
      <c r="C90" s="764" t="s">
        <v>4682</v>
      </c>
      <c r="D90" s="912"/>
    </row>
    <row r="91" spans="1:6" x14ac:dyDescent="0.25">
      <c r="A91" s="760" t="s">
        <v>4683</v>
      </c>
      <c r="B91" s="761"/>
      <c r="C91" s="763"/>
      <c r="D91" s="912"/>
    </row>
    <row r="92" spans="1:6" ht="15" customHeight="1" x14ac:dyDescent="0.25">
      <c r="A92" s="1441" t="s">
        <v>1989</v>
      </c>
      <c r="B92" s="1441" t="s">
        <v>1971</v>
      </c>
      <c r="C92" s="764" t="s">
        <v>6812</v>
      </c>
      <c r="D92" s="912"/>
    </row>
    <row r="93" spans="1:6" x14ac:dyDescent="0.25">
      <c r="A93" s="1442"/>
      <c r="B93" s="1442"/>
      <c r="C93" s="764" t="s">
        <v>3177</v>
      </c>
      <c r="D93" s="912"/>
    </row>
    <row r="94" spans="1:6" x14ac:dyDescent="0.25">
      <c r="A94" s="1443"/>
      <c r="B94" s="1443"/>
      <c r="C94" s="757" t="s">
        <v>3178</v>
      </c>
      <c r="D94" s="912"/>
    </row>
    <row r="95" spans="1:6" x14ac:dyDescent="0.25">
      <c r="A95" s="745" t="s">
        <v>2111</v>
      </c>
      <c r="B95" s="759" t="s">
        <v>2112</v>
      </c>
      <c r="C95" s="764" t="s">
        <v>3179</v>
      </c>
      <c r="D95" s="912"/>
    </row>
    <row r="96" spans="1:6" x14ac:dyDescent="0.25">
      <c r="A96" s="760" t="s">
        <v>4684</v>
      </c>
      <c r="B96" s="761"/>
      <c r="C96" s="763"/>
      <c r="D96" s="912"/>
    </row>
    <row r="97" spans="1:7" x14ac:dyDescent="0.25">
      <c r="A97" s="1441" t="s">
        <v>2007</v>
      </c>
      <c r="B97" s="1441" t="s">
        <v>4603</v>
      </c>
      <c r="C97" s="764" t="s">
        <v>3181</v>
      </c>
      <c r="D97" s="912"/>
    </row>
    <row r="98" spans="1:7" x14ac:dyDescent="0.25">
      <c r="A98" s="1443"/>
      <c r="B98" s="1443"/>
      <c r="C98" s="764" t="s">
        <v>3182</v>
      </c>
      <c r="D98" s="912"/>
    </row>
    <row r="99" spans="1:7" x14ac:dyDescent="0.25">
      <c r="A99" s="1441" t="s">
        <v>2006</v>
      </c>
      <c r="B99" s="1441" t="s">
        <v>1968</v>
      </c>
      <c r="C99" s="764" t="s">
        <v>3186</v>
      </c>
      <c r="D99" s="912"/>
    </row>
    <row r="100" spans="1:7" x14ac:dyDescent="0.25">
      <c r="A100" s="1442"/>
      <c r="B100" s="1442"/>
      <c r="C100" s="757" t="s">
        <v>3183</v>
      </c>
      <c r="D100" s="912"/>
    </row>
    <row r="101" spans="1:7" x14ac:dyDescent="0.25">
      <c r="A101" s="1442"/>
      <c r="B101" s="1442"/>
      <c r="C101" s="757" t="s">
        <v>3184</v>
      </c>
      <c r="D101" s="912"/>
    </row>
    <row r="102" spans="1:7" x14ac:dyDescent="0.25">
      <c r="A102" s="1442"/>
      <c r="B102" s="1442"/>
      <c r="C102" s="757" t="s">
        <v>3185</v>
      </c>
      <c r="D102" s="912"/>
    </row>
    <row r="103" spans="1:7" x14ac:dyDescent="0.25">
      <c r="A103" s="1076" t="s">
        <v>6783</v>
      </c>
      <c r="B103" s="1077"/>
      <c r="C103" s="1078"/>
      <c r="D103" s="912"/>
    </row>
    <row r="104" spans="1:7" x14ac:dyDescent="0.25">
      <c r="A104" s="1073" t="s">
        <v>6784</v>
      </c>
      <c r="B104" s="1074" t="s">
        <v>6737</v>
      </c>
      <c r="C104" s="1079" t="s">
        <v>6785</v>
      </c>
      <c r="D104" s="912"/>
    </row>
    <row r="105" spans="1:7" x14ac:dyDescent="0.25">
      <c r="A105" s="767" t="s">
        <v>4685</v>
      </c>
      <c r="B105" s="768"/>
      <c r="C105" s="770"/>
      <c r="D105" s="912"/>
      <c r="G105" s="29"/>
    </row>
    <row r="106" spans="1:7" x14ac:dyDescent="0.25">
      <c r="A106" s="1441" t="s">
        <v>1982</v>
      </c>
      <c r="B106" s="1441" t="s">
        <v>4660</v>
      </c>
      <c r="C106" s="764" t="s">
        <v>4686</v>
      </c>
      <c r="D106" s="912"/>
    </row>
    <row r="107" spans="1:7" ht="22.8" x14ac:dyDescent="0.25">
      <c r="A107" s="1442"/>
      <c r="B107" s="1442"/>
      <c r="C107" s="764" t="s">
        <v>4687</v>
      </c>
      <c r="D107" s="912"/>
    </row>
    <row r="108" spans="1:7" x14ac:dyDescent="0.25">
      <c r="A108" s="1443"/>
      <c r="B108" s="1443"/>
      <c r="C108" s="764" t="s">
        <v>4688</v>
      </c>
      <c r="D108" s="912"/>
    </row>
    <row r="109" spans="1:7" ht="22.8" x14ac:dyDescent="0.25">
      <c r="A109" s="1441" t="s">
        <v>4662</v>
      </c>
      <c r="B109" s="1441" t="s">
        <v>4661</v>
      </c>
      <c r="C109" s="764" t="s">
        <v>4689</v>
      </c>
      <c r="D109" s="912"/>
    </row>
    <row r="110" spans="1:7" ht="22.8" x14ac:dyDescent="0.25">
      <c r="A110" s="1442"/>
      <c r="B110" s="1442"/>
      <c r="C110" s="764" t="s">
        <v>4690</v>
      </c>
      <c r="D110" s="912"/>
    </row>
    <row r="111" spans="1:7" ht="22.8" x14ac:dyDescent="0.25">
      <c r="A111" s="1443"/>
      <c r="B111" s="1443"/>
      <c r="C111" s="764" t="s">
        <v>4691</v>
      </c>
      <c r="D111" s="912"/>
    </row>
    <row r="115" spans="1:6" ht="15.6" x14ac:dyDescent="0.25">
      <c r="A115" s="418" t="s">
        <v>6571</v>
      </c>
      <c r="C115" s="418"/>
    </row>
    <row r="116" spans="1:6" ht="15.6" x14ac:dyDescent="0.25">
      <c r="A116" s="1" t="s">
        <v>3247</v>
      </c>
      <c r="B116" t="s">
        <v>2014</v>
      </c>
      <c r="C116" s="418"/>
      <c r="D116"/>
      <c r="F116"/>
    </row>
    <row r="117" spans="1:6" ht="15.6" x14ac:dyDescent="0.25">
      <c r="A117" s="1" t="s">
        <v>697</v>
      </c>
      <c r="B117" t="s">
        <v>2012</v>
      </c>
      <c r="C117" s="418"/>
      <c r="D117"/>
      <c r="F117"/>
    </row>
    <row r="118" spans="1:6" ht="15.6" x14ac:dyDescent="0.25">
      <c r="A118" s="1" t="s">
        <v>699</v>
      </c>
      <c r="B118" t="s">
        <v>1985</v>
      </c>
      <c r="C118" s="418"/>
      <c r="D118"/>
      <c r="F118"/>
    </row>
    <row r="119" spans="1:6" ht="15.6" x14ac:dyDescent="0.25">
      <c r="A119" s="1" t="s">
        <v>701</v>
      </c>
      <c r="B119" t="s">
        <v>1983</v>
      </c>
      <c r="C119" s="418"/>
      <c r="D119"/>
      <c r="F119"/>
    </row>
    <row r="120" spans="1:6" ht="15.6" x14ac:dyDescent="0.25">
      <c r="A120" s="1" t="s">
        <v>632</v>
      </c>
      <c r="B120" t="s">
        <v>1988</v>
      </c>
      <c r="C120" s="418"/>
      <c r="D120"/>
      <c r="F120"/>
    </row>
    <row r="121" spans="1:6" ht="15.6" x14ac:dyDescent="0.25">
      <c r="A121" s="1" t="s">
        <v>724</v>
      </c>
      <c r="B121" t="s">
        <v>2100</v>
      </c>
      <c r="C121" s="418"/>
      <c r="D121"/>
      <c r="F121"/>
    </row>
    <row r="122" spans="1:6" ht="15.6" x14ac:dyDescent="0.25">
      <c r="A122" s="1" t="s">
        <v>617</v>
      </c>
      <c r="B122" t="s">
        <v>2100</v>
      </c>
      <c r="C122" s="418"/>
      <c r="D122"/>
      <c r="F122"/>
    </row>
    <row r="123" spans="1:6" ht="15.6" x14ac:dyDescent="0.25">
      <c r="A123" s="1" t="s">
        <v>618</v>
      </c>
      <c r="B123" t="s">
        <v>6555</v>
      </c>
      <c r="C123" s="418"/>
      <c r="D123"/>
      <c r="F123"/>
    </row>
    <row r="124" spans="1:6" ht="15.6" x14ac:dyDescent="0.25">
      <c r="A124" s="1" t="s">
        <v>615</v>
      </c>
      <c r="B124" t="s">
        <v>2104</v>
      </c>
      <c r="C124" s="418"/>
      <c r="D124"/>
      <c r="F124"/>
    </row>
    <row r="125" spans="1:6" ht="15.6" x14ac:dyDescent="0.25">
      <c r="A125" s="1" t="s">
        <v>616</v>
      </c>
      <c r="B125" t="s">
        <v>2104</v>
      </c>
      <c r="C125" s="418"/>
      <c r="D125"/>
      <c r="F125"/>
    </row>
    <row r="126" spans="1:6" ht="15.6" x14ac:dyDescent="0.25">
      <c r="A126" s="1" t="s">
        <v>709</v>
      </c>
      <c r="B126" t="s">
        <v>2097</v>
      </c>
      <c r="C126" s="418"/>
      <c r="D126"/>
      <c r="F126"/>
    </row>
    <row r="127" spans="1:6" ht="15.6" x14ac:dyDescent="0.25">
      <c r="A127" s="1" t="s">
        <v>711</v>
      </c>
      <c r="B127" t="s">
        <v>2097</v>
      </c>
      <c r="C127" s="418"/>
      <c r="D127"/>
      <c r="F127"/>
    </row>
    <row r="128" spans="1:6" ht="15.6" x14ac:dyDescent="0.25">
      <c r="A128" s="1" t="s">
        <v>614</v>
      </c>
      <c r="B128" t="s">
        <v>6553</v>
      </c>
      <c r="C128" s="418"/>
      <c r="D128"/>
      <c r="F128"/>
    </row>
    <row r="129" spans="1:6" ht="15.6" x14ac:dyDescent="0.25">
      <c r="A129" s="1" t="s">
        <v>712</v>
      </c>
      <c r="B129" t="s">
        <v>2097</v>
      </c>
      <c r="C129" s="418"/>
      <c r="D129"/>
      <c r="F129"/>
    </row>
    <row r="130" spans="1:6" ht="15.6" x14ac:dyDescent="0.25">
      <c r="A130" s="1" t="s">
        <v>4459</v>
      </c>
      <c r="B130" t="s">
        <v>4657</v>
      </c>
      <c r="C130" s="418"/>
      <c r="D130"/>
      <c r="F130"/>
    </row>
    <row r="131" spans="1:6" ht="15.6" x14ac:dyDescent="0.25">
      <c r="A131" s="1" t="s">
        <v>652</v>
      </c>
      <c r="B131" t="s">
        <v>1989</v>
      </c>
      <c r="C131" s="418"/>
      <c r="D131"/>
      <c r="F131"/>
    </row>
    <row r="132" spans="1:6" ht="15.6" x14ac:dyDescent="0.25">
      <c r="A132" s="1" t="s">
        <v>715</v>
      </c>
      <c r="B132" t="s">
        <v>1989</v>
      </c>
      <c r="C132" s="418"/>
      <c r="D132"/>
      <c r="F132"/>
    </row>
    <row r="133" spans="1:6" ht="15.6" x14ac:dyDescent="0.25">
      <c r="A133" s="1" t="s">
        <v>718</v>
      </c>
      <c r="B133" t="s">
        <v>2006</v>
      </c>
      <c r="C133" s="418"/>
      <c r="D133"/>
      <c r="F133"/>
    </row>
    <row r="134" spans="1:6" ht="15.6" x14ac:dyDescent="0.25">
      <c r="A134" s="1" t="s">
        <v>4368</v>
      </c>
      <c r="B134" t="s">
        <v>4650</v>
      </c>
      <c r="C134" s="418"/>
      <c r="D134"/>
      <c r="F134"/>
    </row>
    <row r="135" spans="1:6" ht="15.6" x14ac:dyDescent="0.25">
      <c r="A135" s="1" t="s">
        <v>629</v>
      </c>
      <c r="B135" t="s">
        <v>1976</v>
      </c>
      <c r="C135" s="418"/>
      <c r="D135"/>
      <c r="F135"/>
    </row>
    <row r="136" spans="1:6" ht="15.6" x14ac:dyDescent="0.25">
      <c r="A136" s="1" t="s">
        <v>628</v>
      </c>
      <c r="B136" t="s">
        <v>1976</v>
      </c>
      <c r="C136" s="418"/>
      <c r="D136"/>
      <c r="F136"/>
    </row>
    <row r="137" spans="1:6" ht="15.6" x14ac:dyDescent="0.25">
      <c r="A137" s="1" t="s">
        <v>733</v>
      </c>
      <c r="B137" t="s">
        <v>1976</v>
      </c>
      <c r="C137" s="418"/>
      <c r="D137"/>
      <c r="F137"/>
    </row>
    <row r="138" spans="1:6" ht="15.6" x14ac:dyDescent="0.25">
      <c r="A138" s="1" t="s">
        <v>819</v>
      </c>
      <c r="B138" t="s">
        <v>1976</v>
      </c>
      <c r="C138" s="418"/>
      <c r="D138"/>
      <c r="F138"/>
    </row>
    <row r="139" spans="1:6" ht="15.6" x14ac:dyDescent="0.25">
      <c r="A139" s="1" t="s">
        <v>820</v>
      </c>
      <c r="B139" t="s">
        <v>6558</v>
      </c>
      <c r="C139" s="418"/>
      <c r="D139"/>
      <c r="F139"/>
    </row>
    <row r="140" spans="1:6" ht="15.6" x14ac:dyDescent="0.25">
      <c r="A140" s="1" t="s">
        <v>3096</v>
      </c>
      <c r="B140" t="s">
        <v>4607</v>
      </c>
      <c r="C140" s="418"/>
      <c r="D140"/>
      <c r="F140"/>
    </row>
    <row r="141" spans="1:6" ht="15.6" x14ac:dyDescent="0.25">
      <c r="A141" s="1" t="s">
        <v>630</v>
      </c>
      <c r="B141" t="s">
        <v>2104</v>
      </c>
      <c r="C141" s="418"/>
      <c r="D141"/>
      <c r="F141"/>
    </row>
    <row r="142" spans="1:6" ht="15.6" x14ac:dyDescent="0.25">
      <c r="A142" s="1" t="s">
        <v>734</v>
      </c>
      <c r="B142" t="s">
        <v>1981</v>
      </c>
      <c r="C142" s="418"/>
      <c r="D142"/>
      <c r="F142"/>
    </row>
    <row r="143" spans="1:6" ht="15.6" x14ac:dyDescent="0.25">
      <c r="A143" s="1" t="s">
        <v>650</v>
      </c>
      <c r="B143" t="s">
        <v>2014</v>
      </c>
      <c r="C143" s="418"/>
      <c r="D143"/>
      <c r="F143"/>
    </row>
    <row r="144" spans="1:6" ht="15.6" x14ac:dyDescent="0.25">
      <c r="A144" s="1" t="s">
        <v>622</v>
      </c>
      <c r="B144" t="s">
        <v>2003</v>
      </c>
      <c r="C144" s="418"/>
      <c r="D144"/>
      <c r="F144"/>
    </row>
    <row r="145" spans="1:6" ht="15.6" x14ac:dyDescent="0.25">
      <c r="A145" s="1" t="s">
        <v>739</v>
      </c>
      <c r="B145" t="s">
        <v>1981</v>
      </c>
      <c r="C145" s="418"/>
      <c r="D145"/>
      <c r="F145"/>
    </row>
    <row r="146" spans="1:6" ht="15.6" x14ac:dyDescent="0.25">
      <c r="A146" s="1" t="s">
        <v>625</v>
      </c>
      <c r="B146" t="s">
        <v>6556</v>
      </c>
      <c r="C146" s="418"/>
      <c r="D146"/>
      <c r="F146"/>
    </row>
    <row r="147" spans="1:6" ht="15.6" x14ac:dyDescent="0.25">
      <c r="A147" s="1" t="s">
        <v>626</v>
      </c>
      <c r="B147" t="s">
        <v>6290</v>
      </c>
      <c r="C147" s="418"/>
      <c r="D147"/>
      <c r="F147"/>
    </row>
    <row r="148" spans="1:6" ht="15.6" x14ac:dyDescent="0.25">
      <c r="A148" s="1" t="s">
        <v>624</v>
      </c>
      <c r="B148" t="s">
        <v>6550</v>
      </c>
      <c r="C148" s="418"/>
      <c r="D148"/>
      <c r="F148"/>
    </row>
    <row r="149" spans="1:6" ht="15.6" x14ac:dyDescent="0.25">
      <c r="A149" s="1" t="s">
        <v>623</v>
      </c>
      <c r="B149" t="s">
        <v>6558</v>
      </c>
      <c r="C149" s="418"/>
      <c r="D149"/>
      <c r="F149"/>
    </row>
    <row r="150" spans="1:6" ht="15.6" x14ac:dyDescent="0.25">
      <c r="A150" s="1" t="s">
        <v>1060</v>
      </c>
      <c r="B150" t="s">
        <v>6556</v>
      </c>
      <c r="C150" s="418"/>
      <c r="D150"/>
      <c r="F150"/>
    </row>
    <row r="151" spans="1:6" ht="15.6" x14ac:dyDescent="0.25">
      <c r="A151" s="1" t="s">
        <v>627</v>
      </c>
      <c r="B151" t="s">
        <v>1979</v>
      </c>
      <c r="C151" s="418"/>
      <c r="D151"/>
      <c r="F151"/>
    </row>
    <row r="152" spans="1:6" ht="15.6" x14ac:dyDescent="0.25">
      <c r="A152" s="1" t="s">
        <v>619</v>
      </c>
      <c r="B152" t="s">
        <v>1984</v>
      </c>
      <c r="C152" s="418"/>
      <c r="D152"/>
      <c r="F152"/>
    </row>
    <row r="153" spans="1:6" ht="15.6" x14ac:dyDescent="0.25">
      <c r="A153" s="1" t="s">
        <v>633</v>
      </c>
      <c r="B153" t="s">
        <v>6286</v>
      </c>
      <c r="C153" s="418"/>
      <c r="D153"/>
      <c r="F153"/>
    </row>
    <row r="154" spans="1:6" ht="15.6" x14ac:dyDescent="0.25">
      <c r="A154" s="1" t="s">
        <v>620</v>
      </c>
      <c r="B154" t="s">
        <v>1986</v>
      </c>
      <c r="C154" s="418"/>
      <c r="D154"/>
      <c r="F154"/>
    </row>
    <row r="155" spans="1:6" ht="15.6" x14ac:dyDescent="0.25">
      <c r="A155" s="1" t="s">
        <v>755</v>
      </c>
      <c r="B155" t="s">
        <v>1987</v>
      </c>
      <c r="C155" s="418"/>
      <c r="D155"/>
      <c r="F155"/>
    </row>
    <row r="156" spans="1:6" ht="15.6" x14ac:dyDescent="0.25">
      <c r="A156" s="1" t="s">
        <v>621</v>
      </c>
      <c r="B156" t="s">
        <v>6550</v>
      </c>
      <c r="C156" s="418"/>
      <c r="D156"/>
      <c r="F156"/>
    </row>
    <row r="157" spans="1:6" ht="15.6" x14ac:dyDescent="0.25">
      <c r="A157" s="1" t="s">
        <v>634</v>
      </c>
      <c r="B157" t="s">
        <v>1984</v>
      </c>
      <c r="C157" s="418"/>
      <c r="D157"/>
      <c r="F157"/>
    </row>
    <row r="158" spans="1:6" ht="15.6" x14ac:dyDescent="0.25">
      <c r="A158" s="1" t="s">
        <v>651</v>
      </c>
      <c r="B158" t="s">
        <v>4621</v>
      </c>
      <c r="C158" s="418"/>
      <c r="D158"/>
      <c r="F158"/>
    </row>
    <row r="159" spans="1:6" ht="15.6" x14ac:dyDescent="0.25">
      <c r="A159" s="1" t="s">
        <v>751</v>
      </c>
      <c r="B159" t="s">
        <v>2007</v>
      </c>
      <c r="C159" s="418"/>
      <c r="D159"/>
      <c r="F159"/>
    </row>
    <row r="160" spans="1:6" ht="15.6" x14ac:dyDescent="0.25">
      <c r="A160" s="1" t="s">
        <v>754</v>
      </c>
      <c r="B160" t="s">
        <v>6288</v>
      </c>
      <c r="C160" s="418"/>
      <c r="D160"/>
      <c r="F160"/>
    </row>
    <row r="161" spans="1:6" ht="15.6" x14ac:dyDescent="0.25">
      <c r="A161" s="1" t="s">
        <v>753</v>
      </c>
      <c r="B161" t="s">
        <v>2007</v>
      </c>
      <c r="C161" s="418"/>
      <c r="D161"/>
      <c r="F161"/>
    </row>
    <row r="162" spans="1:6" ht="15.6" x14ac:dyDescent="0.25">
      <c r="A162" s="1" t="s">
        <v>637</v>
      </c>
      <c r="B162" t="s">
        <v>2006</v>
      </c>
      <c r="C162" s="418"/>
      <c r="D162"/>
      <c r="F162"/>
    </row>
    <row r="163" spans="1:6" ht="15.6" x14ac:dyDescent="0.25">
      <c r="A163" s="1" t="s">
        <v>635</v>
      </c>
      <c r="B163" t="s">
        <v>2006</v>
      </c>
      <c r="C163" s="418"/>
      <c r="D163"/>
      <c r="F163"/>
    </row>
    <row r="164" spans="1:6" ht="15.6" x14ac:dyDescent="0.25">
      <c r="A164" s="1" t="s">
        <v>636</v>
      </c>
      <c r="B164" t="s">
        <v>2006</v>
      </c>
      <c r="C164" s="418"/>
      <c r="D164"/>
      <c r="F164"/>
    </row>
    <row r="165" spans="1:6" ht="15.6" x14ac:dyDescent="0.25">
      <c r="A165" s="1" t="s">
        <v>762</v>
      </c>
      <c r="B165" t="s">
        <v>1992</v>
      </c>
      <c r="C165" s="418"/>
      <c r="D165"/>
      <c r="F165"/>
    </row>
    <row r="166" spans="1:6" ht="15.6" x14ac:dyDescent="0.25">
      <c r="A166" s="1" t="s">
        <v>763</v>
      </c>
      <c r="B166" t="s">
        <v>1999</v>
      </c>
      <c r="C166" s="418"/>
      <c r="D166"/>
      <c r="F166"/>
    </row>
    <row r="167" spans="1:6" ht="15.6" x14ac:dyDescent="0.25">
      <c r="A167" s="1" t="s">
        <v>638</v>
      </c>
      <c r="B167" t="s">
        <v>1980</v>
      </c>
      <c r="C167" s="418"/>
      <c r="D167"/>
      <c r="F167"/>
    </row>
    <row r="168" spans="1:6" ht="15.6" x14ac:dyDescent="0.25">
      <c r="A168" s="1" t="s">
        <v>639</v>
      </c>
      <c r="B168" t="s">
        <v>1977</v>
      </c>
      <c r="C168" s="418"/>
      <c r="D168"/>
      <c r="F168"/>
    </row>
    <row r="169" spans="1:6" ht="15.6" x14ac:dyDescent="0.25">
      <c r="A169" s="1" t="s">
        <v>4391</v>
      </c>
      <c r="B169" t="s">
        <v>4656</v>
      </c>
      <c r="C169" s="418"/>
      <c r="D169"/>
      <c r="F169"/>
    </row>
    <row r="170" spans="1:6" ht="15.6" x14ac:dyDescent="0.25">
      <c r="A170" s="1" t="s">
        <v>4626</v>
      </c>
      <c r="B170" t="s">
        <v>1979</v>
      </c>
      <c r="C170" s="418"/>
      <c r="D170"/>
      <c r="F170"/>
    </row>
    <row r="171" spans="1:6" ht="15.6" x14ac:dyDescent="0.25">
      <c r="A171" s="1" t="s">
        <v>640</v>
      </c>
      <c r="B171" t="s">
        <v>1975</v>
      </c>
      <c r="C171" s="418"/>
      <c r="D171"/>
      <c r="F171"/>
    </row>
    <row r="172" spans="1:6" ht="15.6" x14ac:dyDescent="0.25">
      <c r="A172" s="1" t="s">
        <v>641</v>
      </c>
      <c r="B172" t="s">
        <v>1973</v>
      </c>
      <c r="C172" s="418"/>
      <c r="D172"/>
      <c r="F172"/>
    </row>
    <row r="173" spans="1:6" ht="15.6" x14ac:dyDescent="0.25">
      <c r="A173" s="1" t="s">
        <v>643</v>
      </c>
      <c r="B173" t="s">
        <v>4621</v>
      </c>
      <c r="C173" s="418"/>
      <c r="D173"/>
      <c r="F173"/>
    </row>
    <row r="174" spans="1:6" ht="15.6" x14ac:dyDescent="0.25">
      <c r="A174" s="1" t="s">
        <v>4640</v>
      </c>
      <c r="B174" t="s">
        <v>6550</v>
      </c>
      <c r="C174" s="418"/>
      <c r="D174"/>
      <c r="F174"/>
    </row>
    <row r="175" spans="1:6" ht="15.6" x14ac:dyDescent="0.25">
      <c r="A175" s="1" t="s">
        <v>698</v>
      </c>
      <c r="B175" t="s">
        <v>1986</v>
      </c>
      <c r="C175" s="418"/>
      <c r="D175"/>
      <c r="F175"/>
    </row>
    <row r="176" spans="1:6" ht="15.6" x14ac:dyDescent="0.25">
      <c r="A176" s="1" t="s">
        <v>700</v>
      </c>
      <c r="B176" t="s">
        <v>1987</v>
      </c>
      <c r="C176" s="418"/>
      <c r="D176"/>
      <c r="F176"/>
    </row>
    <row r="177" spans="1:6" ht="15.6" x14ac:dyDescent="0.25">
      <c r="A177" s="1" t="s">
        <v>4476</v>
      </c>
      <c r="B177" t="s">
        <v>4621</v>
      </c>
      <c r="C177" s="418"/>
      <c r="D177"/>
      <c r="F177"/>
    </row>
    <row r="178" spans="1:6" ht="15.6" x14ac:dyDescent="0.25">
      <c r="A178" s="1" t="s">
        <v>769</v>
      </c>
      <c r="B178" t="s">
        <v>1978</v>
      </c>
      <c r="C178" s="418"/>
      <c r="D178"/>
      <c r="F178"/>
    </row>
    <row r="179" spans="1:6" ht="15.6" x14ac:dyDescent="0.25">
      <c r="A179" s="1" t="s">
        <v>770</v>
      </c>
      <c r="B179" t="s">
        <v>1978</v>
      </c>
      <c r="C179" s="418"/>
      <c r="D179"/>
      <c r="F179"/>
    </row>
    <row r="180" spans="1:6" ht="15.6" x14ac:dyDescent="0.25">
      <c r="A180" s="1" t="s">
        <v>771</v>
      </c>
      <c r="B180" t="s">
        <v>1978</v>
      </c>
      <c r="C180" s="418"/>
      <c r="D180"/>
      <c r="F180"/>
    </row>
    <row r="181" spans="1:6" ht="15.6" x14ac:dyDescent="0.25">
      <c r="A181" s="1" t="s">
        <v>4591</v>
      </c>
      <c r="B181" t="s">
        <v>1978</v>
      </c>
      <c r="C181" s="418"/>
      <c r="D181"/>
      <c r="F181"/>
    </row>
    <row r="182" spans="1:6" ht="15.6" x14ac:dyDescent="0.25">
      <c r="A182" s="1" t="s">
        <v>1607</v>
      </c>
      <c r="B182" t="s">
        <v>1993</v>
      </c>
      <c r="C182" s="418"/>
      <c r="D182"/>
      <c r="F182"/>
    </row>
    <row r="183" spans="1:6" ht="15.6" x14ac:dyDescent="0.25">
      <c r="A183" s="1" t="s">
        <v>1608</v>
      </c>
      <c r="B183" t="s">
        <v>2002</v>
      </c>
      <c r="C183" s="418"/>
      <c r="D183"/>
      <c r="F183"/>
    </row>
    <row r="184" spans="1:6" ht="15.6" x14ac:dyDescent="0.25">
      <c r="A184" s="1" t="s">
        <v>3087</v>
      </c>
      <c r="B184" t="s">
        <v>3100</v>
      </c>
      <c r="C184" s="418"/>
      <c r="D184"/>
      <c r="F184"/>
    </row>
    <row r="185" spans="1:6" ht="15.6" x14ac:dyDescent="0.25">
      <c r="A185" s="1" t="s">
        <v>1610</v>
      </c>
      <c r="B185" t="s">
        <v>1993</v>
      </c>
      <c r="C185" s="418"/>
      <c r="D185"/>
      <c r="F185"/>
    </row>
    <row r="186" spans="1:6" ht="15.6" x14ac:dyDescent="0.25">
      <c r="A186" s="1" t="s">
        <v>1611</v>
      </c>
      <c r="B186" t="s">
        <v>1990</v>
      </c>
      <c r="C186" s="418"/>
      <c r="D186"/>
      <c r="F186"/>
    </row>
    <row r="187" spans="1:6" ht="15.6" x14ac:dyDescent="0.25">
      <c r="A187" s="1" t="s">
        <v>644</v>
      </c>
      <c r="B187" t="s">
        <v>2109</v>
      </c>
      <c r="C187" s="418"/>
      <c r="D187"/>
      <c r="F187"/>
    </row>
    <row r="188" spans="1:6" ht="15.6" x14ac:dyDescent="0.25">
      <c r="A188" s="1" t="s">
        <v>645</v>
      </c>
      <c r="B188" t="s">
        <v>1989</v>
      </c>
      <c r="C188" s="418"/>
      <c r="D188"/>
      <c r="F188"/>
    </row>
    <row r="189" spans="1:6" ht="15.6" x14ac:dyDescent="0.25">
      <c r="A189" s="1" t="s">
        <v>4601</v>
      </c>
      <c r="B189" t="s">
        <v>2004</v>
      </c>
      <c r="C189" s="418"/>
      <c r="D189"/>
      <c r="F189"/>
    </row>
    <row r="190" spans="1:6" ht="15.6" x14ac:dyDescent="0.25">
      <c r="A190" s="1" t="s">
        <v>646</v>
      </c>
      <c r="B190" t="s">
        <v>1974</v>
      </c>
      <c r="C190" s="418"/>
      <c r="D190"/>
      <c r="F190"/>
    </row>
    <row r="191" spans="1:6" ht="15.6" x14ac:dyDescent="0.25">
      <c r="A191" s="1" t="s">
        <v>647</v>
      </c>
      <c r="B191" t="s">
        <v>2000</v>
      </c>
      <c r="C191" s="418"/>
      <c r="D191"/>
      <c r="F191"/>
    </row>
    <row r="192" spans="1:6" ht="15.6" x14ac:dyDescent="0.25">
      <c r="A192" s="1" t="s">
        <v>648</v>
      </c>
      <c r="B192" t="s">
        <v>2004</v>
      </c>
      <c r="C192" s="418"/>
      <c r="D192"/>
      <c r="F192"/>
    </row>
    <row r="193" spans="1:6" ht="15.6" x14ac:dyDescent="0.25">
      <c r="A193" s="1" t="s">
        <v>649</v>
      </c>
      <c r="B193" t="s">
        <v>2003</v>
      </c>
      <c r="C193" s="418"/>
      <c r="D193"/>
      <c r="F193"/>
    </row>
    <row r="194" spans="1:6" ht="15.6" x14ac:dyDescent="0.25">
      <c r="A194" s="1" t="s">
        <v>795</v>
      </c>
      <c r="B194" t="s">
        <v>2111</v>
      </c>
      <c r="C194" s="418"/>
      <c r="D194"/>
      <c r="F194"/>
    </row>
    <row r="195" spans="1:6" ht="15.6" x14ac:dyDescent="0.25">
      <c r="A195" s="1" t="s">
        <v>2152</v>
      </c>
      <c r="B195" t="s">
        <v>2003</v>
      </c>
      <c r="C195" s="418"/>
      <c r="D195"/>
      <c r="F195"/>
    </row>
    <row r="196" spans="1:6" ht="15.6" x14ac:dyDescent="0.25">
      <c r="A196" s="1" t="s">
        <v>4461</v>
      </c>
      <c r="B196" t="s">
        <v>2003</v>
      </c>
      <c r="C196" s="418"/>
      <c r="D196"/>
      <c r="F196"/>
    </row>
    <row r="197" spans="1:6" ht="15.6" x14ac:dyDescent="0.25">
      <c r="A197" s="1" t="s">
        <v>2165</v>
      </c>
      <c r="B197" t="s">
        <v>2181</v>
      </c>
      <c r="C197" s="418"/>
      <c r="D197"/>
      <c r="F197"/>
    </row>
    <row r="198" spans="1:6" ht="15.6" x14ac:dyDescent="0.25">
      <c r="A198" s="1" t="s">
        <v>780</v>
      </c>
      <c r="B198" t="s">
        <v>6556</v>
      </c>
      <c r="C198" s="418"/>
      <c r="D198"/>
      <c r="F198"/>
    </row>
    <row r="199" spans="1:6" ht="15.6" x14ac:dyDescent="0.25">
      <c r="A199" s="1" t="s">
        <v>790</v>
      </c>
      <c r="B199" t="s">
        <v>2005</v>
      </c>
      <c r="C199" s="418"/>
      <c r="D199"/>
      <c r="F199"/>
    </row>
    <row r="200" spans="1:6" ht="15.6" x14ac:dyDescent="0.25">
      <c r="A200" s="1" t="s">
        <v>791</v>
      </c>
      <c r="B200" t="s">
        <v>6290</v>
      </c>
      <c r="C200" s="418"/>
      <c r="D200"/>
      <c r="F200"/>
    </row>
    <row r="201" spans="1:6" ht="15.6" x14ac:dyDescent="0.25">
      <c r="A201" s="1" t="s">
        <v>797</v>
      </c>
      <c r="B201" t="s">
        <v>1982</v>
      </c>
      <c r="C201" s="418"/>
      <c r="D201"/>
      <c r="F201"/>
    </row>
    <row r="202" spans="1:6" ht="15.6" x14ac:dyDescent="0.25">
      <c r="A202" s="1" t="s">
        <v>799</v>
      </c>
      <c r="B202" t="s">
        <v>1982</v>
      </c>
      <c r="C202" s="418"/>
      <c r="D202"/>
      <c r="F202"/>
    </row>
    <row r="203" spans="1:6" ht="15.6" x14ac:dyDescent="0.25">
      <c r="A203" s="1" t="s">
        <v>800</v>
      </c>
      <c r="B203" t="s">
        <v>1982</v>
      </c>
      <c r="C203" s="418"/>
      <c r="D203"/>
      <c r="F203"/>
    </row>
    <row r="204" spans="1:6" ht="15.6" x14ac:dyDescent="0.25">
      <c r="A204" s="1" t="s">
        <v>807</v>
      </c>
      <c r="B204" t="s">
        <v>4662</v>
      </c>
      <c r="C204" s="418"/>
      <c r="D204"/>
      <c r="F204"/>
    </row>
    <row r="205" spans="1:6" x14ac:dyDescent="0.25">
      <c r="A205" s="1" t="s">
        <v>808</v>
      </c>
      <c r="B205" t="s">
        <v>4662</v>
      </c>
      <c r="C205" s="913"/>
      <c r="D205"/>
      <c r="F205"/>
    </row>
    <row r="206" spans="1:6" x14ac:dyDescent="0.25">
      <c r="A206" s="1" t="s">
        <v>810</v>
      </c>
      <c r="B206" t="s">
        <v>4662</v>
      </c>
      <c r="C206" s="913"/>
      <c r="D206"/>
      <c r="F206"/>
    </row>
    <row r="207" spans="1:6" x14ac:dyDescent="0.25">
      <c r="A207" s="1"/>
      <c r="B207"/>
      <c r="C207" s="16"/>
      <c r="D207"/>
      <c r="F207"/>
    </row>
    <row r="208" spans="1:6" x14ac:dyDescent="0.25">
      <c r="A208" s="1"/>
      <c r="B208"/>
      <c r="C208" s="16"/>
      <c r="D208"/>
      <c r="F208"/>
    </row>
    <row r="209" spans="1:6" x14ac:dyDescent="0.25">
      <c r="A209" s="1"/>
      <c r="B209"/>
      <c r="C209" s="16"/>
      <c r="D209"/>
      <c r="F209"/>
    </row>
    <row r="210" spans="1:6" x14ac:dyDescent="0.25">
      <c r="A210" s="1"/>
      <c r="B210"/>
      <c r="C210" s="16"/>
      <c r="D210"/>
      <c r="F210"/>
    </row>
    <row r="211" spans="1:6" x14ac:dyDescent="0.25">
      <c r="A211" s="1"/>
      <c r="B211"/>
      <c r="C211" s="16"/>
      <c r="D211"/>
      <c r="F211"/>
    </row>
    <row r="212" spans="1:6" x14ac:dyDescent="0.25">
      <c r="A212" s="1"/>
      <c r="B212"/>
      <c r="C212" s="16"/>
      <c r="D212"/>
      <c r="F212"/>
    </row>
    <row r="213" spans="1:6" x14ac:dyDescent="0.25">
      <c r="A213" s="1"/>
      <c r="B213"/>
      <c r="C213" s="16"/>
      <c r="D213"/>
      <c r="F213"/>
    </row>
    <row r="214" spans="1:6" x14ac:dyDescent="0.25">
      <c r="A214" s="1"/>
      <c r="B214"/>
      <c r="C214" s="16"/>
      <c r="D214"/>
      <c r="F214"/>
    </row>
    <row r="215" spans="1:6" x14ac:dyDescent="0.25">
      <c r="A215" s="1"/>
      <c r="B215"/>
      <c r="C215" s="16"/>
      <c r="D215"/>
      <c r="F215"/>
    </row>
    <row r="216" spans="1:6" x14ac:dyDescent="0.25">
      <c r="A216" s="1"/>
      <c r="B216"/>
      <c r="C216" s="16"/>
      <c r="D216"/>
      <c r="F216"/>
    </row>
    <row r="217" spans="1:6" x14ac:dyDescent="0.25">
      <c r="A217" s="1"/>
      <c r="B217"/>
      <c r="C217" s="16"/>
      <c r="D217"/>
      <c r="F217"/>
    </row>
    <row r="218" spans="1:6" x14ac:dyDescent="0.25">
      <c r="A218" s="1"/>
      <c r="B218"/>
      <c r="C218" s="16"/>
      <c r="D218"/>
      <c r="F218"/>
    </row>
    <row r="219" spans="1:6" x14ac:dyDescent="0.25">
      <c r="A219" s="1"/>
      <c r="B219"/>
      <c r="C219" s="16"/>
      <c r="D219"/>
      <c r="F219"/>
    </row>
    <row r="220" spans="1:6" x14ac:dyDescent="0.25">
      <c r="A220" s="1"/>
      <c r="B220"/>
      <c r="C220" s="16"/>
      <c r="D220"/>
      <c r="F220"/>
    </row>
    <row r="221" spans="1:6" x14ac:dyDescent="0.25">
      <c r="A221" s="1"/>
      <c r="B221"/>
      <c r="C221" s="16"/>
      <c r="D221"/>
      <c r="F221"/>
    </row>
    <row r="222" spans="1:6" x14ac:dyDescent="0.25">
      <c r="A222" s="1"/>
      <c r="B222"/>
      <c r="C222" s="16"/>
      <c r="D222"/>
      <c r="F222"/>
    </row>
    <row r="223" spans="1:6" x14ac:dyDescent="0.25">
      <c r="A223" s="1"/>
      <c r="B223"/>
      <c r="C223" s="16"/>
      <c r="D223"/>
      <c r="F223"/>
    </row>
    <row r="224" spans="1:6" x14ac:dyDescent="0.25">
      <c r="A224" s="1"/>
      <c r="B224"/>
      <c r="C224" s="16"/>
      <c r="D224"/>
      <c r="F224"/>
    </row>
    <row r="225" spans="1:6" x14ac:dyDescent="0.25">
      <c r="A225" s="1"/>
      <c r="B225"/>
      <c r="C225" s="16"/>
      <c r="D225"/>
      <c r="F225"/>
    </row>
    <row r="226" spans="1:6" x14ac:dyDescent="0.25">
      <c r="A226" s="1"/>
      <c r="B226"/>
      <c r="C226" s="16"/>
      <c r="D226"/>
      <c r="F226"/>
    </row>
    <row r="227" spans="1:6" x14ac:dyDescent="0.25">
      <c r="A227" s="1"/>
      <c r="B227"/>
      <c r="C227" s="16"/>
      <c r="D227"/>
      <c r="F227"/>
    </row>
    <row r="228" spans="1:6" x14ac:dyDescent="0.25">
      <c r="A228" s="1"/>
      <c r="B228"/>
      <c r="C228" s="16"/>
      <c r="D228"/>
      <c r="F228"/>
    </row>
    <row r="229" spans="1:6" x14ac:dyDescent="0.25">
      <c r="A229" s="1"/>
      <c r="B229"/>
      <c r="C229" s="16"/>
      <c r="D229"/>
      <c r="F229"/>
    </row>
    <row r="230" spans="1:6" x14ac:dyDescent="0.25">
      <c r="A230" s="1"/>
      <c r="B230"/>
      <c r="C230" s="16"/>
      <c r="D230"/>
      <c r="F230"/>
    </row>
    <row r="231" spans="1:6" x14ac:dyDescent="0.25">
      <c r="A231" s="1"/>
      <c r="B231"/>
      <c r="C231" s="16"/>
      <c r="D231"/>
      <c r="F231"/>
    </row>
    <row r="232" spans="1:6" x14ac:dyDescent="0.25">
      <c r="A232" s="1"/>
      <c r="B232"/>
      <c r="C232" s="16"/>
      <c r="D232"/>
      <c r="F232"/>
    </row>
    <row r="233" spans="1:6" x14ac:dyDescent="0.25">
      <c r="A233" s="1"/>
      <c r="B233"/>
      <c r="C233" s="16"/>
      <c r="D233"/>
      <c r="F233"/>
    </row>
    <row r="234" spans="1:6" x14ac:dyDescent="0.25">
      <c r="A234" s="1"/>
      <c r="B234"/>
      <c r="C234" s="16"/>
      <c r="D234"/>
      <c r="F234"/>
    </row>
    <row r="235" spans="1:6" x14ac:dyDescent="0.25">
      <c r="A235" s="1"/>
      <c r="B235"/>
      <c r="C235" s="16"/>
      <c r="D235"/>
      <c r="F235"/>
    </row>
    <row r="236" spans="1:6" x14ac:dyDescent="0.25">
      <c r="A236" s="1"/>
      <c r="B236"/>
      <c r="C236" s="16"/>
      <c r="D236"/>
      <c r="F236"/>
    </row>
    <row r="237" spans="1:6" x14ac:dyDescent="0.25">
      <c r="A237" s="1"/>
      <c r="B237"/>
      <c r="C237" s="16"/>
      <c r="D237"/>
      <c r="F237"/>
    </row>
    <row r="238" spans="1:6" x14ac:dyDescent="0.25">
      <c r="A238" s="1"/>
      <c r="B238"/>
      <c r="C238" s="16"/>
      <c r="D238"/>
      <c r="F238"/>
    </row>
    <row r="239" spans="1:6" x14ac:dyDescent="0.25">
      <c r="A239" s="1"/>
      <c r="B239"/>
      <c r="C239" s="16"/>
      <c r="D239"/>
      <c r="F239"/>
    </row>
    <row r="240" spans="1:6" x14ac:dyDescent="0.25">
      <c r="A240" s="1"/>
      <c r="B240"/>
      <c r="C240" s="16"/>
      <c r="D240"/>
      <c r="F240"/>
    </row>
    <row r="241" spans="1:6" x14ac:dyDescent="0.25">
      <c r="A241" s="1"/>
      <c r="B241"/>
      <c r="C241" s="16"/>
      <c r="D241"/>
      <c r="F241"/>
    </row>
    <row r="242" spans="1:6" x14ac:dyDescent="0.25">
      <c r="A242" s="1"/>
      <c r="B242"/>
      <c r="C242" s="16"/>
      <c r="D242"/>
      <c r="F242"/>
    </row>
    <row r="243" spans="1:6" x14ac:dyDescent="0.25">
      <c r="A243" s="1"/>
      <c r="B243"/>
      <c r="C243" s="16"/>
      <c r="D243"/>
      <c r="F243"/>
    </row>
    <row r="244" spans="1:6" x14ac:dyDescent="0.25">
      <c r="A244" s="1"/>
      <c r="B244"/>
      <c r="C244" s="16"/>
      <c r="D244"/>
      <c r="F244"/>
    </row>
    <row r="245" spans="1:6" x14ac:dyDescent="0.25">
      <c r="A245" s="1"/>
      <c r="B245"/>
      <c r="C245" s="16"/>
      <c r="D245"/>
      <c r="F245"/>
    </row>
    <row r="246" spans="1:6" x14ac:dyDescent="0.25">
      <c r="A246" s="1"/>
      <c r="B246"/>
      <c r="C246" s="16"/>
      <c r="D246"/>
      <c r="F246"/>
    </row>
    <row r="247" spans="1:6" x14ac:dyDescent="0.25">
      <c r="A247" s="1"/>
      <c r="B247"/>
      <c r="C247" s="16"/>
      <c r="D247"/>
      <c r="F247"/>
    </row>
    <row r="248" spans="1:6" x14ac:dyDescent="0.25">
      <c r="A248" s="1"/>
      <c r="B248"/>
      <c r="C248" s="16"/>
      <c r="D248"/>
      <c r="F248"/>
    </row>
    <row r="249" spans="1:6" x14ac:dyDescent="0.25">
      <c r="A249" s="1"/>
      <c r="B249"/>
      <c r="C249" s="16"/>
      <c r="D249"/>
      <c r="F249"/>
    </row>
    <row r="250" spans="1:6" x14ac:dyDescent="0.25">
      <c r="A250" s="1"/>
      <c r="B250"/>
      <c r="C250" s="16"/>
      <c r="D250"/>
      <c r="F250"/>
    </row>
    <row r="251" spans="1:6" x14ac:dyDescent="0.25">
      <c r="A251" s="1"/>
      <c r="B251"/>
      <c r="C251" s="16"/>
      <c r="D251"/>
      <c r="F251"/>
    </row>
    <row r="252" spans="1:6" x14ac:dyDescent="0.25">
      <c r="A252" s="1"/>
      <c r="B252"/>
      <c r="C252" s="16"/>
      <c r="D252"/>
      <c r="F252"/>
    </row>
    <row r="253" spans="1:6" x14ac:dyDescent="0.25">
      <c r="A253" s="1"/>
      <c r="B253"/>
      <c r="C253" s="16"/>
      <c r="D253"/>
      <c r="F253"/>
    </row>
    <row r="254" spans="1:6" x14ac:dyDescent="0.25">
      <c r="A254" s="1"/>
      <c r="B254"/>
      <c r="C254" s="16"/>
      <c r="D254"/>
      <c r="F254"/>
    </row>
    <row r="255" spans="1:6" x14ac:dyDescent="0.25">
      <c r="A255" s="1"/>
      <c r="B255"/>
      <c r="C255" s="16"/>
      <c r="D255"/>
      <c r="F255"/>
    </row>
    <row r="256" spans="1:6" x14ac:dyDescent="0.25">
      <c r="A256" s="1"/>
      <c r="B256"/>
      <c r="C256" s="16"/>
      <c r="D256"/>
      <c r="F256"/>
    </row>
    <row r="257" spans="1:6" x14ac:dyDescent="0.25">
      <c r="A257" s="1"/>
      <c r="B257"/>
      <c r="C257" s="16"/>
      <c r="D257"/>
      <c r="F257"/>
    </row>
    <row r="258" spans="1:6" x14ac:dyDescent="0.25">
      <c r="A258" s="1"/>
      <c r="B258"/>
      <c r="C258" s="16"/>
      <c r="D258"/>
      <c r="F258"/>
    </row>
    <row r="259" spans="1:6" x14ac:dyDescent="0.25">
      <c r="A259" s="1"/>
      <c r="B259"/>
      <c r="C259" s="16"/>
      <c r="D259"/>
      <c r="F259"/>
    </row>
    <row r="260" spans="1:6" x14ac:dyDescent="0.25">
      <c r="A260" s="1"/>
      <c r="B260"/>
      <c r="C260" s="16"/>
      <c r="D260"/>
      <c r="F260"/>
    </row>
    <row r="261" spans="1:6" x14ac:dyDescent="0.25">
      <c r="A261" s="1"/>
      <c r="B261"/>
      <c r="C261" s="16"/>
      <c r="D261"/>
      <c r="F261"/>
    </row>
    <row r="262" spans="1:6" x14ac:dyDescent="0.25">
      <c r="A262" s="1"/>
      <c r="B262"/>
      <c r="C262" s="16"/>
      <c r="D262"/>
      <c r="F262"/>
    </row>
    <row r="263" spans="1:6" x14ac:dyDescent="0.25">
      <c r="A263" s="1"/>
      <c r="B263"/>
      <c r="C263" s="16"/>
      <c r="D263"/>
      <c r="F263"/>
    </row>
    <row r="264" spans="1:6" x14ac:dyDescent="0.25">
      <c r="A264" s="1"/>
      <c r="B264"/>
      <c r="C264" s="16"/>
      <c r="D264"/>
      <c r="F264"/>
    </row>
    <row r="265" spans="1:6" x14ac:dyDescent="0.25">
      <c r="A265" s="1"/>
      <c r="B265"/>
      <c r="C265" s="16"/>
      <c r="D265"/>
      <c r="F265"/>
    </row>
    <row r="266" spans="1:6" x14ac:dyDescent="0.25">
      <c r="A266" s="1"/>
      <c r="B266"/>
      <c r="C266" s="16"/>
      <c r="D266"/>
      <c r="F266"/>
    </row>
    <row r="267" spans="1:6" x14ac:dyDescent="0.25">
      <c r="A267" s="1"/>
      <c r="B267"/>
      <c r="C267" s="16"/>
      <c r="D267"/>
      <c r="F267"/>
    </row>
    <row r="268" spans="1:6" x14ac:dyDescent="0.25">
      <c r="A268" s="1"/>
      <c r="B268"/>
      <c r="C268" s="16"/>
      <c r="D268"/>
      <c r="F268"/>
    </row>
    <row r="269" spans="1:6" x14ac:dyDescent="0.25">
      <c r="A269" s="1"/>
      <c r="B269"/>
      <c r="C269" s="16"/>
      <c r="D269"/>
      <c r="F269"/>
    </row>
    <row r="270" spans="1:6" x14ac:dyDescent="0.25">
      <c r="A270" s="1"/>
      <c r="B270"/>
      <c r="C270" s="16"/>
      <c r="D270"/>
      <c r="F270"/>
    </row>
    <row r="271" spans="1:6" x14ac:dyDescent="0.25">
      <c r="A271" s="1"/>
      <c r="B271"/>
      <c r="C271" s="16"/>
      <c r="D271"/>
      <c r="F271"/>
    </row>
    <row r="272" spans="1:6" x14ac:dyDescent="0.25">
      <c r="A272" s="1"/>
      <c r="B272"/>
      <c r="C272" s="16"/>
      <c r="D272"/>
      <c r="F272"/>
    </row>
    <row r="273" spans="3:6" x14ac:dyDescent="0.25">
      <c r="C273" s="16"/>
      <c r="D273"/>
      <c r="F273"/>
    </row>
    <row r="274" spans="3:6" x14ac:dyDescent="0.25">
      <c r="C274" s="16"/>
      <c r="D274"/>
      <c r="F274"/>
    </row>
    <row r="275" spans="3:6" x14ac:dyDescent="0.25">
      <c r="C275" s="16"/>
      <c r="D275"/>
      <c r="F275"/>
    </row>
    <row r="276" spans="3:6" x14ac:dyDescent="0.25">
      <c r="D276"/>
      <c r="F276"/>
    </row>
    <row r="277" spans="3:6" x14ac:dyDescent="0.25">
      <c r="D277"/>
      <c r="F277"/>
    </row>
    <row r="278" spans="3:6" x14ac:dyDescent="0.25">
      <c r="D278"/>
      <c r="F278"/>
    </row>
    <row r="279" spans="3:6" x14ac:dyDescent="0.25">
      <c r="D279"/>
      <c r="F279"/>
    </row>
    <row r="280" spans="3:6" x14ac:dyDescent="0.25">
      <c r="D280"/>
      <c r="F280"/>
    </row>
    <row r="281" spans="3:6" x14ac:dyDescent="0.25">
      <c r="D281"/>
      <c r="F281"/>
    </row>
    <row r="282" spans="3:6" x14ac:dyDescent="0.25">
      <c r="D282"/>
      <c r="F282"/>
    </row>
    <row r="283" spans="3:6" x14ac:dyDescent="0.25">
      <c r="D283"/>
      <c r="F283"/>
    </row>
    <row r="284" spans="3:6" x14ac:dyDescent="0.25">
      <c r="D284"/>
      <c r="F284"/>
    </row>
    <row r="285" spans="3:6" x14ac:dyDescent="0.25">
      <c r="D285"/>
    </row>
    <row r="286" spans="3:6" x14ac:dyDescent="0.25">
      <c r="D286"/>
    </row>
    <row r="287" spans="3:6" x14ac:dyDescent="0.25">
      <c r="D287"/>
    </row>
    <row r="288" spans="3:6"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1035" spans="1:32" s="24" customFormat="1" x14ac:dyDescent="0.25">
      <c r="A1035"/>
      <c r="B1035" s="1"/>
      <c r="C1035" s="1"/>
      <c r="D1035" s="1"/>
      <c r="E1035"/>
      <c r="F1035" s="16"/>
      <c r="G1035"/>
      <c r="H1035"/>
      <c r="I1035"/>
      <c r="J1035"/>
      <c r="K1035"/>
      <c r="L1035"/>
      <c r="M1035"/>
      <c r="N1035"/>
      <c r="O1035"/>
      <c r="P1035"/>
      <c r="Q1035"/>
      <c r="R1035"/>
      <c r="S1035"/>
      <c r="T1035"/>
      <c r="U1035"/>
      <c r="V1035"/>
      <c r="W1035"/>
      <c r="X1035"/>
      <c r="Y1035"/>
      <c r="Z1035"/>
      <c r="AA1035"/>
      <c r="AB1035"/>
      <c r="AC1035"/>
      <c r="AD1035"/>
      <c r="AE1035"/>
      <c r="AF1035"/>
    </row>
    <row r="1478" spans="1:32" s="24" customFormat="1" x14ac:dyDescent="0.25">
      <c r="A1478"/>
      <c r="B1478" s="1"/>
      <c r="C1478" s="1"/>
      <c r="D1478" s="1"/>
      <c r="E1478"/>
      <c r="F1478" s="16"/>
      <c r="G1478"/>
      <c r="H1478"/>
      <c r="I1478"/>
      <c r="J1478"/>
      <c r="K1478"/>
      <c r="L1478"/>
      <c r="M1478"/>
      <c r="N1478"/>
      <c r="O1478"/>
      <c r="P1478"/>
      <c r="Q1478"/>
      <c r="R1478"/>
      <c r="S1478"/>
      <c r="T1478"/>
      <c r="U1478"/>
      <c r="V1478"/>
      <c r="W1478"/>
      <c r="X1478"/>
      <c r="Y1478"/>
      <c r="Z1478"/>
      <c r="AA1478"/>
      <c r="AB1478"/>
      <c r="AC1478"/>
      <c r="AD1478"/>
      <c r="AE1478"/>
      <c r="AF1478"/>
    </row>
  </sheetData>
  <sheetProtection sheet="1" objects="1" scenarios="1"/>
  <autoFilter ref="C1:C1476" xr:uid="{00000000-0001-0000-1700-000000000000}"/>
  <sortState xmlns:xlrd2="http://schemas.microsoft.com/office/spreadsheetml/2017/richdata2" ref="A116:B206">
    <sortCondition ref="A116:A206"/>
  </sortState>
  <mergeCells count="47">
    <mergeCell ref="D16:D17"/>
    <mergeCell ref="A56:A57"/>
    <mergeCell ref="B56:B57"/>
    <mergeCell ref="A80:A81"/>
    <mergeCell ref="B80:B81"/>
    <mergeCell ref="A70:A71"/>
    <mergeCell ref="B70:B71"/>
    <mergeCell ref="A59:A61"/>
    <mergeCell ref="B59:B61"/>
    <mergeCell ref="A62:A63"/>
    <mergeCell ref="B62:B63"/>
    <mergeCell ref="B39:B42"/>
    <mergeCell ref="A39:A42"/>
    <mergeCell ref="A49:A50"/>
    <mergeCell ref="B49:B50"/>
    <mergeCell ref="A51:A53"/>
    <mergeCell ref="B35:B36"/>
    <mergeCell ref="A24:A25"/>
    <mergeCell ref="B24:B25"/>
    <mergeCell ref="A31:A33"/>
    <mergeCell ref="B31:B33"/>
    <mergeCell ref="A5:A7"/>
    <mergeCell ref="B5:B7"/>
    <mergeCell ref="A10:A13"/>
    <mergeCell ref="B10:B13"/>
    <mergeCell ref="A87:A90"/>
    <mergeCell ref="B87:B90"/>
    <mergeCell ref="B19:B20"/>
    <mergeCell ref="A19:A20"/>
    <mergeCell ref="A14:A15"/>
    <mergeCell ref="B14:B15"/>
    <mergeCell ref="A16:A18"/>
    <mergeCell ref="B16:B18"/>
    <mergeCell ref="B51:B53"/>
    <mergeCell ref="A22:A23"/>
    <mergeCell ref="B22:B23"/>
    <mergeCell ref="A35:A36"/>
    <mergeCell ref="A106:A108"/>
    <mergeCell ref="B106:B108"/>
    <mergeCell ref="A109:A111"/>
    <mergeCell ref="B109:B111"/>
    <mergeCell ref="A92:A94"/>
    <mergeCell ref="B92:B94"/>
    <mergeCell ref="A97:A98"/>
    <mergeCell ref="B97:B98"/>
    <mergeCell ref="A99:A102"/>
    <mergeCell ref="B99:B102"/>
  </mergeCells>
  <phoneticPr fontId="6" type="noConversion"/>
  <pageMargins left="0.31496062992125984" right="0.31496062992125984" top="0.35433070866141736" bottom="0.35433070866141736" header="0" footer="0"/>
  <pageSetup paperSize="9" orientation="landscape" r:id="rId1"/>
  <rowBreaks count="2" manualBreakCount="2">
    <brk id="28" max="16383" man="1"/>
    <brk id="70"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0">
    <tabColor rgb="FFFF0000"/>
  </sheetPr>
  <dimension ref="A1:S29"/>
  <sheetViews>
    <sheetView workbookViewId="0">
      <selection activeCell="L29" sqref="L29"/>
    </sheetView>
  </sheetViews>
  <sheetFormatPr baseColWidth="10" defaultRowHeight="13.2" x14ac:dyDescent="0.25"/>
  <cols>
    <col min="1" max="1" width="8.33203125" customWidth="1"/>
    <col min="2" max="2" width="71.109375" customWidth="1"/>
    <col min="3" max="3" width="6.6640625" customWidth="1"/>
    <col min="4" max="4" width="3.6640625" customWidth="1"/>
    <col min="5" max="5" width="6.6640625" customWidth="1"/>
    <col min="6" max="6" width="3.6640625" customWidth="1"/>
    <col min="7" max="7" width="6.6640625" customWidth="1"/>
    <col min="8" max="8" width="3.6640625" customWidth="1"/>
    <col min="9" max="9" width="6.6640625" customWidth="1"/>
    <col min="10" max="10" width="3.6640625" customWidth="1"/>
    <col min="11" max="11" width="6.6640625" customWidth="1"/>
    <col min="12" max="12" width="3.6640625" customWidth="1"/>
    <col min="13" max="13" width="6.6640625" customWidth="1"/>
    <col min="14" max="14" width="3.6640625" customWidth="1"/>
    <col min="15" max="15" width="9.88671875" customWidth="1"/>
    <col min="16" max="17" width="15.33203125" customWidth="1"/>
  </cols>
  <sheetData>
    <row r="1" spans="1:19" ht="44.25" customHeight="1" x14ac:dyDescent="0.25">
      <c r="A1" s="469" t="s">
        <v>2263</v>
      </c>
    </row>
    <row r="2" spans="1:19" ht="13.5" customHeight="1" thickBot="1" x14ac:dyDescent="0.3"/>
    <row r="3" spans="1:19" ht="15.6" x14ac:dyDescent="0.25">
      <c r="A3" s="495" t="s">
        <v>6832</v>
      </c>
      <c r="B3" s="1459" t="s">
        <v>2264</v>
      </c>
      <c r="C3" s="1460"/>
      <c r="D3" s="1460"/>
      <c r="E3" s="1460"/>
      <c r="F3" s="1460"/>
      <c r="G3" s="1460"/>
      <c r="H3" s="1460"/>
      <c r="I3" s="1460"/>
      <c r="J3" s="1460"/>
      <c r="K3" s="1460"/>
      <c r="L3" s="1460"/>
      <c r="M3" s="1460"/>
      <c r="N3" s="1460"/>
      <c r="O3" s="1460"/>
      <c r="P3" s="1460"/>
      <c r="Q3" s="1461"/>
    </row>
    <row r="4" spans="1:19" ht="13.8" thickBot="1" x14ac:dyDescent="0.3">
      <c r="A4" s="1467" t="s">
        <v>2265</v>
      </c>
      <c r="B4" s="1465" t="s">
        <v>2266</v>
      </c>
      <c r="C4" s="1462" t="s">
        <v>2267</v>
      </c>
      <c r="D4" s="1463"/>
      <c r="E4" s="1463"/>
      <c r="F4" s="1463"/>
      <c r="G4" s="1463"/>
      <c r="H4" s="1463"/>
      <c r="I4" s="1463"/>
      <c r="J4" s="1463"/>
      <c r="K4" s="1463"/>
      <c r="L4" s="1463"/>
      <c r="M4" s="1463"/>
      <c r="N4" s="1463"/>
      <c r="O4" s="1464"/>
      <c r="P4" s="1476" t="s">
        <v>2268</v>
      </c>
      <c r="Q4" s="1477"/>
    </row>
    <row r="5" spans="1:19" ht="27" thickBot="1" x14ac:dyDescent="0.3">
      <c r="A5" s="1468"/>
      <c r="B5" s="1466"/>
      <c r="C5" s="501"/>
      <c r="D5" s="501"/>
      <c r="E5" s="501"/>
      <c r="F5" s="501"/>
      <c r="G5" s="501"/>
      <c r="H5" s="501"/>
      <c r="I5" s="501"/>
      <c r="J5" s="501"/>
      <c r="K5" s="501"/>
      <c r="L5" s="501"/>
      <c r="M5" s="501"/>
      <c r="N5" s="501"/>
      <c r="O5" s="502" t="s">
        <v>1970</v>
      </c>
      <c r="P5" s="496" t="s">
        <v>2274</v>
      </c>
      <c r="Q5" s="497" t="s">
        <v>2275</v>
      </c>
    </row>
    <row r="6" spans="1:19" ht="15" customHeight="1" x14ac:dyDescent="0.25">
      <c r="A6" s="670"/>
      <c r="B6" s="671"/>
      <c r="C6" s="672"/>
      <c r="D6" s="671"/>
      <c r="E6" s="672"/>
      <c r="F6" s="671"/>
      <c r="G6" s="672"/>
      <c r="H6" s="671"/>
      <c r="I6" s="672"/>
      <c r="J6" s="671"/>
      <c r="K6" s="672"/>
      <c r="L6" s="671"/>
      <c r="M6" s="671"/>
      <c r="N6" s="671"/>
      <c r="O6" s="673"/>
      <c r="P6" s="970"/>
      <c r="Q6" s="968"/>
    </row>
    <row r="7" spans="1:19" ht="15" customHeight="1" x14ac:dyDescent="0.25">
      <c r="A7" s="674"/>
      <c r="B7" s="671"/>
      <c r="C7" s="672"/>
      <c r="D7" s="671"/>
      <c r="E7" s="672"/>
      <c r="F7" s="671"/>
      <c r="G7" s="672"/>
      <c r="H7" s="671"/>
      <c r="I7" s="672"/>
      <c r="J7" s="671"/>
      <c r="K7" s="672"/>
      <c r="L7" s="671"/>
      <c r="M7" s="672"/>
      <c r="N7" s="671"/>
      <c r="O7" s="673"/>
      <c r="P7" s="970"/>
      <c r="Q7" s="968"/>
    </row>
    <row r="8" spans="1:19" ht="15" customHeight="1" x14ac:dyDescent="0.25">
      <c r="A8" s="674"/>
      <c r="B8" s="671"/>
      <c r="C8" s="672"/>
      <c r="D8" s="671"/>
      <c r="E8" s="672"/>
      <c r="F8" s="671"/>
      <c r="G8" s="672"/>
      <c r="H8" s="671"/>
      <c r="I8" s="672"/>
      <c r="J8" s="671"/>
      <c r="K8" s="672"/>
      <c r="L8" s="671"/>
      <c r="M8" s="672"/>
      <c r="N8" s="671"/>
      <c r="O8" s="673"/>
      <c r="P8" s="970"/>
      <c r="Q8" s="968"/>
    </row>
    <row r="9" spans="1:19" ht="15" customHeight="1" x14ac:dyDescent="0.25">
      <c r="A9" s="674"/>
      <c r="B9" s="671"/>
      <c r="C9" s="672"/>
      <c r="D9" s="671"/>
      <c r="E9" s="672"/>
      <c r="F9" s="671"/>
      <c r="G9" s="672"/>
      <c r="H9" s="671"/>
      <c r="I9" s="672"/>
      <c r="J9" s="671"/>
      <c r="K9" s="672"/>
      <c r="L9" s="671"/>
      <c r="M9" s="672"/>
      <c r="N9" s="671"/>
      <c r="O9" s="673"/>
      <c r="P9" s="970"/>
      <c r="Q9" s="968"/>
    </row>
    <row r="10" spans="1:19" ht="15" customHeight="1" thickBot="1" x14ac:dyDescent="0.3">
      <c r="A10" s="675"/>
      <c r="B10" s="676"/>
      <c r="C10" s="677"/>
      <c r="D10" s="676"/>
      <c r="E10" s="677"/>
      <c r="F10" s="676"/>
      <c r="G10" s="677"/>
      <c r="H10" s="676"/>
      <c r="I10" s="677"/>
      <c r="J10" s="676"/>
      <c r="K10" s="677"/>
      <c r="L10" s="676"/>
      <c r="M10" s="677"/>
      <c r="N10" s="676"/>
      <c r="O10" s="678"/>
      <c r="P10" s="971"/>
      <c r="Q10" s="969"/>
      <c r="S10" s="29"/>
    </row>
    <row r="12" spans="1:19" ht="13.8" thickBot="1" x14ac:dyDescent="0.3"/>
    <row r="13" spans="1:19" ht="15.6" x14ac:dyDescent="0.25">
      <c r="A13" s="495" t="s">
        <v>6833</v>
      </c>
      <c r="B13" s="1459" t="s">
        <v>2269</v>
      </c>
      <c r="C13" s="1474"/>
      <c r="D13" s="1474"/>
      <c r="E13" s="1474"/>
      <c r="F13" s="1474"/>
      <c r="G13" s="1474"/>
      <c r="H13" s="1474"/>
      <c r="I13" s="1474"/>
      <c r="J13" s="1474"/>
      <c r="K13" s="1474"/>
      <c r="L13" s="1474"/>
      <c r="M13" s="1474"/>
      <c r="N13" s="1474"/>
      <c r="O13" s="1475"/>
    </row>
    <row r="14" spans="1:19" ht="18.75" customHeight="1" x14ac:dyDescent="0.25">
      <c r="A14" s="1472" t="s">
        <v>2265</v>
      </c>
      <c r="B14" s="1470" t="s">
        <v>2266</v>
      </c>
      <c r="C14" s="1462" t="s">
        <v>2270</v>
      </c>
      <c r="D14" s="1463"/>
      <c r="E14" s="1463"/>
      <c r="F14" s="1463"/>
      <c r="G14" s="1463"/>
      <c r="H14" s="1463"/>
      <c r="I14" s="1463"/>
      <c r="J14" s="1463"/>
      <c r="K14" s="1463"/>
      <c r="L14" s="1463"/>
      <c r="M14" s="1463"/>
      <c r="N14" s="1463"/>
      <c r="O14" s="1469"/>
      <c r="Q14" s="498"/>
    </row>
    <row r="15" spans="1:19" ht="18" customHeight="1" x14ac:dyDescent="0.25">
      <c r="A15" s="1473"/>
      <c r="B15" s="1471"/>
      <c r="C15" s="500" t="s">
        <v>2272</v>
      </c>
      <c r="D15" s="500" t="s">
        <v>2273</v>
      </c>
      <c r="E15" s="500" t="s">
        <v>2272</v>
      </c>
      <c r="F15" s="500" t="s">
        <v>2273</v>
      </c>
      <c r="G15" s="500" t="s">
        <v>2272</v>
      </c>
      <c r="H15" s="500" t="s">
        <v>2273</v>
      </c>
      <c r="I15" s="500" t="s">
        <v>2272</v>
      </c>
      <c r="J15" s="500" t="s">
        <v>2273</v>
      </c>
      <c r="K15" s="500" t="s">
        <v>2272</v>
      </c>
      <c r="L15" s="500" t="s">
        <v>2273</v>
      </c>
      <c r="M15" s="500" t="s">
        <v>2272</v>
      </c>
      <c r="N15" s="500" t="s">
        <v>2273</v>
      </c>
      <c r="O15" s="503" t="s">
        <v>1970</v>
      </c>
      <c r="Q15" s="498"/>
    </row>
    <row r="16" spans="1:19" ht="15" customHeight="1" x14ac:dyDescent="0.25">
      <c r="A16" s="679"/>
      <c r="B16" s="680"/>
      <c r="C16" s="681"/>
      <c r="D16" s="680"/>
      <c r="E16" s="681"/>
      <c r="F16" s="680"/>
      <c r="G16" s="681"/>
      <c r="H16" s="680"/>
      <c r="I16" s="681"/>
      <c r="J16" s="680"/>
      <c r="K16" s="680"/>
      <c r="L16" s="680"/>
      <c r="M16" s="680"/>
      <c r="N16" s="680"/>
      <c r="O16" s="682"/>
      <c r="Q16" s="498"/>
    </row>
    <row r="17" spans="1:17" ht="15" customHeight="1" x14ac:dyDescent="0.25">
      <c r="A17" s="679"/>
      <c r="B17" s="680"/>
      <c r="C17" s="681"/>
      <c r="D17" s="680"/>
      <c r="E17" s="681"/>
      <c r="F17" s="680"/>
      <c r="G17" s="681"/>
      <c r="H17" s="680"/>
      <c r="I17" s="681"/>
      <c r="J17" s="680"/>
      <c r="K17" s="681"/>
      <c r="L17" s="680"/>
      <c r="M17" s="680"/>
      <c r="N17" s="680"/>
      <c r="O17" s="682"/>
    </row>
    <row r="18" spans="1:17" ht="15" customHeight="1" x14ac:dyDescent="0.25">
      <c r="A18" s="679"/>
      <c r="B18" s="680"/>
      <c r="C18" s="681"/>
      <c r="D18" s="680"/>
      <c r="E18" s="681"/>
      <c r="F18" s="680"/>
      <c r="G18" s="681"/>
      <c r="H18" s="680"/>
      <c r="I18" s="681"/>
      <c r="J18" s="680"/>
      <c r="K18" s="681"/>
      <c r="L18" s="680"/>
      <c r="M18" s="681"/>
      <c r="N18" s="680"/>
      <c r="O18" s="682"/>
    </row>
    <row r="19" spans="1:17" ht="15" customHeight="1" x14ac:dyDescent="0.25">
      <c r="A19" s="679"/>
      <c r="B19" s="680"/>
      <c r="C19" s="681"/>
      <c r="D19" s="680"/>
      <c r="E19" s="681"/>
      <c r="F19" s="680"/>
      <c r="G19" s="681"/>
      <c r="H19" s="680"/>
      <c r="I19" s="681"/>
      <c r="J19" s="680"/>
      <c r="K19" s="681"/>
      <c r="L19" s="680"/>
      <c r="M19" s="681"/>
      <c r="N19" s="680"/>
      <c r="O19" s="682"/>
    </row>
    <row r="20" spans="1:17" ht="15" customHeight="1" thickBot="1" x14ac:dyDescent="0.3">
      <c r="A20" s="675"/>
      <c r="B20" s="683"/>
      <c r="C20" s="684"/>
      <c r="D20" s="683"/>
      <c r="E20" s="684"/>
      <c r="F20" s="683"/>
      <c r="G20" s="684"/>
      <c r="H20" s="683"/>
      <c r="I20" s="684"/>
      <c r="J20" s="683"/>
      <c r="K20" s="684"/>
      <c r="L20" s="683"/>
      <c r="M20" s="684"/>
      <c r="N20" s="683"/>
      <c r="O20" s="685"/>
    </row>
    <row r="22" spans="1:17" x14ac:dyDescent="0.25">
      <c r="B22" s="964"/>
    </row>
    <row r="23" spans="1:17" x14ac:dyDescent="0.25">
      <c r="O23" s="965"/>
    </row>
    <row r="25" spans="1:17" x14ac:dyDescent="0.25">
      <c r="A25" s="966"/>
      <c r="C25" s="967"/>
      <c r="E25" s="967"/>
      <c r="O25" s="16"/>
      <c r="P25" s="16"/>
      <c r="Q25" s="16"/>
    </row>
    <row r="26" spans="1:17" x14ac:dyDescent="0.25">
      <c r="O26" s="16"/>
      <c r="P26" s="16"/>
      <c r="Q26" s="16"/>
    </row>
    <row r="27" spans="1:17" x14ac:dyDescent="0.25">
      <c r="O27" s="16"/>
      <c r="P27" s="16"/>
      <c r="Q27" s="16"/>
    </row>
    <row r="28" spans="1:17" x14ac:dyDescent="0.25">
      <c r="O28" s="16"/>
      <c r="P28" s="16"/>
      <c r="Q28" s="16"/>
    </row>
    <row r="29" spans="1:17" x14ac:dyDescent="0.25">
      <c r="O29" s="16"/>
      <c r="P29" s="16"/>
      <c r="Q29" s="16"/>
    </row>
  </sheetData>
  <sheetProtection sheet="1" objects="1" scenarios="1"/>
  <mergeCells count="9">
    <mergeCell ref="B3:Q3"/>
    <mergeCell ref="C4:O4"/>
    <mergeCell ref="B4:B5"/>
    <mergeCell ref="A4:A5"/>
    <mergeCell ref="C14:O14"/>
    <mergeCell ref="B14:B15"/>
    <mergeCell ref="A14:A15"/>
    <mergeCell ref="B13:O13"/>
    <mergeCell ref="P4:Q4"/>
  </mergeCells>
  <phoneticPr fontId="6" type="noConversion"/>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4">
    <tabColor rgb="FFFF0000"/>
  </sheetPr>
  <dimension ref="A1:M16"/>
  <sheetViews>
    <sheetView showGridLines="0" zoomScaleNormal="100" workbookViewId="0">
      <selection activeCell="N20" sqref="N20"/>
    </sheetView>
  </sheetViews>
  <sheetFormatPr baseColWidth="10" defaultRowHeight="13.2" x14ac:dyDescent="0.25"/>
  <cols>
    <col min="1" max="1" width="31.33203125" customWidth="1"/>
    <col min="2" max="13" width="12.33203125" style="16" customWidth="1"/>
  </cols>
  <sheetData>
    <row r="1" spans="1:12" ht="60" customHeight="1" x14ac:dyDescent="0.25">
      <c r="A1" s="469" t="s">
        <v>2251</v>
      </c>
    </row>
    <row r="2" spans="1:12" ht="15.6" x14ac:dyDescent="0.25">
      <c r="A2" s="494" t="s">
        <v>2252</v>
      </c>
    </row>
    <row r="3" spans="1:12" x14ac:dyDescent="0.25">
      <c r="B3" s="488"/>
      <c r="C3" s="488"/>
      <c r="D3" s="488"/>
      <c r="E3" s="488"/>
      <c r="F3" s="489" t="s">
        <v>2255</v>
      </c>
      <c r="G3" s="489" t="s">
        <v>2256</v>
      </c>
      <c r="H3" s="489" t="s">
        <v>2257</v>
      </c>
      <c r="I3" s="489" t="s">
        <v>2258</v>
      </c>
      <c r="J3" s="488"/>
      <c r="K3" s="488"/>
      <c r="L3" s="488"/>
    </row>
    <row r="4" spans="1:12" ht="16.5" customHeight="1" x14ac:dyDescent="0.25">
      <c r="B4" s="1478" t="s">
        <v>2253</v>
      </c>
      <c r="C4" s="1478"/>
      <c r="D4" s="1478"/>
      <c r="E4" s="1478"/>
      <c r="F4" s="490"/>
      <c r="G4" s="491"/>
      <c r="H4" s="492"/>
      <c r="I4" s="493"/>
    </row>
    <row r="5" spans="1:12" ht="16.5" customHeight="1" x14ac:dyDescent="0.25">
      <c r="B5" s="1478" t="s">
        <v>2261</v>
      </c>
      <c r="C5" s="1478"/>
      <c r="D5" s="1478"/>
      <c r="E5" s="1478"/>
      <c r="F5" s="490"/>
      <c r="G5" s="491"/>
      <c r="H5" s="492"/>
      <c r="I5" s="493"/>
    </row>
    <row r="6" spans="1:12" ht="16.5" customHeight="1" x14ac:dyDescent="0.25">
      <c r="B6" s="1478" t="s">
        <v>2259</v>
      </c>
      <c r="C6" s="1478"/>
      <c r="D6" s="1478"/>
      <c r="E6" s="1478"/>
      <c r="F6" s="490"/>
      <c r="G6" s="491"/>
      <c r="H6" s="492"/>
      <c r="I6" s="493"/>
    </row>
    <row r="7" spans="1:12" ht="16.5" customHeight="1" x14ac:dyDescent="0.25">
      <c r="B7" s="1478" t="s">
        <v>2260</v>
      </c>
      <c r="C7" s="1478"/>
      <c r="D7" s="1478"/>
      <c r="E7" s="1478"/>
      <c r="F7" s="487"/>
      <c r="G7" s="491"/>
      <c r="H7" s="492"/>
      <c r="I7" s="493"/>
    </row>
    <row r="8" spans="1:12" ht="16.5" customHeight="1" x14ac:dyDescent="0.25">
      <c r="B8" s="1478" t="s">
        <v>2290</v>
      </c>
      <c r="C8" s="1478"/>
      <c r="D8" s="1478"/>
      <c r="E8" s="1478"/>
      <c r="F8" s="487"/>
      <c r="G8" s="491"/>
      <c r="H8" s="492"/>
      <c r="I8" s="493"/>
    </row>
    <row r="9" spans="1:12" ht="16.5" customHeight="1" x14ac:dyDescent="0.25">
      <c r="B9" s="1478" t="s">
        <v>2291</v>
      </c>
      <c r="C9" s="1478"/>
      <c r="D9" s="1478"/>
      <c r="E9" s="1478"/>
      <c r="F9" s="487"/>
      <c r="G9" s="491"/>
      <c r="H9" s="492"/>
      <c r="I9" s="493"/>
    </row>
    <row r="12" spans="1:12" ht="15.6" x14ac:dyDescent="0.25">
      <c r="A12" s="494" t="s">
        <v>2225</v>
      </c>
    </row>
    <row r="13" spans="1:12" ht="19.5" customHeight="1" x14ac:dyDescent="0.25">
      <c r="A13" s="486" t="s">
        <v>2254</v>
      </c>
      <c r="B13" s="470" t="s">
        <v>2228</v>
      </c>
      <c r="C13" s="470" t="s">
        <v>2229</v>
      </c>
      <c r="D13" s="470" t="s">
        <v>2230</v>
      </c>
      <c r="E13" s="470" t="s">
        <v>2231</v>
      </c>
      <c r="F13" s="470" t="s">
        <v>2232</v>
      </c>
      <c r="G13" s="470" t="s">
        <v>2233</v>
      </c>
      <c r="H13" s="470" t="s">
        <v>2234</v>
      </c>
      <c r="I13" s="470" t="s">
        <v>2235</v>
      </c>
      <c r="J13" s="470" t="s">
        <v>2236</v>
      </c>
      <c r="K13" s="470" t="s">
        <v>2237</v>
      </c>
      <c r="L13" s="470" t="s">
        <v>2238</v>
      </c>
    </row>
    <row r="14" spans="1:12" x14ac:dyDescent="0.25">
      <c r="B14" s="466">
        <v>44615</v>
      </c>
      <c r="C14" s="466">
        <v>44927</v>
      </c>
      <c r="D14" s="466">
        <v>45292</v>
      </c>
      <c r="E14" s="466">
        <v>45658</v>
      </c>
      <c r="F14" s="466">
        <v>46023</v>
      </c>
      <c r="G14" s="466">
        <v>46388</v>
      </c>
      <c r="H14" s="466">
        <v>46753</v>
      </c>
      <c r="I14" s="466">
        <v>47119</v>
      </c>
      <c r="J14" s="466">
        <v>47484</v>
      </c>
      <c r="K14" s="466">
        <v>47849</v>
      </c>
      <c r="L14" s="466">
        <v>48214</v>
      </c>
    </row>
    <row r="15" spans="1:12" ht="15.75" customHeight="1" x14ac:dyDescent="0.25">
      <c r="A15" s="385" t="s">
        <v>2226</v>
      </c>
      <c r="B15" s="467"/>
      <c r="C15" s="467"/>
      <c r="D15" s="467"/>
      <c r="E15" s="467"/>
      <c r="F15" s="467"/>
      <c r="G15" s="467"/>
      <c r="H15" s="467"/>
      <c r="I15" s="467"/>
      <c r="J15" s="467"/>
      <c r="K15" s="467"/>
      <c r="L15" s="467"/>
    </row>
    <row r="16" spans="1:12" ht="15.75" customHeight="1" x14ac:dyDescent="0.25">
      <c r="A16" s="385" t="s">
        <v>2227</v>
      </c>
      <c r="B16" s="468"/>
      <c r="C16" s="468"/>
      <c r="D16" s="468"/>
      <c r="E16" s="468"/>
      <c r="F16" s="468"/>
      <c r="G16" s="468"/>
      <c r="H16" s="468"/>
      <c r="I16" s="468"/>
      <c r="J16" s="468"/>
      <c r="K16" s="468"/>
      <c r="L16" s="468"/>
    </row>
  </sheetData>
  <mergeCells count="6">
    <mergeCell ref="B9:E9"/>
    <mergeCell ref="B7:E7"/>
    <mergeCell ref="B4:E4"/>
    <mergeCell ref="B6:E6"/>
    <mergeCell ref="B5:E5"/>
    <mergeCell ref="B8:E8"/>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Q1146"/>
  <sheetViews>
    <sheetView workbookViewId="0">
      <selection activeCell="C2" sqref="C2"/>
    </sheetView>
  </sheetViews>
  <sheetFormatPr baseColWidth="10" defaultRowHeight="13.2" x14ac:dyDescent="0.25"/>
  <cols>
    <col min="1" max="1" width="18.88671875" customWidth="1"/>
    <col min="2" max="2" width="28" customWidth="1"/>
  </cols>
  <sheetData>
    <row r="1" spans="1:17" ht="39" customHeight="1" x14ac:dyDescent="0.25">
      <c r="A1" t="s">
        <v>3113</v>
      </c>
      <c r="B1" t="s">
        <v>3129</v>
      </c>
      <c r="C1" t="s">
        <v>3114</v>
      </c>
      <c r="D1" t="s">
        <v>3115</v>
      </c>
      <c r="E1" t="s">
        <v>3116</v>
      </c>
      <c r="F1" t="s">
        <v>3117</v>
      </c>
      <c r="G1" t="s">
        <v>3118</v>
      </c>
      <c r="H1" t="s">
        <v>3119</v>
      </c>
      <c r="I1" t="s">
        <v>3120</v>
      </c>
      <c r="J1" t="s">
        <v>3121</v>
      </c>
      <c r="K1" t="s">
        <v>3122</v>
      </c>
      <c r="L1" t="s">
        <v>3123</v>
      </c>
      <c r="M1" t="s">
        <v>3124</v>
      </c>
      <c r="N1" t="s">
        <v>3125</v>
      </c>
      <c r="O1" t="s">
        <v>3126</v>
      </c>
      <c r="P1" t="s">
        <v>3127</v>
      </c>
      <c r="Q1" t="s">
        <v>3128</v>
      </c>
    </row>
    <row r="2" spans="1:17" x14ac:dyDescent="0.25">
      <c r="C2" t="s">
        <v>3252</v>
      </c>
      <c r="D2" t="s">
        <v>4076</v>
      </c>
      <c r="E2" t="s">
        <v>5238</v>
      </c>
      <c r="F2" t="s">
        <v>4032</v>
      </c>
      <c r="G2" t="s">
        <v>4007</v>
      </c>
      <c r="H2" t="s">
        <v>4010</v>
      </c>
      <c r="I2" t="s">
        <v>4040</v>
      </c>
      <c r="J2" t="s">
        <v>4364</v>
      </c>
      <c r="K2" t="s">
        <v>4036</v>
      </c>
    </row>
    <row r="3" spans="1:17" x14ac:dyDescent="0.25">
      <c r="C3" t="s">
        <v>3253</v>
      </c>
      <c r="D3" t="s">
        <v>3267</v>
      </c>
      <c r="E3" t="s">
        <v>4007</v>
      </c>
      <c r="F3" t="s">
        <v>3666</v>
      </c>
      <c r="G3" t="s">
        <v>4124</v>
      </c>
      <c r="H3" t="s">
        <v>4011</v>
      </c>
      <c r="I3" t="s">
        <v>4046</v>
      </c>
      <c r="J3" t="s">
        <v>4365</v>
      </c>
      <c r="K3" t="s">
        <v>4037</v>
      </c>
    </row>
    <row r="4" spans="1:17" x14ac:dyDescent="0.25">
      <c r="C4" t="s">
        <v>3254</v>
      </c>
      <c r="D4" t="s">
        <v>3274</v>
      </c>
      <c r="E4" t="s">
        <v>5239</v>
      </c>
      <c r="F4" t="s">
        <v>3667</v>
      </c>
      <c r="G4" t="s">
        <v>4009</v>
      </c>
      <c r="H4" t="s">
        <v>4012</v>
      </c>
      <c r="I4" t="s">
        <v>6038</v>
      </c>
      <c r="J4" t="s">
        <v>6092</v>
      </c>
      <c r="K4" t="s">
        <v>4038</v>
      </c>
    </row>
    <row r="5" spans="1:17" x14ac:dyDescent="0.25">
      <c r="C5" t="s">
        <v>3255</v>
      </c>
      <c r="D5" t="s">
        <v>4860</v>
      </c>
      <c r="E5" t="s">
        <v>5240</v>
      </c>
      <c r="F5" t="s">
        <v>3668</v>
      </c>
      <c r="G5" t="s">
        <v>4135</v>
      </c>
      <c r="H5" t="s">
        <v>4013</v>
      </c>
      <c r="I5" t="s">
        <v>6039</v>
      </c>
      <c r="J5" t="s">
        <v>6093</v>
      </c>
      <c r="K5" t="s">
        <v>4039</v>
      </c>
    </row>
    <row r="6" spans="1:17" x14ac:dyDescent="0.25">
      <c r="C6" t="s">
        <v>3256</v>
      </c>
      <c r="D6" t="s">
        <v>4861</v>
      </c>
      <c r="E6" t="s">
        <v>5241</v>
      </c>
      <c r="F6" t="s">
        <v>3669</v>
      </c>
      <c r="G6" t="s">
        <v>5868</v>
      </c>
      <c r="H6" t="s">
        <v>4014</v>
      </c>
      <c r="I6" t="s">
        <v>6040</v>
      </c>
      <c r="J6" t="s">
        <v>6094</v>
      </c>
      <c r="K6" t="s">
        <v>4040</v>
      </c>
    </row>
    <row r="7" spans="1:17" x14ac:dyDescent="0.25">
      <c r="C7" t="s">
        <v>4858</v>
      </c>
      <c r="D7" t="s">
        <v>3276</v>
      </c>
      <c r="E7" t="s">
        <v>5242</v>
      </c>
      <c r="F7" t="s">
        <v>3670</v>
      </c>
      <c r="G7" t="s">
        <v>5869</v>
      </c>
      <c r="H7" t="s">
        <v>4015</v>
      </c>
      <c r="I7" t="s">
        <v>6041</v>
      </c>
      <c r="J7" t="s">
        <v>6095</v>
      </c>
      <c r="K7" t="s">
        <v>4041</v>
      </c>
    </row>
    <row r="8" spans="1:17" x14ac:dyDescent="0.25">
      <c r="C8" t="s">
        <v>3257</v>
      </c>
      <c r="D8" t="s">
        <v>3277</v>
      </c>
      <c r="E8" t="s">
        <v>5243</v>
      </c>
      <c r="F8" t="s">
        <v>3671</v>
      </c>
      <c r="G8" t="s">
        <v>5870</v>
      </c>
      <c r="H8" t="s">
        <v>4016</v>
      </c>
      <c r="I8" t="s">
        <v>6042</v>
      </c>
      <c r="J8" t="s">
        <v>6096</v>
      </c>
      <c r="K8" t="s">
        <v>6210</v>
      </c>
    </row>
    <row r="9" spans="1:17" x14ac:dyDescent="0.25">
      <c r="C9" t="s">
        <v>3258</v>
      </c>
      <c r="D9" t="s">
        <v>3278</v>
      </c>
      <c r="E9" t="s">
        <v>5244</v>
      </c>
      <c r="F9" t="s">
        <v>3253</v>
      </c>
      <c r="G9" t="s">
        <v>5871</v>
      </c>
      <c r="H9" t="s">
        <v>4017</v>
      </c>
      <c r="I9" t="s">
        <v>4048</v>
      </c>
      <c r="J9" t="s">
        <v>6097</v>
      </c>
      <c r="K9" t="s">
        <v>4042</v>
      </c>
    </row>
    <row r="10" spans="1:17" x14ac:dyDescent="0.25">
      <c r="C10" t="s">
        <v>3259</v>
      </c>
      <c r="D10" t="s">
        <v>3279</v>
      </c>
      <c r="E10" t="s">
        <v>5245</v>
      </c>
      <c r="F10" t="s">
        <v>5390</v>
      </c>
      <c r="G10" t="s">
        <v>5872</v>
      </c>
      <c r="H10" t="s">
        <v>4018</v>
      </c>
      <c r="I10" t="s">
        <v>6043</v>
      </c>
      <c r="J10" t="s">
        <v>6098</v>
      </c>
      <c r="K10" t="s">
        <v>4043</v>
      </c>
    </row>
    <row r="11" spans="1:17" x14ac:dyDescent="0.25">
      <c r="C11" t="s">
        <v>3260</v>
      </c>
      <c r="D11" t="s">
        <v>3281</v>
      </c>
      <c r="E11" t="s">
        <v>4124</v>
      </c>
      <c r="F11" t="s">
        <v>5391</v>
      </c>
      <c r="G11" t="s">
        <v>5873</v>
      </c>
      <c r="H11" t="s">
        <v>4019</v>
      </c>
      <c r="I11" t="s">
        <v>4020</v>
      </c>
      <c r="J11" t="s">
        <v>4330</v>
      </c>
      <c r="K11" t="s">
        <v>4044</v>
      </c>
    </row>
    <row r="12" spans="1:17" x14ac:dyDescent="0.25">
      <c r="C12" t="s">
        <v>3261</v>
      </c>
      <c r="D12" t="s">
        <v>3282</v>
      </c>
      <c r="E12" t="s">
        <v>5246</v>
      </c>
      <c r="F12" t="s">
        <v>5392</v>
      </c>
      <c r="G12" t="s">
        <v>5260</v>
      </c>
      <c r="H12" t="s">
        <v>4020</v>
      </c>
      <c r="I12" t="s">
        <v>6044</v>
      </c>
      <c r="J12" t="s">
        <v>4331</v>
      </c>
      <c r="K12" t="s">
        <v>4045</v>
      </c>
    </row>
    <row r="13" spans="1:17" x14ac:dyDescent="0.25">
      <c r="C13" t="s">
        <v>3262</v>
      </c>
      <c r="D13" t="s">
        <v>4862</v>
      </c>
      <c r="E13" t="s">
        <v>4126</v>
      </c>
      <c r="F13" t="s">
        <v>5393</v>
      </c>
      <c r="G13" t="s">
        <v>4137</v>
      </c>
      <c r="H13" t="s">
        <v>4021</v>
      </c>
      <c r="I13" t="s">
        <v>6045</v>
      </c>
      <c r="J13" t="s">
        <v>6099</v>
      </c>
      <c r="K13" t="s">
        <v>4046</v>
      </c>
    </row>
    <row r="14" spans="1:17" x14ac:dyDescent="0.25">
      <c r="C14" t="s">
        <v>3263</v>
      </c>
      <c r="D14" t="s">
        <v>3284</v>
      </c>
      <c r="E14" t="s">
        <v>5247</v>
      </c>
      <c r="F14" t="s">
        <v>5394</v>
      </c>
      <c r="G14" t="s">
        <v>5266</v>
      </c>
      <c r="H14" t="s">
        <v>4022</v>
      </c>
      <c r="I14" t="s">
        <v>6046</v>
      </c>
      <c r="J14" t="s">
        <v>6100</v>
      </c>
      <c r="K14" t="s">
        <v>4047</v>
      </c>
    </row>
    <row r="15" spans="1:17" x14ac:dyDescent="0.25">
      <c r="C15" t="s">
        <v>3264</v>
      </c>
      <c r="D15" t="s">
        <v>3285</v>
      </c>
      <c r="E15" t="s">
        <v>5248</v>
      </c>
      <c r="F15" t="s">
        <v>3260</v>
      </c>
      <c r="G15" t="s">
        <v>4141</v>
      </c>
      <c r="H15" t="s">
        <v>4023</v>
      </c>
      <c r="I15" t="s">
        <v>6047</v>
      </c>
      <c r="J15" t="s">
        <v>4332</v>
      </c>
      <c r="K15" t="s">
        <v>4048</v>
      </c>
    </row>
    <row r="16" spans="1:17" x14ac:dyDescent="0.25">
      <c r="C16" t="s">
        <v>3265</v>
      </c>
      <c r="D16" t="s">
        <v>3286</v>
      </c>
      <c r="E16" t="s">
        <v>5249</v>
      </c>
      <c r="F16" t="s">
        <v>3262</v>
      </c>
      <c r="G16" t="s">
        <v>5874</v>
      </c>
      <c r="H16" t="s">
        <v>4024</v>
      </c>
      <c r="I16" t="s">
        <v>4051</v>
      </c>
      <c r="J16" t="s">
        <v>4333</v>
      </c>
      <c r="K16" t="s">
        <v>4049</v>
      </c>
    </row>
    <row r="17" spans="3:11" x14ac:dyDescent="0.25">
      <c r="C17" t="s">
        <v>3266</v>
      </c>
      <c r="D17" t="s">
        <v>3287</v>
      </c>
      <c r="E17" t="s">
        <v>5250</v>
      </c>
      <c r="F17" t="s">
        <v>3263</v>
      </c>
      <c r="G17" t="s">
        <v>4143</v>
      </c>
      <c r="H17" t="s">
        <v>4025</v>
      </c>
      <c r="I17" t="s">
        <v>4055</v>
      </c>
      <c r="J17" t="s">
        <v>6101</v>
      </c>
      <c r="K17" t="s">
        <v>4050</v>
      </c>
    </row>
    <row r="18" spans="3:11" x14ac:dyDescent="0.25">
      <c r="C18" t="s">
        <v>3267</v>
      </c>
      <c r="D18" t="s">
        <v>3288</v>
      </c>
      <c r="E18" t="s">
        <v>5251</v>
      </c>
      <c r="F18" t="s">
        <v>3264</v>
      </c>
      <c r="G18" t="s">
        <v>5875</v>
      </c>
      <c r="H18" t="s">
        <v>4069</v>
      </c>
      <c r="I18" t="s">
        <v>6048</v>
      </c>
      <c r="J18" t="s">
        <v>6102</v>
      </c>
      <c r="K18" t="s">
        <v>4020</v>
      </c>
    </row>
    <row r="19" spans="3:11" x14ac:dyDescent="0.25">
      <c r="C19" t="s">
        <v>4859</v>
      </c>
      <c r="D19" t="s">
        <v>3289</v>
      </c>
      <c r="E19" t="s">
        <v>4009</v>
      </c>
      <c r="F19" t="s">
        <v>3265</v>
      </c>
      <c r="G19" t="s">
        <v>5876</v>
      </c>
      <c r="H19" t="s">
        <v>4026</v>
      </c>
      <c r="I19" t="s">
        <v>4058</v>
      </c>
      <c r="J19" t="s">
        <v>6103</v>
      </c>
      <c r="K19" t="s">
        <v>4051</v>
      </c>
    </row>
    <row r="20" spans="3:11" x14ac:dyDescent="0.25">
      <c r="C20" t="s">
        <v>3268</v>
      </c>
      <c r="D20" t="s">
        <v>3290</v>
      </c>
      <c r="E20" t="s">
        <v>5252</v>
      </c>
      <c r="F20" t="s">
        <v>3281</v>
      </c>
      <c r="G20" t="s">
        <v>5877</v>
      </c>
      <c r="H20" t="s">
        <v>4027</v>
      </c>
      <c r="I20" t="s">
        <v>6049</v>
      </c>
      <c r="J20" t="s">
        <v>6104</v>
      </c>
      <c r="K20" t="s">
        <v>4052</v>
      </c>
    </row>
    <row r="21" spans="3:11" x14ac:dyDescent="0.25">
      <c r="C21" t="s">
        <v>3269</v>
      </c>
      <c r="D21" t="s">
        <v>4863</v>
      </c>
      <c r="E21" t="s">
        <v>4131</v>
      </c>
      <c r="F21" t="s">
        <v>3547</v>
      </c>
      <c r="G21" t="s">
        <v>5878</v>
      </c>
      <c r="H21" t="s">
        <v>4028</v>
      </c>
      <c r="I21" t="s">
        <v>6050</v>
      </c>
      <c r="J21" t="s">
        <v>6105</v>
      </c>
      <c r="K21" t="s">
        <v>4053</v>
      </c>
    </row>
    <row r="22" spans="3:11" x14ac:dyDescent="0.25">
      <c r="C22" t="s">
        <v>3270</v>
      </c>
      <c r="D22" t="s">
        <v>3292</v>
      </c>
      <c r="E22" t="s">
        <v>5253</v>
      </c>
      <c r="F22" t="s">
        <v>3555</v>
      </c>
      <c r="G22" t="s">
        <v>5267</v>
      </c>
      <c r="H22" t="s">
        <v>4029</v>
      </c>
      <c r="I22" t="s">
        <v>4061</v>
      </c>
      <c r="J22" t="s">
        <v>6106</v>
      </c>
      <c r="K22" t="s">
        <v>4054</v>
      </c>
    </row>
    <row r="23" spans="3:11" x14ac:dyDescent="0.25">
      <c r="C23" t="s">
        <v>3271</v>
      </c>
      <c r="D23" t="s">
        <v>3293</v>
      </c>
      <c r="E23" t="s">
        <v>5254</v>
      </c>
      <c r="F23" t="s">
        <v>3571</v>
      </c>
      <c r="G23" t="s">
        <v>4145</v>
      </c>
      <c r="H23" t="s">
        <v>4030</v>
      </c>
      <c r="I23" t="s">
        <v>6051</v>
      </c>
      <c r="J23" t="s">
        <v>6107</v>
      </c>
      <c r="K23" t="s">
        <v>4055</v>
      </c>
    </row>
    <row r="24" spans="3:11" x14ac:dyDescent="0.25">
      <c r="C24" t="s">
        <v>3272</v>
      </c>
      <c r="D24" t="s">
        <v>3294</v>
      </c>
      <c r="E24" t="s">
        <v>5255</v>
      </c>
      <c r="F24" t="s">
        <v>3575</v>
      </c>
      <c r="G24" t="s">
        <v>5879</v>
      </c>
      <c r="H24" t="s">
        <v>4031</v>
      </c>
      <c r="I24" t="s">
        <v>4064</v>
      </c>
      <c r="J24" t="s">
        <v>6108</v>
      </c>
      <c r="K24" t="s">
        <v>4056</v>
      </c>
    </row>
    <row r="25" spans="3:11" x14ac:dyDescent="0.25">
      <c r="C25" t="s">
        <v>3273</v>
      </c>
      <c r="D25" t="s">
        <v>3295</v>
      </c>
      <c r="E25" t="s">
        <v>5256</v>
      </c>
      <c r="F25" t="s">
        <v>3579</v>
      </c>
      <c r="G25" t="s">
        <v>5880</v>
      </c>
      <c r="H25" t="s">
        <v>4071</v>
      </c>
      <c r="I25" t="s">
        <v>6052</v>
      </c>
      <c r="J25" t="s">
        <v>6109</v>
      </c>
      <c r="K25" t="s">
        <v>4057</v>
      </c>
    </row>
    <row r="26" spans="3:11" x14ac:dyDescent="0.25">
      <c r="C26" t="s">
        <v>3274</v>
      </c>
      <c r="D26" t="s">
        <v>3296</v>
      </c>
      <c r="E26" t="s">
        <v>5257</v>
      </c>
      <c r="F26" t="s">
        <v>5406</v>
      </c>
      <c r="G26" t="s">
        <v>5268</v>
      </c>
      <c r="H26" t="s">
        <v>5967</v>
      </c>
      <c r="I26" t="s">
        <v>6053</v>
      </c>
      <c r="J26" t="s">
        <v>4334</v>
      </c>
      <c r="K26" t="s">
        <v>4058</v>
      </c>
    </row>
    <row r="27" spans="3:11" x14ac:dyDescent="0.25">
      <c r="C27" t="s">
        <v>3275</v>
      </c>
      <c r="D27" t="s">
        <v>3297</v>
      </c>
      <c r="E27" t="s">
        <v>5258</v>
      </c>
      <c r="F27" t="s">
        <v>3586</v>
      </c>
      <c r="G27" t="s">
        <v>5269</v>
      </c>
      <c r="H27" t="s">
        <v>5968</v>
      </c>
      <c r="I27" t="s">
        <v>6054</v>
      </c>
      <c r="J27" t="s">
        <v>6110</v>
      </c>
      <c r="K27" t="s">
        <v>4059</v>
      </c>
    </row>
    <row r="28" spans="3:11" x14ac:dyDescent="0.25">
      <c r="C28" t="s">
        <v>3276</v>
      </c>
      <c r="D28" t="s">
        <v>3298</v>
      </c>
      <c r="E28" t="s">
        <v>3666</v>
      </c>
      <c r="F28" t="s">
        <v>5407</v>
      </c>
      <c r="G28" t="s">
        <v>5270</v>
      </c>
      <c r="H28" t="s">
        <v>5969</v>
      </c>
      <c r="I28" t="s">
        <v>6055</v>
      </c>
      <c r="J28" t="s">
        <v>6111</v>
      </c>
      <c r="K28" t="s">
        <v>4060</v>
      </c>
    </row>
    <row r="29" spans="3:11" x14ac:dyDescent="0.25">
      <c r="C29" t="s">
        <v>3277</v>
      </c>
      <c r="D29" t="s">
        <v>4864</v>
      </c>
      <c r="E29" t="s">
        <v>3667</v>
      </c>
      <c r="F29" t="s">
        <v>3589</v>
      </c>
      <c r="G29" t="s">
        <v>5271</v>
      </c>
      <c r="H29" t="s">
        <v>5970</v>
      </c>
      <c r="I29" t="s">
        <v>6056</v>
      </c>
      <c r="J29" t="s">
        <v>6112</v>
      </c>
      <c r="K29" t="s">
        <v>4061</v>
      </c>
    </row>
    <row r="30" spans="3:11" x14ac:dyDescent="0.25">
      <c r="C30" t="s">
        <v>3278</v>
      </c>
      <c r="D30" t="s">
        <v>3299</v>
      </c>
      <c r="E30" t="s">
        <v>3668</v>
      </c>
      <c r="F30" t="s">
        <v>3590</v>
      </c>
      <c r="G30" t="s">
        <v>5272</v>
      </c>
      <c r="H30" t="s">
        <v>5971</v>
      </c>
      <c r="I30" t="s">
        <v>4066</v>
      </c>
      <c r="J30" t="s">
        <v>6113</v>
      </c>
      <c r="K30" t="s">
        <v>4062</v>
      </c>
    </row>
    <row r="31" spans="3:11" x14ac:dyDescent="0.25">
      <c r="C31" t="s">
        <v>3279</v>
      </c>
      <c r="D31" t="s">
        <v>4865</v>
      </c>
      <c r="E31" t="s">
        <v>3669</v>
      </c>
      <c r="F31" t="s">
        <v>3591</v>
      </c>
      <c r="G31" t="s">
        <v>4149</v>
      </c>
      <c r="H31" t="s">
        <v>5972</v>
      </c>
      <c r="I31" t="s">
        <v>6057</v>
      </c>
      <c r="J31" t="s">
        <v>4335</v>
      </c>
      <c r="K31" t="s">
        <v>4063</v>
      </c>
    </row>
    <row r="32" spans="3:11" x14ac:dyDescent="0.25">
      <c r="C32" t="s">
        <v>3280</v>
      </c>
      <c r="D32" t="s">
        <v>4866</v>
      </c>
      <c r="E32" t="s">
        <v>3670</v>
      </c>
      <c r="F32" t="s">
        <v>3592</v>
      </c>
      <c r="G32" t="s">
        <v>5274</v>
      </c>
      <c r="H32" t="s">
        <v>4032</v>
      </c>
      <c r="I32" t="s">
        <v>4068</v>
      </c>
      <c r="J32" t="s">
        <v>4336</v>
      </c>
      <c r="K32" t="s">
        <v>4064</v>
      </c>
    </row>
    <row r="33" spans="3:11" x14ac:dyDescent="0.25">
      <c r="C33" t="s">
        <v>3281</v>
      </c>
      <c r="D33" t="s">
        <v>4867</v>
      </c>
      <c r="E33" t="s">
        <v>3671</v>
      </c>
      <c r="F33" t="s">
        <v>3593</v>
      </c>
      <c r="G33" t="s">
        <v>5275</v>
      </c>
      <c r="H33" t="s">
        <v>5973</v>
      </c>
      <c r="I33" t="s">
        <v>4022</v>
      </c>
      <c r="J33" t="s">
        <v>4337</v>
      </c>
      <c r="K33" t="s">
        <v>4065</v>
      </c>
    </row>
    <row r="34" spans="3:11" x14ac:dyDescent="0.25">
      <c r="C34" t="s">
        <v>3283</v>
      </c>
      <c r="D34" t="s">
        <v>4868</v>
      </c>
      <c r="E34" t="s">
        <v>5259</v>
      </c>
      <c r="F34" t="s">
        <v>3594</v>
      </c>
      <c r="G34" t="s">
        <v>5276</v>
      </c>
      <c r="H34" t="s">
        <v>4034</v>
      </c>
      <c r="I34" t="s">
        <v>4023</v>
      </c>
      <c r="J34" t="s">
        <v>6114</v>
      </c>
      <c r="K34" t="s">
        <v>4066</v>
      </c>
    </row>
    <row r="35" spans="3:11" x14ac:dyDescent="0.25">
      <c r="C35" t="s">
        <v>3284</v>
      </c>
      <c r="D35" t="s">
        <v>3300</v>
      </c>
      <c r="E35" t="s">
        <v>4135</v>
      </c>
      <c r="F35" t="s">
        <v>4927</v>
      </c>
      <c r="G35" t="s">
        <v>5277</v>
      </c>
      <c r="H35" t="s">
        <v>4076</v>
      </c>
      <c r="I35" t="s">
        <v>4024</v>
      </c>
      <c r="J35" t="s">
        <v>4338</v>
      </c>
      <c r="K35" t="s">
        <v>4067</v>
      </c>
    </row>
    <row r="36" spans="3:11" x14ac:dyDescent="0.25">
      <c r="C36" t="s">
        <v>3285</v>
      </c>
      <c r="D36" t="s">
        <v>3301</v>
      </c>
      <c r="E36" t="s">
        <v>5260</v>
      </c>
      <c r="F36" t="s">
        <v>4262</v>
      </c>
      <c r="G36" t="s">
        <v>5278</v>
      </c>
      <c r="H36" t="s">
        <v>4081</v>
      </c>
      <c r="I36" t="s">
        <v>4025</v>
      </c>
      <c r="J36" t="s">
        <v>6115</v>
      </c>
      <c r="K36" t="s">
        <v>4021</v>
      </c>
    </row>
    <row r="37" spans="3:11" x14ac:dyDescent="0.25">
      <c r="C37" t="s">
        <v>3286</v>
      </c>
      <c r="D37" t="s">
        <v>4869</v>
      </c>
      <c r="E37" t="s">
        <v>4137</v>
      </c>
      <c r="F37" t="s">
        <v>4928</v>
      </c>
      <c r="G37" t="s">
        <v>5279</v>
      </c>
      <c r="H37" t="s">
        <v>4085</v>
      </c>
      <c r="I37" t="s">
        <v>6058</v>
      </c>
      <c r="J37" t="s">
        <v>6116</v>
      </c>
      <c r="K37" t="s">
        <v>4068</v>
      </c>
    </row>
    <row r="38" spans="3:11" x14ac:dyDescent="0.25">
      <c r="C38" t="s">
        <v>3287</v>
      </c>
      <c r="D38" t="s">
        <v>3303</v>
      </c>
      <c r="E38" t="s">
        <v>5261</v>
      </c>
      <c r="F38" t="s">
        <v>4929</v>
      </c>
      <c r="G38" t="s">
        <v>4152</v>
      </c>
      <c r="H38" t="s">
        <v>4089</v>
      </c>
      <c r="I38" t="s">
        <v>4069</v>
      </c>
      <c r="J38" t="s">
        <v>6117</v>
      </c>
      <c r="K38" t="s">
        <v>4069</v>
      </c>
    </row>
    <row r="39" spans="3:11" x14ac:dyDescent="0.25">
      <c r="C39" t="s">
        <v>3288</v>
      </c>
      <c r="D39" t="s">
        <v>3304</v>
      </c>
      <c r="E39" t="s">
        <v>5262</v>
      </c>
      <c r="F39" t="s">
        <v>4930</v>
      </c>
      <c r="G39" t="s">
        <v>5881</v>
      </c>
      <c r="H39" t="s">
        <v>5974</v>
      </c>
      <c r="I39" t="s">
        <v>6059</v>
      </c>
      <c r="J39" t="s">
        <v>6118</v>
      </c>
      <c r="K39" t="s">
        <v>4070</v>
      </c>
    </row>
    <row r="40" spans="3:11" x14ac:dyDescent="0.25">
      <c r="C40" t="s">
        <v>3289</v>
      </c>
      <c r="D40" t="s">
        <v>3305</v>
      </c>
      <c r="E40" t="s">
        <v>5263</v>
      </c>
      <c r="F40" t="s">
        <v>4931</v>
      </c>
      <c r="G40" t="s">
        <v>5286</v>
      </c>
      <c r="H40" t="s">
        <v>4090</v>
      </c>
      <c r="I40" t="s">
        <v>4071</v>
      </c>
      <c r="J40" t="s">
        <v>4339</v>
      </c>
      <c r="K40" t="s">
        <v>4071</v>
      </c>
    </row>
    <row r="41" spans="3:11" x14ac:dyDescent="0.25">
      <c r="C41" t="s">
        <v>3290</v>
      </c>
      <c r="D41" t="s">
        <v>3306</v>
      </c>
      <c r="E41" t="s">
        <v>5264</v>
      </c>
      <c r="F41" t="s">
        <v>3595</v>
      </c>
      <c r="G41" t="s">
        <v>4155</v>
      </c>
      <c r="H41" t="s">
        <v>5975</v>
      </c>
      <c r="I41" t="s">
        <v>6060</v>
      </c>
      <c r="J41" t="s">
        <v>4340</v>
      </c>
      <c r="K41" t="s">
        <v>4072</v>
      </c>
    </row>
    <row r="42" spans="3:11" x14ac:dyDescent="0.25">
      <c r="C42" t="s">
        <v>3291</v>
      </c>
      <c r="D42" t="s">
        <v>3307</v>
      </c>
      <c r="E42" t="s">
        <v>5265</v>
      </c>
      <c r="F42" t="s">
        <v>3596</v>
      </c>
      <c r="G42" t="s">
        <v>5882</v>
      </c>
      <c r="H42" t="s">
        <v>5976</v>
      </c>
      <c r="I42" t="s">
        <v>4032</v>
      </c>
      <c r="J42" t="s">
        <v>4341</v>
      </c>
      <c r="K42" t="s">
        <v>4032</v>
      </c>
    </row>
    <row r="43" spans="3:11" x14ac:dyDescent="0.25">
      <c r="C43" t="s">
        <v>3292</v>
      </c>
      <c r="D43" t="s">
        <v>3308</v>
      </c>
      <c r="E43" t="s">
        <v>5266</v>
      </c>
      <c r="F43" t="s">
        <v>3598</v>
      </c>
      <c r="G43" t="s">
        <v>5883</v>
      </c>
      <c r="H43" t="s">
        <v>5977</v>
      </c>
      <c r="I43" t="s">
        <v>6061</v>
      </c>
      <c r="J43" t="s">
        <v>6119</v>
      </c>
      <c r="K43" t="s">
        <v>4073</v>
      </c>
    </row>
    <row r="44" spans="3:11" x14ac:dyDescent="0.25">
      <c r="C44" t="s">
        <v>3293</v>
      </c>
      <c r="D44" t="s">
        <v>3309</v>
      </c>
      <c r="E44" t="s">
        <v>4141</v>
      </c>
      <c r="F44" t="s">
        <v>3599</v>
      </c>
      <c r="G44" t="s">
        <v>5884</v>
      </c>
      <c r="H44" t="s">
        <v>5978</v>
      </c>
      <c r="I44" t="s">
        <v>4034</v>
      </c>
      <c r="J44" t="s">
        <v>6120</v>
      </c>
      <c r="K44" t="s">
        <v>4034</v>
      </c>
    </row>
    <row r="45" spans="3:11" x14ac:dyDescent="0.25">
      <c r="C45" t="s">
        <v>3294</v>
      </c>
      <c r="D45" t="s">
        <v>3310</v>
      </c>
      <c r="E45" t="s">
        <v>5267</v>
      </c>
      <c r="F45" t="s">
        <v>4937</v>
      </c>
      <c r="G45" t="s">
        <v>5885</v>
      </c>
      <c r="H45" t="s">
        <v>5979</v>
      </c>
      <c r="I45" t="s">
        <v>4075</v>
      </c>
      <c r="J45" t="s">
        <v>6121</v>
      </c>
      <c r="K45" t="s">
        <v>4074</v>
      </c>
    </row>
    <row r="46" spans="3:11" x14ac:dyDescent="0.25">
      <c r="C46" t="s">
        <v>3295</v>
      </c>
      <c r="D46" t="s">
        <v>3311</v>
      </c>
      <c r="E46" t="s">
        <v>4145</v>
      </c>
      <c r="F46" t="s">
        <v>5408</v>
      </c>
      <c r="G46" t="s">
        <v>5886</v>
      </c>
      <c r="H46" t="s">
        <v>5980</v>
      </c>
      <c r="I46" t="s">
        <v>4076</v>
      </c>
      <c r="J46" t="s">
        <v>6122</v>
      </c>
      <c r="K46" t="s">
        <v>4075</v>
      </c>
    </row>
    <row r="47" spans="3:11" x14ac:dyDescent="0.25">
      <c r="C47" t="s">
        <v>3296</v>
      </c>
      <c r="D47" t="s">
        <v>4870</v>
      </c>
      <c r="E47" t="s">
        <v>4147</v>
      </c>
      <c r="F47" t="s">
        <v>5409</v>
      </c>
      <c r="G47" t="s">
        <v>5287</v>
      </c>
      <c r="H47" t="s">
        <v>4094</v>
      </c>
      <c r="I47" t="s">
        <v>4081</v>
      </c>
      <c r="J47" t="s">
        <v>6123</v>
      </c>
      <c r="K47" t="s">
        <v>4076</v>
      </c>
    </row>
    <row r="48" spans="3:11" x14ac:dyDescent="0.25">
      <c r="C48" t="s">
        <v>3297</v>
      </c>
      <c r="D48" t="s">
        <v>4871</v>
      </c>
      <c r="E48" t="s">
        <v>5268</v>
      </c>
      <c r="F48" t="s">
        <v>5410</v>
      </c>
      <c r="G48" t="s">
        <v>4158</v>
      </c>
      <c r="H48" t="s">
        <v>5981</v>
      </c>
      <c r="I48" t="s">
        <v>4083</v>
      </c>
      <c r="J48" t="s">
        <v>6124</v>
      </c>
      <c r="K48" t="s">
        <v>4077</v>
      </c>
    </row>
    <row r="49" spans="3:11" x14ac:dyDescent="0.25">
      <c r="C49" t="s">
        <v>3298</v>
      </c>
      <c r="D49" t="s">
        <v>4872</v>
      </c>
      <c r="E49" t="s">
        <v>5269</v>
      </c>
      <c r="F49" t="s">
        <v>5411</v>
      </c>
      <c r="G49" t="s">
        <v>5887</v>
      </c>
      <c r="H49" t="s">
        <v>5982</v>
      </c>
      <c r="I49" t="s">
        <v>6062</v>
      </c>
      <c r="J49" t="s">
        <v>6125</v>
      </c>
      <c r="K49" t="s">
        <v>4078</v>
      </c>
    </row>
    <row r="50" spans="3:11" x14ac:dyDescent="0.25">
      <c r="C50" t="s">
        <v>3299</v>
      </c>
      <c r="D50" t="s">
        <v>4873</v>
      </c>
      <c r="E50" t="s">
        <v>5270</v>
      </c>
      <c r="F50" t="s">
        <v>5412</v>
      </c>
      <c r="G50" t="s">
        <v>5888</v>
      </c>
      <c r="H50" t="s">
        <v>5983</v>
      </c>
      <c r="I50" t="s">
        <v>6063</v>
      </c>
      <c r="J50" t="s">
        <v>4342</v>
      </c>
      <c r="K50" t="s">
        <v>4079</v>
      </c>
    </row>
    <row r="51" spans="3:11" x14ac:dyDescent="0.25">
      <c r="C51" t="s">
        <v>3300</v>
      </c>
      <c r="D51" t="s">
        <v>3312</v>
      </c>
      <c r="E51" t="s">
        <v>5271</v>
      </c>
      <c r="F51" t="s">
        <v>3601</v>
      </c>
      <c r="G51" t="s">
        <v>5889</v>
      </c>
      <c r="H51" t="s">
        <v>5984</v>
      </c>
      <c r="I51" t="s">
        <v>6064</v>
      </c>
      <c r="J51" t="s">
        <v>4343</v>
      </c>
      <c r="K51" t="s">
        <v>4080</v>
      </c>
    </row>
    <row r="52" spans="3:11" x14ac:dyDescent="0.25">
      <c r="C52" t="s">
        <v>3301</v>
      </c>
      <c r="D52" t="s">
        <v>3313</v>
      </c>
      <c r="E52" t="s">
        <v>5272</v>
      </c>
      <c r="F52" t="s">
        <v>3602</v>
      </c>
      <c r="G52" t="s">
        <v>5890</v>
      </c>
      <c r="H52" t="s">
        <v>5985</v>
      </c>
      <c r="I52" t="s">
        <v>6065</v>
      </c>
      <c r="J52" t="s">
        <v>6126</v>
      </c>
      <c r="K52" t="s">
        <v>4081</v>
      </c>
    </row>
    <row r="53" spans="3:11" x14ac:dyDescent="0.25">
      <c r="C53" t="s">
        <v>3302</v>
      </c>
      <c r="D53" t="s">
        <v>3314</v>
      </c>
      <c r="E53" t="s">
        <v>4149</v>
      </c>
      <c r="F53" t="s">
        <v>3603</v>
      </c>
      <c r="G53" t="s">
        <v>5891</v>
      </c>
      <c r="H53" t="s">
        <v>5986</v>
      </c>
      <c r="I53" t="s">
        <v>4084</v>
      </c>
      <c r="J53" t="s">
        <v>6127</v>
      </c>
      <c r="K53" t="s">
        <v>4082</v>
      </c>
    </row>
    <row r="54" spans="3:11" x14ac:dyDescent="0.25">
      <c r="C54" t="s">
        <v>3303</v>
      </c>
      <c r="D54" t="s">
        <v>3316</v>
      </c>
      <c r="E54" t="s">
        <v>5273</v>
      </c>
      <c r="F54" t="s">
        <v>3604</v>
      </c>
      <c r="G54" t="s">
        <v>5288</v>
      </c>
      <c r="H54" t="s">
        <v>4097</v>
      </c>
      <c r="I54" t="s">
        <v>4085</v>
      </c>
      <c r="J54" t="s">
        <v>6128</v>
      </c>
      <c r="K54" t="s">
        <v>4083</v>
      </c>
    </row>
    <row r="55" spans="3:11" x14ac:dyDescent="0.25">
      <c r="C55" t="s">
        <v>3304</v>
      </c>
      <c r="D55" t="s">
        <v>3317</v>
      </c>
      <c r="E55" t="s">
        <v>5274</v>
      </c>
      <c r="F55" t="s">
        <v>3605</v>
      </c>
      <c r="G55" t="s">
        <v>4163</v>
      </c>
      <c r="H55" t="s">
        <v>5987</v>
      </c>
      <c r="I55" t="s">
        <v>4089</v>
      </c>
      <c r="J55" t="s">
        <v>6129</v>
      </c>
      <c r="K55" t="s">
        <v>4084</v>
      </c>
    </row>
    <row r="56" spans="3:11" x14ac:dyDescent="0.25">
      <c r="C56" t="s">
        <v>3305</v>
      </c>
      <c r="D56" t="s">
        <v>4874</v>
      </c>
      <c r="E56" t="s">
        <v>5275</v>
      </c>
      <c r="F56" t="s">
        <v>4264</v>
      </c>
      <c r="G56" t="s">
        <v>5892</v>
      </c>
      <c r="H56" t="s">
        <v>4101</v>
      </c>
      <c r="I56" t="s">
        <v>6066</v>
      </c>
      <c r="J56" t="s">
        <v>6130</v>
      </c>
      <c r="K56" t="s">
        <v>4085</v>
      </c>
    </row>
    <row r="57" spans="3:11" x14ac:dyDescent="0.25">
      <c r="C57" t="s">
        <v>3306</v>
      </c>
      <c r="D57" t="s">
        <v>4875</v>
      </c>
      <c r="E57" t="s">
        <v>5276</v>
      </c>
      <c r="F57" t="s">
        <v>4943</v>
      </c>
      <c r="G57" t="s">
        <v>5289</v>
      </c>
      <c r="H57" t="s">
        <v>5988</v>
      </c>
      <c r="I57" t="s">
        <v>6067</v>
      </c>
      <c r="J57" t="s">
        <v>4344</v>
      </c>
      <c r="K57" t="s">
        <v>4086</v>
      </c>
    </row>
    <row r="58" spans="3:11" x14ac:dyDescent="0.25">
      <c r="C58" t="s">
        <v>3307</v>
      </c>
      <c r="D58" t="s">
        <v>4876</v>
      </c>
      <c r="E58" t="s">
        <v>5277</v>
      </c>
      <c r="F58" t="s">
        <v>4944</v>
      </c>
      <c r="G58" t="s">
        <v>5290</v>
      </c>
      <c r="H58" t="s">
        <v>5989</v>
      </c>
      <c r="I58" t="s">
        <v>6068</v>
      </c>
      <c r="J58" t="s">
        <v>4345</v>
      </c>
      <c r="K58" t="s">
        <v>4087</v>
      </c>
    </row>
    <row r="59" spans="3:11" x14ac:dyDescent="0.25">
      <c r="C59" t="s">
        <v>3308</v>
      </c>
      <c r="D59" t="s">
        <v>4877</v>
      </c>
      <c r="E59" t="s">
        <v>5278</v>
      </c>
      <c r="F59" t="s">
        <v>4945</v>
      </c>
      <c r="G59" t="s">
        <v>5291</v>
      </c>
      <c r="H59" t="s">
        <v>5990</v>
      </c>
      <c r="I59" t="s">
        <v>6069</v>
      </c>
      <c r="J59" t="s">
        <v>4346</v>
      </c>
      <c r="K59" t="s">
        <v>4088</v>
      </c>
    </row>
    <row r="60" spans="3:11" x14ac:dyDescent="0.25">
      <c r="C60" t="s">
        <v>3309</v>
      </c>
      <c r="D60" t="s">
        <v>4878</v>
      </c>
      <c r="E60" t="s">
        <v>5279</v>
      </c>
      <c r="F60" t="s">
        <v>4946</v>
      </c>
      <c r="G60" t="s">
        <v>5292</v>
      </c>
      <c r="H60" t="s">
        <v>5991</v>
      </c>
      <c r="I60" t="s">
        <v>6070</v>
      </c>
      <c r="J60" t="s">
        <v>4347</v>
      </c>
      <c r="K60" t="s">
        <v>4089</v>
      </c>
    </row>
    <row r="61" spans="3:11" x14ac:dyDescent="0.25">
      <c r="C61" t="s">
        <v>3310</v>
      </c>
      <c r="D61" t="s">
        <v>3320</v>
      </c>
      <c r="E61" t="s">
        <v>4152</v>
      </c>
      <c r="F61" t="s">
        <v>3607</v>
      </c>
      <c r="G61" t="s">
        <v>5293</v>
      </c>
      <c r="H61" t="s">
        <v>5992</v>
      </c>
      <c r="I61" t="s">
        <v>5974</v>
      </c>
      <c r="J61" t="s">
        <v>6131</v>
      </c>
      <c r="K61" t="s">
        <v>4090</v>
      </c>
    </row>
    <row r="62" spans="3:11" x14ac:dyDescent="0.25">
      <c r="C62" t="s">
        <v>3311</v>
      </c>
      <c r="D62" t="s">
        <v>3321</v>
      </c>
      <c r="E62" t="s">
        <v>5280</v>
      </c>
      <c r="F62" t="s">
        <v>3608</v>
      </c>
      <c r="G62" t="s">
        <v>4167</v>
      </c>
      <c r="H62" t="s">
        <v>5993</v>
      </c>
      <c r="I62" t="s">
        <v>4090</v>
      </c>
      <c r="J62" t="s">
        <v>6132</v>
      </c>
      <c r="K62" t="s">
        <v>4091</v>
      </c>
    </row>
    <row r="63" spans="3:11" x14ac:dyDescent="0.25">
      <c r="C63" t="s">
        <v>3312</v>
      </c>
      <c r="D63" t="s">
        <v>3322</v>
      </c>
      <c r="E63" t="s">
        <v>5281</v>
      </c>
      <c r="F63" t="s">
        <v>3609</v>
      </c>
      <c r="G63" t="s">
        <v>5893</v>
      </c>
      <c r="H63" t="s">
        <v>5994</v>
      </c>
      <c r="I63" t="s">
        <v>5980</v>
      </c>
      <c r="J63" t="s">
        <v>6133</v>
      </c>
      <c r="K63" t="s">
        <v>4092</v>
      </c>
    </row>
    <row r="64" spans="3:11" x14ac:dyDescent="0.25">
      <c r="C64" t="s">
        <v>3313</v>
      </c>
      <c r="D64" t="s">
        <v>4254</v>
      </c>
      <c r="E64" t="s">
        <v>5282</v>
      </c>
      <c r="F64" t="s">
        <v>4265</v>
      </c>
      <c r="G64" t="s">
        <v>5894</v>
      </c>
      <c r="H64" t="s">
        <v>4105</v>
      </c>
      <c r="I64" t="s">
        <v>4094</v>
      </c>
      <c r="J64" t="s">
        <v>6134</v>
      </c>
      <c r="K64" t="s">
        <v>4093</v>
      </c>
    </row>
    <row r="65" spans="3:11" x14ac:dyDescent="0.25">
      <c r="C65" t="s">
        <v>3314</v>
      </c>
      <c r="D65" t="s">
        <v>3323</v>
      </c>
      <c r="E65" t="s">
        <v>5283</v>
      </c>
      <c r="F65" t="s">
        <v>3611</v>
      </c>
      <c r="G65" t="s">
        <v>5895</v>
      </c>
      <c r="H65" t="s">
        <v>5995</v>
      </c>
      <c r="I65" t="s">
        <v>6071</v>
      </c>
      <c r="J65" t="s">
        <v>4348</v>
      </c>
      <c r="K65" t="s">
        <v>4094</v>
      </c>
    </row>
    <row r="66" spans="3:11" x14ac:dyDescent="0.25">
      <c r="C66" t="s">
        <v>3315</v>
      </c>
      <c r="D66" t="s">
        <v>4879</v>
      </c>
      <c r="E66" t="s">
        <v>5284</v>
      </c>
      <c r="F66" t="s">
        <v>3612</v>
      </c>
      <c r="G66" t="s">
        <v>5896</v>
      </c>
      <c r="H66" t="s">
        <v>4107</v>
      </c>
      <c r="I66" t="s">
        <v>5982</v>
      </c>
      <c r="J66" t="s">
        <v>4349</v>
      </c>
      <c r="K66" t="s">
        <v>4095</v>
      </c>
    </row>
    <row r="67" spans="3:11" x14ac:dyDescent="0.25">
      <c r="C67" t="s">
        <v>3316</v>
      </c>
      <c r="D67" t="s">
        <v>4880</v>
      </c>
      <c r="E67" t="s">
        <v>5285</v>
      </c>
      <c r="F67" t="s">
        <v>3613</v>
      </c>
      <c r="G67" t="s">
        <v>5897</v>
      </c>
      <c r="H67" t="s">
        <v>5996</v>
      </c>
      <c r="I67" t="s">
        <v>5983</v>
      </c>
      <c r="J67" t="s">
        <v>6135</v>
      </c>
      <c r="K67" t="s">
        <v>4096</v>
      </c>
    </row>
    <row r="68" spans="3:11" x14ac:dyDescent="0.25">
      <c r="C68" t="s">
        <v>3317</v>
      </c>
      <c r="D68" t="s">
        <v>4881</v>
      </c>
      <c r="E68" t="s">
        <v>5286</v>
      </c>
      <c r="F68" t="s">
        <v>3614</v>
      </c>
      <c r="G68" t="s">
        <v>5898</v>
      </c>
      <c r="H68" t="s">
        <v>5997</v>
      </c>
      <c r="I68" t="s">
        <v>5984</v>
      </c>
      <c r="J68" t="s">
        <v>6136</v>
      </c>
      <c r="K68" t="s">
        <v>4097</v>
      </c>
    </row>
    <row r="69" spans="3:11" x14ac:dyDescent="0.25">
      <c r="C69" t="s">
        <v>3318</v>
      </c>
      <c r="D69" t="s">
        <v>4882</v>
      </c>
      <c r="E69" t="s">
        <v>4155</v>
      </c>
      <c r="F69" t="s">
        <v>3615</v>
      </c>
      <c r="G69" t="s">
        <v>5294</v>
      </c>
      <c r="H69" t="s">
        <v>5998</v>
      </c>
      <c r="I69" t="s">
        <v>5985</v>
      </c>
      <c r="J69" t="s">
        <v>4350</v>
      </c>
      <c r="K69" t="s">
        <v>4098</v>
      </c>
    </row>
    <row r="70" spans="3:11" x14ac:dyDescent="0.25">
      <c r="C70" t="s">
        <v>3319</v>
      </c>
      <c r="D70" t="s">
        <v>3324</v>
      </c>
      <c r="E70" t="s">
        <v>5287</v>
      </c>
      <c r="F70" t="s">
        <v>3616</v>
      </c>
      <c r="G70" t="s">
        <v>4169</v>
      </c>
      <c r="H70" t="s">
        <v>5999</v>
      </c>
      <c r="I70" t="s">
        <v>5986</v>
      </c>
      <c r="J70" t="s">
        <v>6137</v>
      </c>
      <c r="K70" t="s">
        <v>4099</v>
      </c>
    </row>
    <row r="71" spans="3:11" x14ac:dyDescent="0.25">
      <c r="C71" t="s">
        <v>3320</v>
      </c>
      <c r="D71" t="s">
        <v>3325</v>
      </c>
      <c r="E71" t="s">
        <v>4158</v>
      </c>
      <c r="F71" t="s">
        <v>5413</v>
      </c>
      <c r="G71" t="s">
        <v>5295</v>
      </c>
      <c r="H71" t="s">
        <v>6000</v>
      </c>
      <c r="I71" t="s">
        <v>4097</v>
      </c>
      <c r="J71" t="s">
        <v>6138</v>
      </c>
      <c r="K71" t="s">
        <v>4100</v>
      </c>
    </row>
    <row r="72" spans="3:11" x14ac:dyDescent="0.25">
      <c r="C72" t="s">
        <v>3321</v>
      </c>
      <c r="D72" t="s">
        <v>4255</v>
      </c>
      <c r="E72" t="s">
        <v>5288</v>
      </c>
      <c r="F72" t="s">
        <v>5414</v>
      </c>
      <c r="G72" t="s">
        <v>5296</v>
      </c>
      <c r="H72" t="s">
        <v>4109</v>
      </c>
      <c r="I72" t="s">
        <v>6072</v>
      </c>
      <c r="J72" t="s">
        <v>6139</v>
      </c>
      <c r="K72" t="s">
        <v>4101</v>
      </c>
    </row>
    <row r="73" spans="3:11" x14ac:dyDescent="0.25">
      <c r="C73" t="s">
        <v>3322</v>
      </c>
      <c r="D73" t="s">
        <v>4256</v>
      </c>
      <c r="E73" t="s">
        <v>4163</v>
      </c>
      <c r="F73" t="s">
        <v>5415</v>
      </c>
      <c r="G73" t="s">
        <v>5297</v>
      </c>
      <c r="H73" t="s">
        <v>6001</v>
      </c>
      <c r="I73" t="s">
        <v>6073</v>
      </c>
      <c r="J73" t="s">
        <v>6140</v>
      </c>
      <c r="K73" t="s">
        <v>4102</v>
      </c>
    </row>
    <row r="74" spans="3:11" x14ac:dyDescent="0.25">
      <c r="C74" t="s">
        <v>3323</v>
      </c>
      <c r="D74" t="s">
        <v>4883</v>
      </c>
      <c r="E74" t="s">
        <v>4165</v>
      </c>
      <c r="F74" t="s">
        <v>5416</v>
      </c>
      <c r="G74" t="s">
        <v>5298</v>
      </c>
      <c r="H74" t="s">
        <v>4111</v>
      </c>
      <c r="I74" t="s">
        <v>6074</v>
      </c>
      <c r="J74" t="s">
        <v>6141</v>
      </c>
      <c r="K74" t="s">
        <v>4103</v>
      </c>
    </row>
    <row r="75" spans="3:11" x14ac:dyDescent="0.25">
      <c r="C75" t="s">
        <v>3324</v>
      </c>
      <c r="D75" t="s">
        <v>4884</v>
      </c>
      <c r="E75" t="s">
        <v>5289</v>
      </c>
      <c r="F75" t="s">
        <v>5417</v>
      </c>
      <c r="G75" t="s">
        <v>5299</v>
      </c>
      <c r="H75" t="s">
        <v>6002</v>
      </c>
      <c r="I75" t="s">
        <v>6075</v>
      </c>
      <c r="J75" t="s">
        <v>6142</v>
      </c>
      <c r="K75" t="s">
        <v>4104</v>
      </c>
    </row>
    <row r="76" spans="3:11" x14ac:dyDescent="0.25">
      <c r="C76" t="s">
        <v>3325</v>
      </c>
      <c r="D76" t="s">
        <v>4885</v>
      </c>
      <c r="E76" t="s">
        <v>5290</v>
      </c>
      <c r="F76" t="s">
        <v>5418</v>
      </c>
      <c r="G76" t="s">
        <v>5300</v>
      </c>
      <c r="H76" t="s">
        <v>6003</v>
      </c>
      <c r="I76" t="s">
        <v>6076</v>
      </c>
      <c r="J76" t="s">
        <v>4351</v>
      </c>
      <c r="K76" t="s">
        <v>4105</v>
      </c>
    </row>
    <row r="77" spans="3:11" x14ac:dyDescent="0.25">
      <c r="C77" t="s">
        <v>3326</v>
      </c>
      <c r="D77" t="s">
        <v>4886</v>
      </c>
      <c r="E77" t="s">
        <v>5291</v>
      </c>
      <c r="F77" t="s">
        <v>3618</v>
      </c>
      <c r="G77" t="s">
        <v>5301</v>
      </c>
      <c r="H77" t="s">
        <v>6004</v>
      </c>
      <c r="I77" t="s">
        <v>6077</v>
      </c>
      <c r="J77" t="s">
        <v>6143</v>
      </c>
      <c r="K77" t="s">
        <v>4106</v>
      </c>
    </row>
    <row r="78" spans="3:11" x14ac:dyDescent="0.25">
      <c r="C78" t="s">
        <v>3327</v>
      </c>
      <c r="D78" t="s">
        <v>3326</v>
      </c>
      <c r="E78" t="s">
        <v>5292</v>
      </c>
      <c r="F78" t="s">
        <v>3619</v>
      </c>
      <c r="G78" t="s">
        <v>4172</v>
      </c>
      <c r="H78" t="s">
        <v>6005</v>
      </c>
      <c r="I78" t="s">
        <v>5987</v>
      </c>
      <c r="J78" t="s">
        <v>4352</v>
      </c>
      <c r="K78" t="s">
        <v>4107</v>
      </c>
    </row>
    <row r="79" spans="3:11" x14ac:dyDescent="0.25">
      <c r="C79" t="s">
        <v>3328</v>
      </c>
      <c r="D79" t="s">
        <v>3327</v>
      </c>
      <c r="E79" t="s">
        <v>5293</v>
      </c>
      <c r="F79" t="s">
        <v>3620</v>
      </c>
      <c r="G79" t="s">
        <v>5899</v>
      </c>
      <c r="H79" t="s">
        <v>6006</v>
      </c>
      <c r="I79" t="s">
        <v>4101</v>
      </c>
      <c r="J79" t="s">
        <v>6144</v>
      </c>
      <c r="K79" t="s">
        <v>4108</v>
      </c>
    </row>
    <row r="80" spans="3:11" x14ac:dyDescent="0.25">
      <c r="C80" t="s">
        <v>3329</v>
      </c>
      <c r="D80" t="s">
        <v>3328</v>
      </c>
      <c r="E80" t="s">
        <v>4167</v>
      </c>
      <c r="F80" t="s">
        <v>5419</v>
      </c>
      <c r="G80" t="s">
        <v>5900</v>
      </c>
      <c r="H80" t="s">
        <v>4112</v>
      </c>
      <c r="I80" t="s">
        <v>5988</v>
      </c>
      <c r="J80" t="s">
        <v>6145</v>
      </c>
      <c r="K80" t="s">
        <v>4109</v>
      </c>
    </row>
    <row r="81" spans="3:11" x14ac:dyDescent="0.25">
      <c r="C81" t="s">
        <v>3330</v>
      </c>
      <c r="D81" t="s">
        <v>4887</v>
      </c>
      <c r="E81" t="s">
        <v>5294</v>
      </c>
      <c r="F81" t="s">
        <v>5420</v>
      </c>
      <c r="G81" t="s">
        <v>5901</v>
      </c>
      <c r="H81" t="s">
        <v>6007</v>
      </c>
      <c r="I81" t="s">
        <v>5989</v>
      </c>
      <c r="J81" t="s">
        <v>6146</v>
      </c>
      <c r="K81" t="s">
        <v>4110</v>
      </c>
    </row>
    <row r="82" spans="3:11" x14ac:dyDescent="0.25">
      <c r="C82" t="s">
        <v>3331</v>
      </c>
      <c r="D82" t="s">
        <v>3329</v>
      </c>
      <c r="E82" t="s">
        <v>4169</v>
      </c>
      <c r="F82" t="s">
        <v>5421</v>
      </c>
      <c r="G82" t="s">
        <v>5902</v>
      </c>
      <c r="H82" t="s">
        <v>4115</v>
      </c>
      <c r="I82" t="s">
        <v>5990</v>
      </c>
      <c r="J82" t="s">
        <v>6147</v>
      </c>
      <c r="K82" t="s">
        <v>4111</v>
      </c>
    </row>
    <row r="83" spans="3:11" x14ac:dyDescent="0.25">
      <c r="C83" t="s">
        <v>3332</v>
      </c>
      <c r="D83" t="s">
        <v>3330</v>
      </c>
      <c r="E83" t="s">
        <v>5295</v>
      </c>
      <c r="F83" t="s">
        <v>5422</v>
      </c>
      <c r="G83" t="s">
        <v>5903</v>
      </c>
      <c r="H83" t="s">
        <v>6008</v>
      </c>
      <c r="I83" t="s">
        <v>5991</v>
      </c>
      <c r="J83" t="s">
        <v>4353</v>
      </c>
      <c r="K83" t="s">
        <v>4035</v>
      </c>
    </row>
    <row r="84" spans="3:11" x14ac:dyDescent="0.25">
      <c r="C84" t="s">
        <v>3333</v>
      </c>
      <c r="D84" t="s">
        <v>3331</v>
      </c>
      <c r="E84" t="s">
        <v>5296</v>
      </c>
      <c r="F84" t="s">
        <v>5423</v>
      </c>
      <c r="G84" t="s">
        <v>5904</v>
      </c>
      <c r="H84" t="s">
        <v>6009</v>
      </c>
      <c r="I84" t="s">
        <v>5992</v>
      </c>
      <c r="J84" t="s">
        <v>4354</v>
      </c>
      <c r="K84" t="s">
        <v>4112</v>
      </c>
    </row>
    <row r="85" spans="3:11" x14ac:dyDescent="0.25">
      <c r="C85" t="s">
        <v>3334</v>
      </c>
      <c r="D85" t="s">
        <v>3332</v>
      </c>
      <c r="E85" t="s">
        <v>5297</v>
      </c>
      <c r="F85" t="s">
        <v>3622</v>
      </c>
      <c r="G85" t="s">
        <v>4174</v>
      </c>
      <c r="H85" t="s">
        <v>6010</v>
      </c>
      <c r="I85" t="s">
        <v>5993</v>
      </c>
      <c r="J85" t="s">
        <v>6148</v>
      </c>
      <c r="K85" t="s">
        <v>4113</v>
      </c>
    </row>
    <row r="86" spans="3:11" x14ac:dyDescent="0.25">
      <c r="C86" t="s">
        <v>3335</v>
      </c>
      <c r="D86" t="s">
        <v>3333</v>
      </c>
      <c r="E86" t="s">
        <v>5298</v>
      </c>
      <c r="F86" t="s">
        <v>3623</v>
      </c>
      <c r="G86" t="s">
        <v>4175</v>
      </c>
      <c r="H86" t="s">
        <v>6011</v>
      </c>
      <c r="I86" t="s">
        <v>5994</v>
      </c>
      <c r="J86" t="s">
        <v>6149</v>
      </c>
      <c r="K86" t="s">
        <v>4114</v>
      </c>
    </row>
    <row r="87" spans="3:11" x14ac:dyDescent="0.25">
      <c r="C87" t="s">
        <v>3336</v>
      </c>
      <c r="D87" t="s">
        <v>3334</v>
      </c>
      <c r="E87" t="s">
        <v>5299</v>
      </c>
      <c r="F87" t="s">
        <v>4947</v>
      </c>
      <c r="G87" t="s">
        <v>4180</v>
      </c>
      <c r="H87" t="s">
        <v>6012</v>
      </c>
      <c r="I87" t="s">
        <v>4105</v>
      </c>
      <c r="J87" t="s">
        <v>6150</v>
      </c>
      <c r="K87" t="s">
        <v>4115</v>
      </c>
    </row>
    <row r="88" spans="3:11" x14ac:dyDescent="0.25">
      <c r="C88" t="s">
        <v>3337</v>
      </c>
      <c r="D88" t="s">
        <v>3335</v>
      </c>
      <c r="E88" t="s">
        <v>5300</v>
      </c>
      <c r="F88" t="s">
        <v>4266</v>
      </c>
      <c r="G88" t="s">
        <v>4181</v>
      </c>
      <c r="H88" t="s">
        <v>6013</v>
      </c>
      <c r="I88" t="s">
        <v>4107</v>
      </c>
      <c r="J88" t="s">
        <v>6151</v>
      </c>
      <c r="K88" t="s">
        <v>4116</v>
      </c>
    </row>
    <row r="89" spans="3:11" x14ac:dyDescent="0.25">
      <c r="C89" t="s">
        <v>3338</v>
      </c>
      <c r="D89" t="s">
        <v>3336</v>
      </c>
      <c r="E89" t="s">
        <v>5301</v>
      </c>
      <c r="F89" t="s">
        <v>4948</v>
      </c>
      <c r="G89" t="s">
        <v>5302</v>
      </c>
      <c r="H89" t="s">
        <v>4119</v>
      </c>
      <c r="I89" t="s">
        <v>5996</v>
      </c>
      <c r="J89" t="s">
        <v>6152</v>
      </c>
      <c r="K89" t="s">
        <v>4117</v>
      </c>
    </row>
    <row r="90" spans="3:11" x14ac:dyDescent="0.25">
      <c r="C90" t="s">
        <v>3339</v>
      </c>
      <c r="D90" t="s">
        <v>4257</v>
      </c>
      <c r="E90" t="s">
        <v>4172</v>
      </c>
      <c r="F90" t="s">
        <v>4949</v>
      </c>
      <c r="G90" t="s">
        <v>5303</v>
      </c>
      <c r="H90" t="s">
        <v>6014</v>
      </c>
      <c r="I90" t="s">
        <v>5997</v>
      </c>
      <c r="J90" t="s">
        <v>6153</v>
      </c>
      <c r="K90" t="s">
        <v>4118</v>
      </c>
    </row>
    <row r="91" spans="3:11" x14ac:dyDescent="0.25">
      <c r="C91" t="s">
        <v>3340</v>
      </c>
      <c r="D91" t="s">
        <v>4888</v>
      </c>
      <c r="E91" t="s">
        <v>4174</v>
      </c>
      <c r="F91" t="s">
        <v>4950</v>
      </c>
      <c r="G91" t="s">
        <v>5304</v>
      </c>
      <c r="H91" t="s">
        <v>6015</v>
      </c>
      <c r="I91" t="s">
        <v>5998</v>
      </c>
      <c r="J91" t="s">
        <v>6154</v>
      </c>
      <c r="K91" t="s">
        <v>4119</v>
      </c>
    </row>
    <row r="92" spans="3:11" x14ac:dyDescent="0.25">
      <c r="C92" t="s">
        <v>3341</v>
      </c>
      <c r="D92" t="s">
        <v>4889</v>
      </c>
      <c r="E92" t="s">
        <v>4175</v>
      </c>
      <c r="F92" t="s">
        <v>4951</v>
      </c>
      <c r="G92" t="s">
        <v>5305</v>
      </c>
      <c r="H92" t="s">
        <v>6016</v>
      </c>
      <c r="I92" t="s">
        <v>5999</v>
      </c>
      <c r="J92" t="s">
        <v>6155</v>
      </c>
      <c r="K92" t="s">
        <v>4120</v>
      </c>
    </row>
    <row r="93" spans="3:11" x14ac:dyDescent="0.25">
      <c r="C93" t="s">
        <v>3342</v>
      </c>
      <c r="D93" t="s">
        <v>4890</v>
      </c>
      <c r="E93" t="s">
        <v>4180</v>
      </c>
      <c r="F93" t="s">
        <v>3624</v>
      </c>
      <c r="G93" t="s">
        <v>4183</v>
      </c>
      <c r="H93" t="s">
        <v>6017</v>
      </c>
      <c r="I93" t="s">
        <v>6000</v>
      </c>
      <c r="J93" t="s">
        <v>4355</v>
      </c>
      <c r="K93" t="s">
        <v>4121</v>
      </c>
    </row>
    <row r="94" spans="3:11" x14ac:dyDescent="0.25">
      <c r="C94" t="s">
        <v>3343</v>
      </c>
      <c r="D94" t="s">
        <v>4891</v>
      </c>
      <c r="E94" t="s">
        <v>4181</v>
      </c>
      <c r="F94" t="s">
        <v>3625</v>
      </c>
      <c r="G94" t="s">
        <v>4184</v>
      </c>
      <c r="H94" t="s">
        <v>6018</v>
      </c>
      <c r="I94" t="s">
        <v>4109</v>
      </c>
      <c r="J94" t="s">
        <v>4356</v>
      </c>
      <c r="K94" t="s">
        <v>4122</v>
      </c>
    </row>
    <row r="95" spans="3:11" x14ac:dyDescent="0.25">
      <c r="C95" t="s">
        <v>3344</v>
      </c>
      <c r="D95" t="s">
        <v>3338</v>
      </c>
      <c r="E95" t="s">
        <v>5302</v>
      </c>
      <c r="F95" t="s">
        <v>3627</v>
      </c>
      <c r="G95" t="s">
        <v>5306</v>
      </c>
      <c r="H95" t="s">
        <v>6019</v>
      </c>
      <c r="I95" t="s">
        <v>4111</v>
      </c>
      <c r="J95" t="s">
        <v>6156</v>
      </c>
      <c r="K95" t="s">
        <v>4007</v>
      </c>
    </row>
    <row r="96" spans="3:11" x14ac:dyDescent="0.25">
      <c r="C96" t="s">
        <v>3345</v>
      </c>
      <c r="D96" t="s">
        <v>3339</v>
      </c>
      <c r="E96" t="s">
        <v>5303</v>
      </c>
      <c r="F96" t="s">
        <v>3628</v>
      </c>
      <c r="G96" t="s">
        <v>5307</v>
      </c>
      <c r="H96" t="s">
        <v>5238</v>
      </c>
      <c r="I96" t="s">
        <v>6078</v>
      </c>
      <c r="J96" t="s">
        <v>6157</v>
      </c>
      <c r="K96" t="s">
        <v>4123</v>
      </c>
    </row>
    <row r="97" spans="3:11" x14ac:dyDescent="0.25">
      <c r="C97" t="s">
        <v>3346</v>
      </c>
      <c r="D97" t="s">
        <v>3340</v>
      </c>
      <c r="E97" t="s">
        <v>5304</v>
      </c>
      <c r="F97" t="s">
        <v>3629</v>
      </c>
      <c r="G97" t="s">
        <v>5308</v>
      </c>
      <c r="H97" t="s">
        <v>4007</v>
      </c>
      <c r="I97" t="s">
        <v>4035</v>
      </c>
      <c r="J97" t="s">
        <v>4357</v>
      </c>
      <c r="K97" t="s">
        <v>4124</v>
      </c>
    </row>
    <row r="98" spans="3:11" x14ac:dyDescent="0.25">
      <c r="C98" t="s">
        <v>3347</v>
      </c>
      <c r="D98" t="s">
        <v>3341</v>
      </c>
      <c r="E98" t="s">
        <v>5305</v>
      </c>
      <c r="F98" t="s">
        <v>5424</v>
      </c>
      <c r="G98" t="s">
        <v>5309</v>
      </c>
      <c r="H98" t="s">
        <v>5239</v>
      </c>
      <c r="I98" t="s">
        <v>6002</v>
      </c>
      <c r="J98" t="s">
        <v>6158</v>
      </c>
      <c r="K98" t="s">
        <v>4125</v>
      </c>
    </row>
    <row r="99" spans="3:11" x14ac:dyDescent="0.25">
      <c r="C99" t="s">
        <v>3348</v>
      </c>
      <c r="D99" t="s">
        <v>4892</v>
      </c>
      <c r="E99" t="s">
        <v>4183</v>
      </c>
      <c r="F99" t="s">
        <v>5425</v>
      </c>
      <c r="G99" t="s">
        <v>5310</v>
      </c>
      <c r="H99" t="s">
        <v>5241</v>
      </c>
      <c r="I99" t="s">
        <v>6003</v>
      </c>
      <c r="J99" t="s">
        <v>6159</v>
      </c>
      <c r="K99" t="s">
        <v>4126</v>
      </c>
    </row>
    <row r="100" spans="3:11" x14ac:dyDescent="0.25">
      <c r="C100" t="s">
        <v>3349</v>
      </c>
      <c r="D100" t="s">
        <v>3343</v>
      </c>
      <c r="E100" t="s">
        <v>4184</v>
      </c>
      <c r="F100" t="s">
        <v>5426</v>
      </c>
      <c r="G100" t="s">
        <v>5311</v>
      </c>
      <c r="H100" t="s">
        <v>5242</v>
      </c>
      <c r="I100" t="s">
        <v>6004</v>
      </c>
      <c r="J100" t="s">
        <v>6160</v>
      </c>
      <c r="K100" t="s">
        <v>4127</v>
      </c>
    </row>
    <row r="101" spans="3:11" x14ac:dyDescent="0.25">
      <c r="C101" t="s">
        <v>3350</v>
      </c>
      <c r="D101" t="s">
        <v>3344</v>
      </c>
      <c r="E101" t="s">
        <v>4185</v>
      </c>
      <c r="F101" t="s">
        <v>5427</v>
      </c>
      <c r="G101" t="s">
        <v>4187</v>
      </c>
      <c r="H101" t="s">
        <v>5243</v>
      </c>
      <c r="I101" t="s">
        <v>6005</v>
      </c>
      <c r="J101" t="s">
        <v>6161</v>
      </c>
      <c r="K101" t="s">
        <v>4009</v>
      </c>
    </row>
    <row r="102" spans="3:11" x14ac:dyDescent="0.25">
      <c r="C102" t="s">
        <v>3351</v>
      </c>
      <c r="D102" t="s">
        <v>3345</v>
      </c>
      <c r="E102" t="s">
        <v>5306</v>
      </c>
      <c r="F102" t="s">
        <v>5428</v>
      </c>
      <c r="G102" t="s">
        <v>4189</v>
      </c>
      <c r="H102" t="s">
        <v>5244</v>
      </c>
      <c r="I102" t="s">
        <v>6006</v>
      </c>
      <c r="J102" t="s">
        <v>6162</v>
      </c>
      <c r="K102" t="s">
        <v>4128</v>
      </c>
    </row>
    <row r="103" spans="3:11" x14ac:dyDescent="0.25">
      <c r="C103" t="s">
        <v>3352</v>
      </c>
      <c r="D103" t="s">
        <v>3346</v>
      </c>
      <c r="E103" t="s">
        <v>4186</v>
      </c>
      <c r="F103" t="s">
        <v>3631</v>
      </c>
      <c r="G103" t="s">
        <v>5314</v>
      </c>
      <c r="H103" t="s">
        <v>5245</v>
      </c>
      <c r="I103" t="s">
        <v>4112</v>
      </c>
      <c r="J103" t="s">
        <v>6163</v>
      </c>
      <c r="K103" t="s">
        <v>4129</v>
      </c>
    </row>
    <row r="104" spans="3:11" x14ac:dyDescent="0.25">
      <c r="C104" t="s">
        <v>3353</v>
      </c>
      <c r="D104" t="s">
        <v>3347</v>
      </c>
      <c r="E104" t="s">
        <v>5307</v>
      </c>
      <c r="F104" t="s">
        <v>3632</v>
      </c>
      <c r="G104" t="s">
        <v>5315</v>
      </c>
      <c r="H104" t="s">
        <v>4124</v>
      </c>
      <c r="I104" t="s">
        <v>6079</v>
      </c>
      <c r="J104" t="s">
        <v>6164</v>
      </c>
      <c r="K104" t="s">
        <v>4130</v>
      </c>
    </row>
    <row r="105" spans="3:11" x14ac:dyDescent="0.25">
      <c r="C105" t="s">
        <v>3354</v>
      </c>
      <c r="D105" t="s">
        <v>3348</v>
      </c>
      <c r="E105" t="s">
        <v>5308</v>
      </c>
      <c r="F105" t="s">
        <v>3633</v>
      </c>
      <c r="G105" t="s">
        <v>5316</v>
      </c>
      <c r="H105" t="s">
        <v>5246</v>
      </c>
      <c r="I105" t="s">
        <v>6080</v>
      </c>
      <c r="J105" t="s">
        <v>6165</v>
      </c>
      <c r="K105" t="s">
        <v>4131</v>
      </c>
    </row>
    <row r="106" spans="3:11" x14ac:dyDescent="0.25">
      <c r="C106" t="s">
        <v>3355</v>
      </c>
      <c r="D106" t="s">
        <v>3349</v>
      </c>
      <c r="E106" t="s">
        <v>5309</v>
      </c>
      <c r="F106" t="s">
        <v>4268</v>
      </c>
      <c r="G106" t="s">
        <v>5317</v>
      </c>
      <c r="H106" t="s">
        <v>5251</v>
      </c>
      <c r="I106" t="s">
        <v>6081</v>
      </c>
      <c r="J106" t="s">
        <v>6166</v>
      </c>
      <c r="K106" t="s">
        <v>4132</v>
      </c>
    </row>
    <row r="107" spans="3:11" x14ac:dyDescent="0.25">
      <c r="C107" t="s">
        <v>3356</v>
      </c>
      <c r="D107" t="s">
        <v>4893</v>
      </c>
      <c r="E107" t="s">
        <v>5310</v>
      </c>
      <c r="F107" t="s">
        <v>3635</v>
      </c>
      <c r="G107" t="s">
        <v>5318</v>
      </c>
      <c r="H107" t="s">
        <v>4009</v>
      </c>
      <c r="I107" t="s">
        <v>6082</v>
      </c>
      <c r="J107" t="s">
        <v>6167</v>
      </c>
      <c r="K107" t="s">
        <v>3666</v>
      </c>
    </row>
    <row r="108" spans="3:11" x14ac:dyDescent="0.25">
      <c r="C108" t="s">
        <v>3357</v>
      </c>
      <c r="D108" t="s">
        <v>3352</v>
      </c>
      <c r="E108" t="s">
        <v>5311</v>
      </c>
      <c r="F108" t="s">
        <v>3636</v>
      </c>
      <c r="G108" t="s">
        <v>4190</v>
      </c>
      <c r="H108" t="s">
        <v>6020</v>
      </c>
      <c r="I108" t="s">
        <v>6083</v>
      </c>
      <c r="J108" t="s">
        <v>6168</v>
      </c>
      <c r="K108" t="s">
        <v>4133</v>
      </c>
    </row>
    <row r="109" spans="3:11" x14ac:dyDescent="0.25">
      <c r="C109" t="s">
        <v>3358</v>
      </c>
      <c r="D109" t="s">
        <v>3353</v>
      </c>
      <c r="E109" t="s">
        <v>4187</v>
      </c>
      <c r="F109" t="s">
        <v>3637</v>
      </c>
      <c r="G109" t="s">
        <v>5319</v>
      </c>
      <c r="H109" t="s">
        <v>6021</v>
      </c>
      <c r="I109" t="s">
        <v>6084</v>
      </c>
      <c r="J109" t="s">
        <v>6169</v>
      </c>
      <c r="K109" t="s">
        <v>4134</v>
      </c>
    </row>
    <row r="110" spans="3:11" x14ac:dyDescent="0.25">
      <c r="C110" t="s">
        <v>3359</v>
      </c>
      <c r="D110" t="s">
        <v>3354</v>
      </c>
      <c r="E110" t="s">
        <v>5312</v>
      </c>
      <c r="F110" t="s">
        <v>3638</v>
      </c>
      <c r="G110" t="s">
        <v>5905</v>
      </c>
      <c r="H110" t="s">
        <v>6022</v>
      </c>
      <c r="I110" t="s">
        <v>6085</v>
      </c>
      <c r="J110" t="s">
        <v>6170</v>
      </c>
      <c r="K110" t="s">
        <v>4135</v>
      </c>
    </row>
    <row r="111" spans="3:11" x14ac:dyDescent="0.25">
      <c r="C111" t="s">
        <v>3360</v>
      </c>
      <c r="D111" t="s">
        <v>3355</v>
      </c>
      <c r="E111" t="s">
        <v>5313</v>
      </c>
      <c r="F111" t="s">
        <v>3639</v>
      </c>
      <c r="G111" t="s">
        <v>5906</v>
      </c>
      <c r="H111" t="s">
        <v>6023</v>
      </c>
      <c r="I111" t="s">
        <v>6007</v>
      </c>
      <c r="J111" t="s">
        <v>4358</v>
      </c>
      <c r="K111" t="s">
        <v>4136</v>
      </c>
    </row>
    <row r="112" spans="3:11" x14ac:dyDescent="0.25">
      <c r="C112" t="s">
        <v>3361</v>
      </c>
      <c r="D112" t="s">
        <v>3356</v>
      </c>
      <c r="E112" t="s">
        <v>5314</v>
      </c>
      <c r="F112" t="s">
        <v>3640</v>
      </c>
      <c r="G112" t="s">
        <v>5907</v>
      </c>
      <c r="H112" t="s">
        <v>6024</v>
      </c>
      <c r="I112" t="s">
        <v>4115</v>
      </c>
      <c r="J112" t="s">
        <v>6171</v>
      </c>
      <c r="K112" t="s">
        <v>4137</v>
      </c>
    </row>
    <row r="113" spans="3:11" x14ac:dyDescent="0.25">
      <c r="C113" t="s">
        <v>3362</v>
      </c>
      <c r="D113" t="s">
        <v>3357</v>
      </c>
      <c r="E113" t="s">
        <v>5315</v>
      </c>
      <c r="F113" t="s">
        <v>3641</v>
      </c>
      <c r="G113" t="s">
        <v>5908</v>
      </c>
      <c r="H113" t="s">
        <v>5252</v>
      </c>
      <c r="I113" t="s">
        <v>6086</v>
      </c>
      <c r="J113" t="s">
        <v>6172</v>
      </c>
      <c r="K113" t="s">
        <v>4138</v>
      </c>
    </row>
    <row r="114" spans="3:11" x14ac:dyDescent="0.25">
      <c r="C114" t="s">
        <v>3363</v>
      </c>
      <c r="D114" t="s">
        <v>3358</v>
      </c>
      <c r="E114" t="s">
        <v>5316</v>
      </c>
      <c r="F114" t="s">
        <v>3647</v>
      </c>
      <c r="G114" t="s">
        <v>5321</v>
      </c>
      <c r="H114" t="s">
        <v>4131</v>
      </c>
      <c r="I114" t="s">
        <v>6013</v>
      </c>
      <c r="J114" t="s">
        <v>6173</v>
      </c>
      <c r="K114" t="s">
        <v>4139</v>
      </c>
    </row>
    <row r="115" spans="3:11" x14ac:dyDescent="0.25">
      <c r="C115" t="s">
        <v>3364</v>
      </c>
      <c r="D115" t="s">
        <v>3364</v>
      </c>
      <c r="E115" t="s">
        <v>5317</v>
      </c>
      <c r="F115" t="s">
        <v>3648</v>
      </c>
      <c r="G115" t="s">
        <v>4192</v>
      </c>
      <c r="H115" t="s">
        <v>6025</v>
      </c>
      <c r="I115" t="s">
        <v>4119</v>
      </c>
      <c r="J115" t="s">
        <v>6174</v>
      </c>
      <c r="K115" t="s">
        <v>4140</v>
      </c>
    </row>
    <row r="116" spans="3:11" x14ac:dyDescent="0.25">
      <c r="C116" t="s">
        <v>3365</v>
      </c>
      <c r="D116" t="s">
        <v>3365</v>
      </c>
      <c r="E116" t="s">
        <v>5318</v>
      </c>
      <c r="F116" t="s">
        <v>4953</v>
      </c>
      <c r="G116" t="s">
        <v>5322</v>
      </c>
      <c r="H116" t="s">
        <v>5258</v>
      </c>
      <c r="I116" t="s">
        <v>5238</v>
      </c>
      <c r="J116" t="s">
        <v>6175</v>
      </c>
      <c r="K116" t="s">
        <v>4141</v>
      </c>
    </row>
    <row r="117" spans="3:11" x14ac:dyDescent="0.25">
      <c r="C117" t="s">
        <v>3366</v>
      </c>
      <c r="D117" t="s">
        <v>3366</v>
      </c>
      <c r="E117" t="s">
        <v>4190</v>
      </c>
      <c r="F117" t="s">
        <v>5429</v>
      </c>
      <c r="G117" t="s">
        <v>5323</v>
      </c>
      <c r="H117" t="s">
        <v>3666</v>
      </c>
      <c r="I117" t="s">
        <v>4007</v>
      </c>
      <c r="J117" t="s">
        <v>6176</v>
      </c>
      <c r="K117" t="s">
        <v>4142</v>
      </c>
    </row>
    <row r="118" spans="3:11" x14ac:dyDescent="0.25">
      <c r="C118" t="s">
        <v>3367</v>
      </c>
      <c r="D118" t="s">
        <v>4894</v>
      </c>
      <c r="E118" t="s">
        <v>5319</v>
      </c>
      <c r="F118" t="s">
        <v>5430</v>
      </c>
      <c r="G118" t="s">
        <v>5324</v>
      </c>
      <c r="H118" t="s">
        <v>6026</v>
      </c>
      <c r="I118" t="s">
        <v>4008</v>
      </c>
      <c r="J118" t="s">
        <v>6177</v>
      </c>
      <c r="K118" t="s">
        <v>4143</v>
      </c>
    </row>
    <row r="119" spans="3:11" x14ac:dyDescent="0.25">
      <c r="C119" t="s">
        <v>3368</v>
      </c>
      <c r="D119" t="s">
        <v>4895</v>
      </c>
      <c r="E119" t="s">
        <v>5320</v>
      </c>
      <c r="F119" t="s">
        <v>5431</v>
      </c>
      <c r="G119" t="s">
        <v>5325</v>
      </c>
      <c r="H119" t="s">
        <v>5259</v>
      </c>
      <c r="I119" t="s">
        <v>5245</v>
      </c>
      <c r="J119" t="s">
        <v>6178</v>
      </c>
      <c r="K119" t="s">
        <v>4144</v>
      </c>
    </row>
    <row r="120" spans="3:11" x14ac:dyDescent="0.25">
      <c r="C120" t="s">
        <v>3369</v>
      </c>
      <c r="D120" t="s">
        <v>3368</v>
      </c>
      <c r="E120" t="s">
        <v>5321</v>
      </c>
      <c r="F120" t="s">
        <v>5432</v>
      </c>
      <c r="G120" t="s">
        <v>5326</v>
      </c>
      <c r="H120" t="s">
        <v>4135</v>
      </c>
      <c r="I120" t="s">
        <v>4124</v>
      </c>
      <c r="J120" t="s">
        <v>4359</v>
      </c>
      <c r="K120" t="s">
        <v>4145</v>
      </c>
    </row>
    <row r="121" spans="3:11" x14ac:dyDescent="0.25">
      <c r="C121" t="s">
        <v>3370</v>
      </c>
      <c r="D121" t="s">
        <v>3369</v>
      </c>
      <c r="E121" t="s">
        <v>4192</v>
      </c>
      <c r="F121" t="s">
        <v>3649</v>
      </c>
      <c r="G121" t="s">
        <v>5327</v>
      </c>
      <c r="H121" t="s">
        <v>5868</v>
      </c>
      <c r="I121" t="s">
        <v>5246</v>
      </c>
      <c r="J121" t="s">
        <v>6179</v>
      </c>
      <c r="K121" t="s">
        <v>4146</v>
      </c>
    </row>
    <row r="122" spans="3:11" x14ac:dyDescent="0.25">
      <c r="C122" t="s">
        <v>3371</v>
      </c>
      <c r="D122" t="s">
        <v>3370</v>
      </c>
      <c r="E122" t="s">
        <v>5322</v>
      </c>
      <c r="F122" t="s">
        <v>3650</v>
      </c>
      <c r="G122" t="s">
        <v>5328</v>
      </c>
      <c r="H122" t="s">
        <v>5260</v>
      </c>
      <c r="I122" t="s">
        <v>5247</v>
      </c>
      <c r="J122" t="s">
        <v>4011</v>
      </c>
      <c r="K122" t="s">
        <v>4147</v>
      </c>
    </row>
    <row r="123" spans="3:11" x14ac:dyDescent="0.25">
      <c r="C123" t="s">
        <v>3372</v>
      </c>
      <c r="D123" t="s">
        <v>3371</v>
      </c>
      <c r="E123" t="s">
        <v>5323</v>
      </c>
      <c r="F123" t="s">
        <v>3651</v>
      </c>
      <c r="G123" t="s">
        <v>4194</v>
      </c>
      <c r="H123" t="s">
        <v>4137</v>
      </c>
      <c r="I123" t="s">
        <v>5248</v>
      </c>
      <c r="J123" t="s">
        <v>4012</v>
      </c>
      <c r="K123" t="s">
        <v>4148</v>
      </c>
    </row>
    <row r="124" spans="3:11" x14ac:dyDescent="0.25">
      <c r="C124" t="s">
        <v>3373</v>
      </c>
      <c r="D124" t="s">
        <v>3372</v>
      </c>
      <c r="E124" t="s">
        <v>5324</v>
      </c>
      <c r="F124" t="s">
        <v>5433</v>
      </c>
      <c r="G124" t="s">
        <v>5329</v>
      </c>
      <c r="H124" t="s">
        <v>6027</v>
      </c>
      <c r="I124" t="s">
        <v>5249</v>
      </c>
      <c r="J124" t="s">
        <v>4013</v>
      </c>
      <c r="K124" t="s">
        <v>4149</v>
      </c>
    </row>
    <row r="125" spans="3:11" x14ac:dyDescent="0.25">
      <c r="C125" t="s">
        <v>3374</v>
      </c>
      <c r="D125" t="s">
        <v>3373</v>
      </c>
      <c r="E125" t="s">
        <v>5325</v>
      </c>
      <c r="F125" t="s">
        <v>3653</v>
      </c>
      <c r="G125" t="s">
        <v>5330</v>
      </c>
      <c r="H125" t="s">
        <v>5262</v>
      </c>
      <c r="I125" t="s">
        <v>5250</v>
      </c>
      <c r="J125" t="s">
        <v>4014</v>
      </c>
      <c r="K125" t="s">
        <v>4150</v>
      </c>
    </row>
    <row r="126" spans="3:11" x14ac:dyDescent="0.25">
      <c r="C126" t="s">
        <v>3375</v>
      </c>
      <c r="D126" t="s">
        <v>3374</v>
      </c>
      <c r="E126" t="s">
        <v>5326</v>
      </c>
      <c r="F126" t="s">
        <v>3654</v>
      </c>
      <c r="G126" t="s">
        <v>5331</v>
      </c>
      <c r="H126" t="s">
        <v>5263</v>
      </c>
      <c r="I126" t="s">
        <v>5251</v>
      </c>
      <c r="J126" t="s">
        <v>6180</v>
      </c>
      <c r="K126" t="s">
        <v>4151</v>
      </c>
    </row>
    <row r="127" spans="3:11" x14ac:dyDescent="0.25">
      <c r="C127" t="s">
        <v>3376</v>
      </c>
      <c r="D127" t="s">
        <v>3377</v>
      </c>
      <c r="E127" t="s">
        <v>5327</v>
      </c>
      <c r="F127" t="s">
        <v>3655</v>
      </c>
      <c r="G127" t="s">
        <v>5332</v>
      </c>
      <c r="H127" t="s">
        <v>5264</v>
      </c>
      <c r="I127" t="s">
        <v>4009</v>
      </c>
      <c r="J127" t="s">
        <v>4040</v>
      </c>
      <c r="K127" t="s">
        <v>4152</v>
      </c>
    </row>
    <row r="128" spans="3:11" x14ac:dyDescent="0.25">
      <c r="C128" t="s">
        <v>3377</v>
      </c>
      <c r="D128" t="s">
        <v>3378</v>
      </c>
      <c r="E128" t="s">
        <v>5328</v>
      </c>
      <c r="F128" t="s">
        <v>3656</v>
      </c>
      <c r="G128" t="s">
        <v>5333</v>
      </c>
      <c r="H128" t="s">
        <v>5265</v>
      </c>
      <c r="I128" t="s">
        <v>6020</v>
      </c>
      <c r="J128" t="s">
        <v>4360</v>
      </c>
      <c r="K128" t="s">
        <v>4153</v>
      </c>
    </row>
    <row r="129" spans="3:11" x14ac:dyDescent="0.25">
      <c r="C129" t="s">
        <v>3378</v>
      </c>
      <c r="D129" t="s">
        <v>3379</v>
      </c>
      <c r="E129" t="s">
        <v>4194</v>
      </c>
      <c r="F129" t="s">
        <v>3657</v>
      </c>
      <c r="G129" t="s">
        <v>5334</v>
      </c>
      <c r="H129" t="s">
        <v>5266</v>
      </c>
      <c r="I129" t="s">
        <v>4130</v>
      </c>
      <c r="J129" t="s">
        <v>6181</v>
      </c>
      <c r="K129" t="s">
        <v>4154</v>
      </c>
    </row>
    <row r="130" spans="3:11" x14ac:dyDescent="0.25">
      <c r="C130" t="s">
        <v>3379</v>
      </c>
      <c r="D130" t="s">
        <v>3380</v>
      </c>
      <c r="E130" t="s">
        <v>5329</v>
      </c>
      <c r="F130" t="s">
        <v>3658</v>
      </c>
      <c r="G130" t="s">
        <v>4196</v>
      </c>
      <c r="H130" t="s">
        <v>4141</v>
      </c>
      <c r="I130" t="s">
        <v>6021</v>
      </c>
      <c r="J130" t="s">
        <v>4016</v>
      </c>
      <c r="K130" t="s">
        <v>4155</v>
      </c>
    </row>
    <row r="131" spans="3:11" x14ac:dyDescent="0.25">
      <c r="C131" t="s">
        <v>3380</v>
      </c>
      <c r="D131" t="s">
        <v>3381</v>
      </c>
      <c r="E131" t="s">
        <v>5330</v>
      </c>
      <c r="F131" t="s">
        <v>3659</v>
      </c>
      <c r="G131" t="s">
        <v>5335</v>
      </c>
      <c r="H131" t="s">
        <v>5267</v>
      </c>
      <c r="I131" t="s">
        <v>6022</v>
      </c>
      <c r="J131" t="s">
        <v>4017</v>
      </c>
      <c r="K131" t="s">
        <v>4156</v>
      </c>
    </row>
    <row r="132" spans="3:11" x14ac:dyDescent="0.25">
      <c r="C132" t="s">
        <v>3381</v>
      </c>
      <c r="D132" t="s">
        <v>3382</v>
      </c>
      <c r="E132" t="s">
        <v>5331</v>
      </c>
      <c r="F132" t="s">
        <v>4270</v>
      </c>
      <c r="G132" t="s">
        <v>5336</v>
      </c>
      <c r="H132" t="s">
        <v>4145</v>
      </c>
      <c r="I132" t="s">
        <v>6023</v>
      </c>
      <c r="J132" t="s">
        <v>4018</v>
      </c>
      <c r="K132" t="s">
        <v>4157</v>
      </c>
    </row>
    <row r="133" spans="3:11" x14ac:dyDescent="0.25">
      <c r="C133" t="s">
        <v>3382</v>
      </c>
      <c r="D133" t="s">
        <v>3384</v>
      </c>
      <c r="E133" t="s">
        <v>5332</v>
      </c>
      <c r="F133" t="s">
        <v>3661</v>
      </c>
      <c r="G133" t="s">
        <v>5337</v>
      </c>
      <c r="H133" t="s">
        <v>5879</v>
      </c>
      <c r="I133" t="s">
        <v>6024</v>
      </c>
      <c r="J133" t="s">
        <v>4019</v>
      </c>
      <c r="K133" t="s">
        <v>4158</v>
      </c>
    </row>
    <row r="134" spans="3:11" x14ac:dyDescent="0.25">
      <c r="C134" t="s">
        <v>3383</v>
      </c>
      <c r="D134" t="s">
        <v>3385</v>
      </c>
      <c r="E134" t="s">
        <v>5333</v>
      </c>
      <c r="F134" t="s">
        <v>3662</v>
      </c>
      <c r="G134" t="s">
        <v>5338</v>
      </c>
      <c r="H134" t="s">
        <v>5268</v>
      </c>
      <c r="I134" t="s">
        <v>5252</v>
      </c>
      <c r="J134" t="s">
        <v>6182</v>
      </c>
      <c r="K134" t="s">
        <v>4159</v>
      </c>
    </row>
    <row r="135" spans="3:11" x14ac:dyDescent="0.25">
      <c r="C135" t="s">
        <v>3384</v>
      </c>
      <c r="D135" t="s">
        <v>3386</v>
      </c>
      <c r="E135" t="s">
        <v>5334</v>
      </c>
      <c r="F135" t="s">
        <v>3663</v>
      </c>
      <c r="G135" t="s">
        <v>5339</v>
      </c>
      <c r="H135" t="s">
        <v>5269</v>
      </c>
      <c r="I135" t="s">
        <v>4131</v>
      </c>
      <c r="J135" t="s">
        <v>4042</v>
      </c>
      <c r="K135" t="s">
        <v>4160</v>
      </c>
    </row>
    <row r="136" spans="3:11" x14ac:dyDescent="0.25">
      <c r="C136" t="s">
        <v>3385</v>
      </c>
      <c r="D136" t="s">
        <v>3387</v>
      </c>
      <c r="E136" t="s">
        <v>4196</v>
      </c>
      <c r="F136" t="s">
        <v>3664</v>
      </c>
      <c r="G136" t="s">
        <v>5340</v>
      </c>
      <c r="H136" t="s">
        <v>5270</v>
      </c>
      <c r="I136" t="s">
        <v>6025</v>
      </c>
      <c r="J136" t="s">
        <v>4361</v>
      </c>
      <c r="K136" t="s">
        <v>4161</v>
      </c>
    </row>
    <row r="137" spans="3:11" x14ac:dyDescent="0.25">
      <c r="C137" t="s">
        <v>3386</v>
      </c>
      <c r="D137" t="s">
        <v>3388</v>
      </c>
      <c r="E137" t="s">
        <v>5335</v>
      </c>
      <c r="F137" t="s">
        <v>4954</v>
      </c>
      <c r="G137" t="s">
        <v>5341</v>
      </c>
      <c r="H137" t="s">
        <v>5271</v>
      </c>
      <c r="I137" t="s">
        <v>5258</v>
      </c>
      <c r="J137" t="s">
        <v>4044</v>
      </c>
      <c r="K137" t="s">
        <v>4162</v>
      </c>
    </row>
    <row r="138" spans="3:11" x14ac:dyDescent="0.25">
      <c r="C138" t="s">
        <v>3387</v>
      </c>
      <c r="D138" t="s">
        <v>3389</v>
      </c>
      <c r="E138" t="s">
        <v>5336</v>
      </c>
      <c r="F138" t="s">
        <v>4271</v>
      </c>
      <c r="G138" t="s">
        <v>4199</v>
      </c>
      <c r="H138" t="s">
        <v>5272</v>
      </c>
      <c r="I138" t="s">
        <v>3666</v>
      </c>
      <c r="J138" t="s">
        <v>4045</v>
      </c>
      <c r="K138" t="s">
        <v>4163</v>
      </c>
    </row>
    <row r="139" spans="3:11" x14ac:dyDescent="0.25">
      <c r="C139" t="s">
        <v>3388</v>
      </c>
      <c r="D139" t="s">
        <v>3390</v>
      </c>
      <c r="E139" t="s">
        <v>5337</v>
      </c>
      <c r="F139" t="s">
        <v>4955</v>
      </c>
      <c r="G139" t="s">
        <v>5342</v>
      </c>
      <c r="H139" t="s">
        <v>4149</v>
      </c>
      <c r="I139" t="s">
        <v>5259</v>
      </c>
      <c r="J139" t="s">
        <v>6183</v>
      </c>
      <c r="K139" t="s">
        <v>4164</v>
      </c>
    </row>
    <row r="140" spans="3:11" x14ac:dyDescent="0.25">
      <c r="C140" t="s">
        <v>3389</v>
      </c>
      <c r="D140" t="s">
        <v>3391</v>
      </c>
      <c r="E140" t="s">
        <v>5338</v>
      </c>
      <c r="F140" t="s">
        <v>4272</v>
      </c>
      <c r="G140" t="s">
        <v>5348</v>
      </c>
      <c r="H140" t="s">
        <v>5273</v>
      </c>
      <c r="I140" t="s">
        <v>4135</v>
      </c>
      <c r="J140" t="s">
        <v>6184</v>
      </c>
      <c r="K140" t="s">
        <v>6211</v>
      </c>
    </row>
    <row r="141" spans="3:11" x14ac:dyDescent="0.25">
      <c r="C141" t="s">
        <v>3390</v>
      </c>
      <c r="D141" t="s">
        <v>3392</v>
      </c>
      <c r="E141" t="s">
        <v>5339</v>
      </c>
      <c r="F141" t="s">
        <v>5434</v>
      </c>
      <c r="G141" t="s">
        <v>4201</v>
      </c>
      <c r="H141" t="s">
        <v>5279</v>
      </c>
      <c r="I141" t="s">
        <v>5260</v>
      </c>
      <c r="J141" t="s">
        <v>6185</v>
      </c>
      <c r="K141" t="s">
        <v>6212</v>
      </c>
    </row>
    <row r="142" spans="3:11" x14ac:dyDescent="0.25">
      <c r="C142" t="s">
        <v>3391</v>
      </c>
      <c r="D142" t="s">
        <v>4258</v>
      </c>
      <c r="E142" t="s">
        <v>5340</v>
      </c>
      <c r="F142" t="s">
        <v>5435</v>
      </c>
      <c r="G142" t="s">
        <v>5349</v>
      </c>
      <c r="H142" t="s">
        <v>4152</v>
      </c>
      <c r="I142" t="s">
        <v>4137</v>
      </c>
      <c r="J142" t="s">
        <v>6186</v>
      </c>
      <c r="K142" t="s">
        <v>4167</v>
      </c>
    </row>
    <row r="143" spans="3:11" x14ac:dyDescent="0.25">
      <c r="C143" t="s">
        <v>3392</v>
      </c>
      <c r="D143" t="s">
        <v>3394</v>
      </c>
      <c r="E143" t="s">
        <v>5341</v>
      </c>
      <c r="F143" t="s">
        <v>5436</v>
      </c>
      <c r="G143" t="s">
        <v>5909</v>
      </c>
      <c r="H143" t="s">
        <v>5286</v>
      </c>
      <c r="I143" t="s">
        <v>5266</v>
      </c>
      <c r="J143" t="s">
        <v>4362</v>
      </c>
      <c r="K143" t="s">
        <v>4168</v>
      </c>
    </row>
    <row r="144" spans="3:11" x14ac:dyDescent="0.25">
      <c r="C144" t="s">
        <v>3393</v>
      </c>
      <c r="D144" t="s">
        <v>4896</v>
      </c>
      <c r="E144" t="s">
        <v>4199</v>
      </c>
      <c r="F144" t="s">
        <v>5437</v>
      </c>
      <c r="G144" t="s">
        <v>5910</v>
      </c>
      <c r="H144" t="s">
        <v>4155</v>
      </c>
      <c r="I144" t="s">
        <v>4141</v>
      </c>
      <c r="J144" t="s">
        <v>4046</v>
      </c>
      <c r="K144" t="s">
        <v>5894</v>
      </c>
    </row>
    <row r="145" spans="3:11" x14ac:dyDescent="0.25">
      <c r="C145" t="s">
        <v>3394</v>
      </c>
      <c r="D145" t="s">
        <v>4897</v>
      </c>
      <c r="E145" t="s">
        <v>5342</v>
      </c>
      <c r="F145" t="s">
        <v>4956</v>
      </c>
      <c r="G145" t="s">
        <v>5911</v>
      </c>
      <c r="H145" t="s">
        <v>5287</v>
      </c>
      <c r="I145" t="s">
        <v>5267</v>
      </c>
      <c r="J145" t="s">
        <v>6187</v>
      </c>
      <c r="K145" t="s">
        <v>6213</v>
      </c>
    </row>
    <row r="146" spans="3:11" x14ac:dyDescent="0.25">
      <c r="C146" t="s">
        <v>3395</v>
      </c>
      <c r="D146" t="s">
        <v>4898</v>
      </c>
      <c r="E146" t="s">
        <v>5343</v>
      </c>
      <c r="F146" t="s">
        <v>4273</v>
      </c>
      <c r="G146" t="s">
        <v>5912</v>
      </c>
      <c r="H146" t="s">
        <v>4158</v>
      </c>
      <c r="I146" t="s">
        <v>4145</v>
      </c>
      <c r="J146" t="s">
        <v>4363</v>
      </c>
      <c r="K146" t="s">
        <v>4169</v>
      </c>
    </row>
    <row r="147" spans="3:11" x14ac:dyDescent="0.25">
      <c r="C147" t="s">
        <v>3396</v>
      </c>
      <c r="D147" t="s">
        <v>4899</v>
      </c>
      <c r="E147" t="s">
        <v>5344</v>
      </c>
      <c r="F147" t="s">
        <v>5438</v>
      </c>
      <c r="G147" t="s">
        <v>5913</v>
      </c>
      <c r="H147" t="s">
        <v>5887</v>
      </c>
      <c r="I147" t="s">
        <v>5879</v>
      </c>
      <c r="J147" t="s">
        <v>4048</v>
      </c>
      <c r="K147" t="s">
        <v>4170</v>
      </c>
    </row>
    <row r="148" spans="3:11" x14ac:dyDescent="0.25">
      <c r="C148" t="s">
        <v>3397</v>
      </c>
      <c r="D148" t="s">
        <v>3395</v>
      </c>
      <c r="E148" t="s">
        <v>5345</v>
      </c>
      <c r="F148" t="s">
        <v>5439</v>
      </c>
      <c r="G148" t="s">
        <v>5350</v>
      </c>
      <c r="H148" t="s">
        <v>5288</v>
      </c>
      <c r="I148" t="s">
        <v>4148</v>
      </c>
      <c r="J148" t="s">
        <v>6043</v>
      </c>
      <c r="K148" t="s">
        <v>4171</v>
      </c>
    </row>
    <row r="149" spans="3:11" x14ac:dyDescent="0.25">
      <c r="C149" t="s">
        <v>3398</v>
      </c>
      <c r="D149" t="s">
        <v>3396</v>
      </c>
      <c r="E149" t="s">
        <v>5346</v>
      </c>
      <c r="F149" t="s">
        <v>4958</v>
      </c>
      <c r="G149" t="s">
        <v>4204</v>
      </c>
      <c r="H149" t="s">
        <v>4163</v>
      </c>
      <c r="I149" t="s">
        <v>5268</v>
      </c>
      <c r="J149" t="s">
        <v>4020</v>
      </c>
      <c r="K149" t="s">
        <v>4172</v>
      </c>
    </row>
    <row r="150" spans="3:11" x14ac:dyDescent="0.25">
      <c r="C150" t="s">
        <v>3399</v>
      </c>
      <c r="D150" t="s">
        <v>4900</v>
      </c>
      <c r="E150" t="s">
        <v>5347</v>
      </c>
      <c r="F150" t="s">
        <v>4959</v>
      </c>
      <c r="G150" t="s">
        <v>5914</v>
      </c>
      <c r="H150" t="s">
        <v>5892</v>
      </c>
      <c r="I150" t="s">
        <v>5269</v>
      </c>
      <c r="J150" t="s">
        <v>6044</v>
      </c>
      <c r="K150" t="s">
        <v>4173</v>
      </c>
    </row>
    <row r="151" spans="3:11" x14ac:dyDescent="0.25">
      <c r="C151" t="s">
        <v>3400</v>
      </c>
      <c r="D151" t="s">
        <v>3397</v>
      </c>
      <c r="E151" t="s">
        <v>5348</v>
      </c>
      <c r="F151" t="s">
        <v>4960</v>
      </c>
      <c r="G151" t="s">
        <v>5351</v>
      </c>
      <c r="H151" t="s">
        <v>5289</v>
      </c>
      <c r="I151" t="s">
        <v>5270</v>
      </c>
      <c r="J151" t="s">
        <v>6045</v>
      </c>
      <c r="K151" t="s">
        <v>6214</v>
      </c>
    </row>
    <row r="152" spans="3:11" x14ac:dyDescent="0.25">
      <c r="C152" t="s">
        <v>3401</v>
      </c>
      <c r="D152" t="s">
        <v>4901</v>
      </c>
      <c r="E152" t="s">
        <v>4201</v>
      </c>
      <c r="F152" t="s">
        <v>4961</v>
      </c>
      <c r="G152" t="s">
        <v>5353</v>
      </c>
      <c r="H152" t="s">
        <v>5290</v>
      </c>
      <c r="I152" t="s">
        <v>5271</v>
      </c>
      <c r="J152" t="s">
        <v>6046</v>
      </c>
      <c r="K152" t="s">
        <v>4174</v>
      </c>
    </row>
    <row r="153" spans="3:11" x14ac:dyDescent="0.25">
      <c r="C153" t="s">
        <v>3402</v>
      </c>
      <c r="D153" t="s">
        <v>4902</v>
      </c>
      <c r="E153" t="s">
        <v>5349</v>
      </c>
      <c r="F153" t="s">
        <v>4962</v>
      </c>
      <c r="G153" t="s">
        <v>5354</v>
      </c>
      <c r="H153" t="s">
        <v>5291</v>
      </c>
      <c r="I153" t="s">
        <v>5272</v>
      </c>
      <c r="J153" t="s">
        <v>6047</v>
      </c>
      <c r="K153" t="s">
        <v>4175</v>
      </c>
    </row>
    <row r="154" spans="3:11" x14ac:dyDescent="0.25">
      <c r="C154" t="s">
        <v>3403</v>
      </c>
      <c r="D154" t="s">
        <v>4903</v>
      </c>
      <c r="E154" t="s">
        <v>5350</v>
      </c>
      <c r="F154" t="s">
        <v>3665</v>
      </c>
      <c r="G154" t="s">
        <v>5355</v>
      </c>
      <c r="H154" t="s">
        <v>5292</v>
      </c>
      <c r="I154" t="s">
        <v>4149</v>
      </c>
      <c r="J154" t="s">
        <v>6188</v>
      </c>
      <c r="K154" t="s">
        <v>4176</v>
      </c>
    </row>
    <row r="155" spans="3:11" x14ac:dyDescent="0.25">
      <c r="C155" t="s">
        <v>3404</v>
      </c>
      <c r="D155" t="s">
        <v>4904</v>
      </c>
      <c r="E155" t="s">
        <v>4204</v>
      </c>
      <c r="F155" t="s">
        <v>5440</v>
      </c>
      <c r="G155" t="s">
        <v>5356</v>
      </c>
      <c r="H155" t="s">
        <v>5293</v>
      </c>
      <c r="I155" t="s">
        <v>5273</v>
      </c>
      <c r="J155" t="s">
        <v>4051</v>
      </c>
      <c r="K155" t="s">
        <v>4177</v>
      </c>
    </row>
    <row r="156" spans="3:11" x14ac:dyDescent="0.25">
      <c r="C156" t="s">
        <v>3405</v>
      </c>
      <c r="D156" t="s">
        <v>3398</v>
      </c>
      <c r="E156" t="s">
        <v>5351</v>
      </c>
      <c r="F156" t="s">
        <v>5441</v>
      </c>
      <c r="G156" t="s">
        <v>5357</v>
      </c>
      <c r="H156" t="s">
        <v>4167</v>
      </c>
      <c r="I156" t="s">
        <v>6087</v>
      </c>
      <c r="J156" t="s">
        <v>6189</v>
      </c>
      <c r="K156" t="s">
        <v>4178</v>
      </c>
    </row>
    <row r="157" spans="3:11" x14ac:dyDescent="0.25">
      <c r="C157" t="s">
        <v>3406</v>
      </c>
      <c r="D157" t="s">
        <v>3399</v>
      </c>
      <c r="E157" t="s">
        <v>5352</v>
      </c>
      <c r="F157" t="s">
        <v>4964</v>
      </c>
      <c r="G157" t="s">
        <v>4207</v>
      </c>
      <c r="H157" t="s">
        <v>5893</v>
      </c>
      <c r="I157" t="s">
        <v>5275</v>
      </c>
      <c r="J157" t="s">
        <v>4053</v>
      </c>
      <c r="K157" t="s">
        <v>4179</v>
      </c>
    </row>
    <row r="158" spans="3:11" x14ac:dyDescent="0.25">
      <c r="C158" t="s">
        <v>3407</v>
      </c>
      <c r="D158" t="s">
        <v>3400</v>
      </c>
      <c r="E158" t="s">
        <v>5353</v>
      </c>
      <c r="F158" t="s">
        <v>4965</v>
      </c>
      <c r="G158" t="s">
        <v>5358</v>
      </c>
      <c r="H158" t="s">
        <v>5294</v>
      </c>
      <c r="I158" t="s">
        <v>5276</v>
      </c>
      <c r="J158" t="s">
        <v>4054</v>
      </c>
      <c r="K158" t="s">
        <v>4180</v>
      </c>
    </row>
    <row r="159" spans="3:11" x14ac:dyDescent="0.25">
      <c r="C159" t="s">
        <v>3408</v>
      </c>
      <c r="D159" t="s">
        <v>3402</v>
      </c>
      <c r="E159" t="s">
        <v>5354</v>
      </c>
      <c r="F159" t="s">
        <v>4966</v>
      </c>
      <c r="G159" t="s">
        <v>4209</v>
      </c>
      <c r="H159" t="s">
        <v>4169</v>
      </c>
      <c r="I159" t="s">
        <v>5277</v>
      </c>
      <c r="J159" t="s">
        <v>6190</v>
      </c>
      <c r="K159" t="s">
        <v>4181</v>
      </c>
    </row>
    <row r="160" spans="3:11" x14ac:dyDescent="0.25">
      <c r="C160" t="s">
        <v>3409</v>
      </c>
      <c r="D160" t="s">
        <v>3403</v>
      </c>
      <c r="E160" t="s">
        <v>5355</v>
      </c>
      <c r="F160" t="s">
        <v>4967</v>
      </c>
      <c r="G160" t="s">
        <v>4211</v>
      </c>
      <c r="H160" t="s">
        <v>5295</v>
      </c>
      <c r="I160" t="s">
        <v>5278</v>
      </c>
      <c r="J160" t="s">
        <v>6191</v>
      </c>
      <c r="K160" t="s">
        <v>4182</v>
      </c>
    </row>
    <row r="161" spans="3:11" x14ac:dyDescent="0.25">
      <c r="C161" t="s">
        <v>3410</v>
      </c>
      <c r="D161" t="s">
        <v>3404</v>
      </c>
      <c r="E161" t="s">
        <v>5356</v>
      </c>
      <c r="F161" t="s">
        <v>4968</v>
      </c>
      <c r="G161" t="s">
        <v>5360</v>
      </c>
      <c r="H161" t="s">
        <v>5297</v>
      </c>
      <c r="I161" t="s">
        <v>5279</v>
      </c>
      <c r="J161" t="s">
        <v>6192</v>
      </c>
      <c r="K161" t="s">
        <v>4184</v>
      </c>
    </row>
    <row r="162" spans="3:11" x14ac:dyDescent="0.25">
      <c r="C162" t="s">
        <v>3411</v>
      </c>
      <c r="D162" t="s">
        <v>3405</v>
      </c>
      <c r="E162" t="s">
        <v>5357</v>
      </c>
      <c r="F162" t="s">
        <v>4274</v>
      </c>
      <c r="G162" t="s">
        <v>5361</v>
      </c>
      <c r="H162" t="s">
        <v>5298</v>
      </c>
      <c r="I162" t="s">
        <v>4152</v>
      </c>
      <c r="J162" t="s">
        <v>6193</v>
      </c>
      <c r="K162" t="s">
        <v>6215</v>
      </c>
    </row>
    <row r="163" spans="3:11" x14ac:dyDescent="0.25">
      <c r="C163" t="s">
        <v>3412</v>
      </c>
      <c r="D163" t="s">
        <v>3406</v>
      </c>
      <c r="E163" t="s">
        <v>4207</v>
      </c>
      <c r="F163" t="s">
        <v>5442</v>
      </c>
      <c r="G163" t="s">
        <v>5362</v>
      </c>
      <c r="H163" t="s">
        <v>5299</v>
      </c>
      <c r="I163" t="s">
        <v>5281</v>
      </c>
      <c r="J163" t="s">
        <v>6194</v>
      </c>
      <c r="K163" t="s">
        <v>5306</v>
      </c>
    </row>
    <row r="164" spans="3:11" x14ac:dyDescent="0.25">
      <c r="C164" t="s">
        <v>3413</v>
      </c>
      <c r="D164" t="s">
        <v>3407</v>
      </c>
      <c r="E164" t="s">
        <v>5358</v>
      </c>
      <c r="F164" t="s">
        <v>5443</v>
      </c>
      <c r="G164" t="s">
        <v>5363</v>
      </c>
      <c r="H164" t="s">
        <v>5300</v>
      </c>
      <c r="I164" t="s">
        <v>5286</v>
      </c>
      <c r="J164" t="s">
        <v>4055</v>
      </c>
      <c r="K164" t="s">
        <v>6216</v>
      </c>
    </row>
    <row r="165" spans="3:11" x14ac:dyDescent="0.25">
      <c r="C165" t="s">
        <v>3414</v>
      </c>
      <c r="D165" t="s">
        <v>3408</v>
      </c>
      <c r="E165" t="s">
        <v>4209</v>
      </c>
      <c r="F165" t="s">
        <v>5444</v>
      </c>
      <c r="G165" t="s">
        <v>5364</v>
      </c>
      <c r="H165" t="s">
        <v>5301</v>
      </c>
      <c r="I165" t="s">
        <v>4155</v>
      </c>
      <c r="J165" t="s">
        <v>6048</v>
      </c>
      <c r="K165" t="s">
        <v>6217</v>
      </c>
    </row>
    <row r="166" spans="3:11" x14ac:dyDescent="0.25">
      <c r="C166" t="s">
        <v>3415</v>
      </c>
      <c r="D166" t="s">
        <v>3409</v>
      </c>
      <c r="E166" t="s">
        <v>4211</v>
      </c>
      <c r="F166" t="s">
        <v>5445</v>
      </c>
      <c r="G166" t="s">
        <v>4214</v>
      </c>
      <c r="H166" t="s">
        <v>4172</v>
      </c>
      <c r="I166" t="s">
        <v>5882</v>
      </c>
      <c r="J166" t="s">
        <v>6195</v>
      </c>
      <c r="K166" t="s">
        <v>4187</v>
      </c>
    </row>
    <row r="167" spans="3:11" x14ac:dyDescent="0.25">
      <c r="C167" t="s">
        <v>3416</v>
      </c>
      <c r="D167" t="s">
        <v>3410</v>
      </c>
      <c r="E167" t="s">
        <v>5359</v>
      </c>
      <c r="F167" t="s">
        <v>5446</v>
      </c>
      <c r="G167" t="s">
        <v>5915</v>
      </c>
      <c r="H167" t="s">
        <v>5899</v>
      </c>
      <c r="I167" t="s">
        <v>6088</v>
      </c>
      <c r="J167" t="s">
        <v>4058</v>
      </c>
      <c r="K167" t="s">
        <v>4188</v>
      </c>
    </row>
    <row r="168" spans="3:11" x14ac:dyDescent="0.25">
      <c r="C168" t="s">
        <v>3417</v>
      </c>
      <c r="D168" t="s">
        <v>4905</v>
      </c>
      <c r="E168" t="s">
        <v>5360</v>
      </c>
      <c r="F168" t="s">
        <v>5447</v>
      </c>
      <c r="G168" t="s">
        <v>4216</v>
      </c>
      <c r="H168" t="s">
        <v>5900</v>
      </c>
      <c r="I168" t="s">
        <v>5883</v>
      </c>
      <c r="J168" t="s">
        <v>6196</v>
      </c>
      <c r="K168" t="s">
        <v>6218</v>
      </c>
    </row>
    <row r="169" spans="3:11" x14ac:dyDescent="0.25">
      <c r="C169" t="s">
        <v>3418</v>
      </c>
      <c r="D169" t="s">
        <v>4906</v>
      </c>
      <c r="E169" t="s">
        <v>5361</v>
      </c>
      <c r="F169" t="s">
        <v>4969</v>
      </c>
      <c r="G169" t="s">
        <v>5366</v>
      </c>
      <c r="H169" t="s">
        <v>5901</v>
      </c>
      <c r="I169" t="s">
        <v>5884</v>
      </c>
      <c r="J169" t="s">
        <v>6049</v>
      </c>
      <c r="K169" t="s">
        <v>5318</v>
      </c>
    </row>
    <row r="170" spans="3:11" x14ac:dyDescent="0.25">
      <c r="C170" t="s">
        <v>3419</v>
      </c>
      <c r="D170" t="s">
        <v>4907</v>
      </c>
      <c r="E170" t="s">
        <v>5362</v>
      </c>
      <c r="F170" t="s">
        <v>4275</v>
      </c>
      <c r="G170" t="s">
        <v>5367</v>
      </c>
      <c r="H170" t="s">
        <v>5902</v>
      </c>
      <c r="I170" t="s">
        <v>5885</v>
      </c>
      <c r="J170" t="s">
        <v>6050</v>
      </c>
      <c r="K170" t="s">
        <v>4190</v>
      </c>
    </row>
    <row r="171" spans="3:11" x14ac:dyDescent="0.25">
      <c r="C171" t="s">
        <v>3420</v>
      </c>
      <c r="D171" t="s">
        <v>4908</v>
      </c>
      <c r="E171" t="s">
        <v>5363</v>
      </c>
      <c r="F171" t="s">
        <v>4975</v>
      </c>
      <c r="G171" t="s">
        <v>5368</v>
      </c>
      <c r="H171" t="s">
        <v>5903</v>
      </c>
      <c r="I171" t="s">
        <v>5886</v>
      </c>
      <c r="J171" t="s">
        <v>4061</v>
      </c>
      <c r="K171" t="s">
        <v>4191</v>
      </c>
    </row>
    <row r="172" spans="3:11" x14ac:dyDescent="0.25">
      <c r="C172" t="s">
        <v>3421</v>
      </c>
      <c r="D172" t="s">
        <v>3411</v>
      </c>
      <c r="E172" t="s">
        <v>5364</v>
      </c>
      <c r="F172" t="s">
        <v>4276</v>
      </c>
      <c r="G172" t="s">
        <v>5369</v>
      </c>
      <c r="H172" t="s">
        <v>5904</v>
      </c>
      <c r="I172" t="s">
        <v>5287</v>
      </c>
      <c r="J172" t="s">
        <v>6051</v>
      </c>
      <c r="K172" t="s">
        <v>6219</v>
      </c>
    </row>
    <row r="173" spans="3:11" x14ac:dyDescent="0.25">
      <c r="C173" t="s">
        <v>3422</v>
      </c>
      <c r="D173" t="s">
        <v>3412</v>
      </c>
      <c r="E173" t="s">
        <v>4214</v>
      </c>
      <c r="F173" t="s">
        <v>4976</v>
      </c>
      <c r="G173" t="s">
        <v>5370</v>
      </c>
      <c r="H173" t="s">
        <v>4174</v>
      </c>
      <c r="I173" t="s">
        <v>4158</v>
      </c>
      <c r="J173" t="s">
        <v>4063</v>
      </c>
      <c r="K173" t="s">
        <v>6220</v>
      </c>
    </row>
    <row r="174" spans="3:11" x14ac:dyDescent="0.25">
      <c r="C174" t="s">
        <v>3423</v>
      </c>
      <c r="D174" t="s">
        <v>3413</v>
      </c>
      <c r="E174" t="s">
        <v>4216</v>
      </c>
      <c r="F174" t="s">
        <v>4977</v>
      </c>
      <c r="G174" t="s">
        <v>4217</v>
      </c>
      <c r="H174" t="s">
        <v>4175</v>
      </c>
      <c r="I174" t="s">
        <v>5887</v>
      </c>
      <c r="J174" t="s">
        <v>4064</v>
      </c>
      <c r="K174" t="s">
        <v>6221</v>
      </c>
    </row>
    <row r="175" spans="3:11" x14ac:dyDescent="0.25">
      <c r="C175" t="s">
        <v>3424</v>
      </c>
      <c r="D175" t="s">
        <v>3415</v>
      </c>
      <c r="E175" t="s">
        <v>5365</v>
      </c>
      <c r="F175" t="s">
        <v>4277</v>
      </c>
      <c r="G175" t="s">
        <v>5916</v>
      </c>
      <c r="H175" t="s">
        <v>4181</v>
      </c>
      <c r="I175" t="s">
        <v>4161</v>
      </c>
      <c r="J175" t="s">
        <v>6052</v>
      </c>
      <c r="K175" t="s">
        <v>5319</v>
      </c>
    </row>
    <row r="176" spans="3:11" x14ac:dyDescent="0.25">
      <c r="C176" t="s">
        <v>3425</v>
      </c>
      <c r="D176" t="s">
        <v>3420</v>
      </c>
      <c r="E176" t="s">
        <v>5366</v>
      </c>
      <c r="F176" t="s">
        <v>4978</v>
      </c>
      <c r="G176" t="s">
        <v>4219</v>
      </c>
      <c r="H176" t="s">
        <v>5302</v>
      </c>
      <c r="I176" t="s">
        <v>5888</v>
      </c>
      <c r="J176" t="s">
        <v>6053</v>
      </c>
      <c r="K176" t="s">
        <v>6028</v>
      </c>
    </row>
    <row r="177" spans="3:11" x14ac:dyDescent="0.25">
      <c r="C177" t="s">
        <v>3426</v>
      </c>
      <c r="D177" t="s">
        <v>3421</v>
      </c>
      <c r="E177" t="s">
        <v>5367</v>
      </c>
      <c r="F177" t="s">
        <v>4979</v>
      </c>
      <c r="G177" t="s">
        <v>5371</v>
      </c>
      <c r="H177" t="s">
        <v>5303</v>
      </c>
      <c r="I177" t="s">
        <v>5889</v>
      </c>
      <c r="J177" t="s">
        <v>6054</v>
      </c>
      <c r="K177" t="s">
        <v>6222</v>
      </c>
    </row>
    <row r="178" spans="3:11" x14ac:dyDescent="0.25">
      <c r="C178" t="s">
        <v>3427</v>
      </c>
      <c r="D178" t="s">
        <v>3422</v>
      </c>
      <c r="E178" t="s">
        <v>5368</v>
      </c>
      <c r="F178" t="s">
        <v>4980</v>
      </c>
      <c r="G178" t="s">
        <v>5372</v>
      </c>
      <c r="H178" t="s">
        <v>5304</v>
      </c>
      <c r="I178" t="s">
        <v>5890</v>
      </c>
      <c r="J178" t="s">
        <v>6055</v>
      </c>
      <c r="K178" t="s">
        <v>4192</v>
      </c>
    </row>
    <row r="179" spans="3:11" x14ac:dyDescent="0.25">
      <c r="C179" t="s">
        <v>3428</v>
      </c>
      <c r="D179" t="s">
        <v>4909</v>
      </c>
      <c r="E179" t="s">
        <v>5369</v>
      </c>
      <c r="F179" t="s">
        <v>4981</v>
      </c>
      <c r="G179" t="s">
        <v>5373</v>
      </c>
      <c r="H179" t="s">
        <v>5305</v>
      </c>
      <c r="I179" t="s">
        <v>5891</v>
      </c>
      <c r="J179" t="s">
        <v>6056</v>
      </c>
      <c r="K179" t="s">
        <v>4193</v>
      </c>
    </row>
    <row r="180" spans="3:11" x14ac:dyDescent="0.25">
      <c r="C180" t="s">
        <v>3429</v>
      </c>
      <c r="D180" t="s">
        <v>4910</v>
      </c>
      <c r="E180" t="s">
        <v>5370</v>
      </c>
      <c r="F180" t="s">
        <v>4982</v>
      </c>
      <c r="G180" t="s">
        <v>5374</v>
      </c>
      <c r="H180" t="s">
        <v>4183</v>
      </c>
      <c r="I180" t="s">
        <v>5288</v>
      </c>
      <c r="J180" t="s">
        <v>4066</v>
      </c>
      <c r="K180" t="s">
        <v>5323</v>
      </c>
    </row>
    <row r="181" spans="3:11" x14ac:dyDescent="0.25">
      <c r="C181" t="s">
        <v>3430</v>
      </c>
      <c r="D181" t="s">
        <v>4911</v>
      </c>
      <c r="E181" t="s">
        <v>4217</v>
      </c>
      <c r="F181" t="s">
        <v>4983</v>
      </c>
      <c r="G181" t="s">
        <v>5375</v>
      </c>
      <c r="H181" t="s">
        <v>4184</v>
      </c>
      <c r="I181" t="s">
        <v>4163</v>
      </c>
      <c r="J181" t="s">
        <v>6057</v>
      </c>
      <c r="K181" t="s">
        <v>6029</v>
      </c>
    </row>
    <row r="182" spans="3:11" x14ac:dyDescent="0.25">
      <c r="C182" t="s">
        <v>3431</v>
      </c>
      <c r="D182" t="s">
        <v>4912</v>
      </c>
      <c r="E182" t="s">
        <v>4219</v>
      </c>
      <c r="F182" t="s">
        <v>4279</v>
      </c>
      <c r="G182" t="s">
        <v>4220</v>
      </c>
      <c r="H182" t="s">
        <v>5311</v>
      </c>
      <c r="I182" t="s">
        <v>5892</v>
      </c>
      <c r="J182" t="s">
        <v>4021</v>
      </c>
      <c r="K182" t="s">
        <v>4194</v>
      </c>
    </row>
    <row r="183" spans="3:11" x14ac:dyDescent="0.25">
      <c r="C183" t="s">
        <v>3432</v>
      </c>
      <c r="D183" t="s">
        <v>4913</v>
      </c>
      <c r="E183" t="s">
        <v>5371</v>
      </c>
      <c r="F183" t="s">
        <v>5448</v>
      </c>
      <c r="G183" t="s">
        <v>5376</v>
      </c>
      <c r="H183" t="s">
        <v>4187</v>
      </c>
      <c r="I183" t="s">
        <v>4165</v>
      </c>
      <c r="J183" t="s">
        <v>4022</v>
      </c>
      <c r="K183" t="s">
        <v>4195</v>
      </c>
    </row>
    <row r="184" spans="3:11" x14ac:dyDescent="0.25">
      <c r="C184" t="s">
        <v>3433</v>
      </c>
      <c r="D184" t="s">
        <v>3425</v>
      </c>
      <c r="E184" t="s">
        <v>5372</v>
      </c>
      <c r="F184" t="s">
        <v>4280</v>
      </c>
      <c r="G184" t="s">
        <v>4222</v>
      </c>
      <c r="H184" t="s">
        <v>5312</v>
      </c>
      <c r="I184" t="s">
        <v>5289</v>
      </c>
      <c r="J184" t="s">
        <v>4023</v>
      </c>
      <c r="K184" t="s">
        <v>4196</v>
      </c>
    </row>
    <row r="185" spans="3:11" x14ac:dyDescent="0.25">
      <c r="C185" t="s">
        <v>3434</v>
      </c>
      <c r="D185" t="s">
        <v>3426</v>
      </c>
      <c r="E185" t="s">
        <v>5373</v>
      </c>
      <c r="F185" t="s">
        <v>4984</v>
      </c>
      <c r="G185" t="s">
        <v>5917</v>
      </c>
      <c r="H185" t="s">
        <v>4189</v>
      </c>
      <c r="I185" t="s">
        <v>5290</v>
      </c>
      <c r="J185" t="s">
        <v>4024</v>
      </c>
      <c r="K185" t="s">
        <v>4197</v>
      </c>
    </row>
    <row r="186" spans="3:11" x14ac:dyDescent="0.25">
      <c r="C186" t="s">
        <v>3435</v>
      </c>
      <c r="D186" t="s">
        <v>3427</v>
      </c>
      <c r="E186" t="s">
        <v>5374</v>
      </c>
      <c r="F186" t="s">
        <v>4985</v>
      </c>
      <c r="G186" t="s">
        <v>5918</v>
      </c>
      <c r="H186" t="s">
        <v>5314</v>
      </c>
      <c r="I186" t="s">
        <v>5291</v>
      </c>
      <c r="J186" t="s">
        <v>4025</v>
      </c>
      <c r="K186" t="s">
        <v>4198</v>
      </c>
    </row>
    <row r="187" spans="3:11" x14ac:dyDescent="0.25">
      <c r="C187" t="s">
        <v>3436</v>
      </c>
      <c r="D187" t="s">
        <v>4914</v>
      </c>
      <c r="E187" t="s">
        <v>5375</v>
      </c>
      <c r="F187" t="s">
        <v>4986</v>
      </c>
      <c r="G187" t="s">
        <v>5919</v>
      </c>
      <c r="H187" t="s">
        <v>5315</v>
      </c>
      <c r="I187" t="s">
        <v>5292</v>
      </c>
      <c r="J187" t="s">
        <v>6058</v>
      </c>
      <c r="K187" t="s">
        <v>6223</v>
      </c>
    </row>
    <row r="188" spans="3:11" x14ac:dyDescent="0.25">
      <c r="C188" t="s">
        <v>3437</v>
      </c>
      <c r="D188" t="s">
        <v>3429</v>
      </c>
      <c r="E188" t="s">
        <v>4220</v>
      </c>
      <c r="F188" t="s">
        <v>4987</v>
      </c>
      <c r="G188" t="s">
        <v>5920</v>
      </c>
      <c r="H188" t="s">
        <v>5316</v>
      </c>
      <c r="I188" t="s">
        <v>5293</v>
      </c>
      <c r="J188" t="s">
        <v>4069</v>
      </c>
      <c r="K188" t="s">
        <v>4199</v>
      </c>
    </row>
    <row r="189" spans="3:11" x14ac:dyDescent="0.25">
      <c r="C189" t="s">
        <v>3438</v>
      </c>
      <c r="D189" t="s">
        <v>3430</v>
      </c>
      <c r="E189" t="s">
        <v>5376</v>
      </c>
      <c r="F189" t="s">
        <v>4988</v>
      </c>
      <c r="G189" t="s">
        <v>5921</v>
      </c>
      <c r="H189" t="s">
        <v>5317</v>
      </c>
      <c r="I189" t="s">
        <v>4167</v>
      </c>
      <c r="J189" t="s">
        <v>4027</v>
      </c>
      <c r="K189" t="s">
        <v>4200</v>
      </c>
    </row>
    <row r="190" spans="3:11" x14ac:dyDescent="0.25">
      <c r="C190" t="s">
        <v>3439</v>
      </c>
      <c r="D190" t="s">
        <v>3431</v>
      </c>
      <c r="E190" t="s">
        <v>4223</v>
      </c>
      <c r="F190" t="s">
        <v>4281</v>
      </c>
      <c r="G190" t="s">
        <v>4223</v>
      </c>
      <c r="H190" t="s">
        <v>5318</v>
      </c>
      <c r="I190" t="s">
        <v>5294</v>
      </c>
      <c r="J190" t="s">
        <v>6197</v>
      </c>
      <c r="K190" t="s">
        <v>4201</v>
      </c>
    </row>
    <row r="191" spans="3:11" x14ac:dyDescent="0.25">
      <c r="C191" t="s">
        <v>3440</v>
      </c>
      <c r="D191" t="s">
        <v>3432</v>
      </c>
      <c r="E191" t="s">
        <v>4224</v>
      </c>
      <c r="F191" t="s">
        <v>4989</v>
      </c>
      <c r="G191" t="s">
        <v>4224</v>
      </c>
      <c r="H191" t="s">
        <v>4190</v>
      </c>
      <c r="I191" t="s">
        <v>4169</v>
      </c>
      <c r="J191" t="s">
        <v>4028</v>
      </c>
      <c r="K191" t="s">
        <v>4202</v>
      </c>
    </row>
    <row r="192" spans="3:11" x14ac:dyDescent="0.25">
      <c r="C192" t="s">
        <v>3441</v>
      </c>
      <c r="D192" t="s">
        <v>3433</v>
      </c>
      <c r="E192" t="s">
        <v>4233</v>
      </c>
      <c r="F192" t="s">
        <v>4990</v>
      </c>
      <c r="G192" t="s">
        <v>4229</v>
      </c>
      <c r="H192" t="s">
        <v>5319</v>
      </c>
      <c r="I192" t="s">
        <v>5296</v>
      </c>
      <c r="J192" t="s">
        <v>4029</v>
      </c>
      <c r="K192" t="s">
        <v>4203</v>
      </c>
    </row>
    <row r="193" spans="3:11" x14ac:dyDescent="0.25">
      <c r="C193" t="s">
        <v>3442</v>
      </c>
      <c r="D193" t="s">
        <v>3434</v>
      </c>
      <c r="E193" t="s">
        <v>4234</v>
      </c>
      <c r="F193" t="s">
        <v>5449</v>
      </c>
      <c r="G193" t="s">
        <v>4231</v>
      </c>
      <c r="H193" t="s">
        <v>6028</v>
      </c>
      <c r="I193" t="s">
        <v>5297</v>
      </c>
      <c r="J193" t="s">
        <v>4030</v>
      </c>
      <c r="K193" t="s">
        <v>4204</v>
      </c>
    </row>
    <row r="194" spans="3:11" x14ac:dyDescent="0.25">
      <c r="C194" t="s">
        <v>3443</v>
      </c>
      <c r="D194" t="s">
        <v>3437</v>
      </c>
      <c r="E194" t="s">
        <v>5377</v>
      </c>
      <c r="F194" t="s">
        <v>4991</v>
      </c>
      <c r="G194" t="s">
        <v>5922</v>
      </c>
      <c r="H194" t="s">
        <v>5905</v>
      </c>
      <c r="I194" t="s">
        <v>5298</v>
      </c>
      <c r="J194" t="s">
        <v>4031</v>
      </c>
      <c r="K194" t="s">
        <v>4205</v>
      </c>
    </row>
    <row r="195" spans="3:11" x14ac:dyDescent="0.25">
      <c r="C195" t="s">
        <v>3444</v>
      </c>
      <c r="D195" t="s">
        <v>3438</v>
      </c>
      <c r="E195" t="s">
        <v>4236</v>
      </c>
      <c r="F195" t="s">
        <v>4992</v>
      </c>
      <c r="G195" t="s">
        <v>5923</v>
      </c>
      <c r="H195" t="s">
        <v>5906</v>
      </c>
      <c r="I195" t="s">
        <v>5299</v>
      </c>
      <c r="J195" t="s">
        <v>6059</v>
      </c>
      <c r="K195" t="s">
        <v>4206</v>
      </c>
    </row>
    <row r="196" spans="3:11" x14ac:dyDescent="0.25">
      <c r="C196" t="s">
        <v>3445</v>
      </c>
      <c r="D196" t="s">
        <v>3439</v>
      </c>
      <c r="E196" t="s">
        <v>5378</v>
      </c>
      <c r="F196" t="s">
        <v>4993</v>
      </c>
      <c r="G196" t="s">
        <v>5924</v>
      </c>
      <c r="H196" t="s">
        <v>5907</v>
      </c>
      <c r="I196" t="s">
        <v>5300</v>
      </c>
      <c r="J196" t="s">
        <v>4071</v>
      </c>
      <c r="K196" t="s">
        <v>4207</v>
      </c>
    </row>
    <row r="197" spans="3:11" x14ac:dyDescent="0.25">
      <c r="C197" t="s">
        <v>3446</v>
      </c>
      <c r="D197" t="s">
        <v>4915</v>
      </c>
      <c r="E197" t="s">
        <v>5379</v>
      </c>
      <c r="F197" t="s">
        <v>4994</v>
      </c>
      <c r="G197" t="s">
        <v>5925</v>
      </c>
      <c r="H197" t="s">
        <v>5908</v>
      </c>
      <c r="I197" t="s">
        <v>5301</v>
      </c>
      <c r="J197" t="s">
        <v>5967</v>
      </c>
      <c r="K197" t="s">
        <v>4208</v>
      </c>
    </row>
    <row r="198" spans="3:11" x14ac:dyDescent="0.25">
      <c r="C198" t="s">
        <v>3447</v>
      </c>
      <c r="D198" t="s">
        <v>4916</v>
      </c>
      <c r="E198" t="s">
        <v>5380</v>
      </c>
      <c r="F198" t="s">
        <v>4282</v>
      </c>
      <c r="G198" t="s">
        <v>4233</v>
      </c>
      <c r="H198" t="s">
        <v>5321</v>
      </c>
      <c r="I198" t="s">
        <v>4172</v>
      </c>
      <c r="J198" t="s">
        <v>5968</v>
      </c>
      <c r="K198" t="s">
        <v>6224</v>
      </c>
    </row>
    <row r="199" spans="3:11" x14ac:dyDescent="0.25">
      <c r="C199" t="s">
        <v>3448</v>
      </c>
      <c r="D199" t="s">
        <v>4917</v>
      </c>
      <c r="E199" t="s">
        <v>5381</v>
      </c>
      <c r="F199" t="s">
        <v>4283</v>
      </c>
      <c r="G199" t="s">
        <v>4234</v>
      </c>
      <c r="H199" t="s">
        <v>4192</v>
      </c>
      <c r="I199" t="s">
        <v>4174</v>
      </c>
      <c r="J199" t="s">
        <v>6198</v>
      </c>
      <c r="K199" t="s">
        <v>4209</v>
      </c>
    </row>
    <row r="200" spans="3:11" x14ac:dyDescent="0.25">
      <c r="C200" t="s">
        <v>3449</v>
      </c>
      <c r="D200" t="s">
        <v>4918</v>
      </c>
      <c r="E200" t="s">
        <v>5382</v>
      </c>
      <c r="F200" t="s">
        <v>4284</v>
      </c>
      <c r="G200" t="s">
        <v>5926</v>
      </c>
      <c r="H200" t="s">
        <v>5322</v>
      </c>
      <c r="I200" t="s">
        <v>4175</v>
      </c>
      <c r="J200" t="s">
        <v>5969</v>
      </c>
      <c r="K200" t="s">
        <v>4210</v>
      </c>
    </row>
    <row r="201" spans="3:11" x14ac:dyDescent="0.25">
      <c r="C201" t="s">
        <v>3450</v>
      </c>
      <c r="D201" t="s">
        <v>4919</v>
      </c>
      <c r="E201" t="s">
        <v>5383</v>
      </c>
      <c r="F201" t="s">
        <v>4286</v>
      </c>
      <c r="G201" t="s">
        <v>5927</v>
      </c>
      <c r="H201" t="s">
        <v>6029</v>
      </c>
      <c r="I201" t="s">
        <v>4180</v>
      </c>
      <c r="J201" t="s">
        <v>5970</v>
      </c>
      <c r="K201" t="s">
        <v>4211</v>
      </c>
    </row>
    <row r="202" spans="3:11" x14ac:dyDescent="0.25">
      <c r="C202" t="s">
        <v>3451</v>
      </c>
      <c r="D202" t="s">
        <v>3441</v>
      </c>
      <c r="E202" t="s">
        <v>4240</v>
      </c>
      <c r="F202" t="s">
        <v>4287</v>
      </c>
      <c r="G202" t="s">
        <v>5928</v>
      </c>
      <c r="H202" t="s">
        <v>5324</v>
      </c>
      <c r="I202" t="s">
        <v>4182</v>
      </c>
      <c r="J202" t="s">
        <v>5971</v>
      </c>
      <c r="K202" t="s">
        <v>4212</v>
      </c>
    </row>
    <row r="203" spans="3:11" x14ac:dyDescent="0.25">
      <c r="C203" t="s">
        <v>3452</v>
      </c>
      <c r="D203" t="s">
        <v>3442</v>
      </c>
      <c r="E203" t="s">
        <v>5384</v>
      </c>
      <c r="F203" t="s">
        <v>4288</v>
      </c>
      <c r="G203" t="s">
        <v>5929</v>
      </c>
      <c r="H203" t="s">
        <v>5325</v>
      </c>
      <c r="I203" t="s">
        <v>5302</v>
      </c>
      <c r="J203" t="s">
        <v>5972</v>
      </c>
      <c r="K203" t="s">
        <v>4213</v>
      </c>
    </row>
    <row r="204" spans="3:11" x14ac:dyDescent="0.25">
      <c r="C204" t="s">
        <v>3453</v>
      </c>
      <c r="D204" t="s">
        <v>3443</v>
      </c>
      <c r="E204" t="s">
        <v>5385</v>
      </c>
      <c r="F204" t="s">
        <v>4289</v>
      </c>
      <c r="G204" t="s">
        <v>5930</v>
      </c>
      <c r="H204" t="s">
        <v>5326</v>
      </c>
      <c r="I204" t="s">
        <v>5303</v>
      </c>
      <c r="J204" t="s">
        <v>6060</v>
      </c>
      <c r="K204" t="s">
        <v>4214</v>
      </c>
    </row>
    <row r="205" spans="3:11" x14ac:dyDescent="0.25">
      <c r="C205" t="s">
        <v>3454</v>
      </c>
      <c r="D205" t="s">
        <v>3444</v>
      </c>
      <c r="E205" t="s">
        <v>5386</v>
      </c>
      <c r="F205" t="s">
        <v>5450</v>
      </c>
      <c r="G205" t="s">
        <v>5931</v>
      </c>
      <c r="H205" t="s">
        <v>5327</v>
      </c>
      <c r="I205" t="s">
        <v>5304</v>
      </c>
      <c r="J205" t="s">
        <v>4032</v>
      </c>
      <c r="K205" t="s">
        <v>4215</v>
      </c>
    </row>
    <row r="206" spans="3:11" x14ac:dyDescent="0.25">
      <c r="C206" t="s">
        <v>3455</v>
      </c>
      <c r="D206" t="s">
        <v>3446</v>
      </c>
      <c r="E206" t="s">
        <v>5387</v>
      </c>
      <c r="F206" t="s">
        <v>5004</v>
      </c>
      <c r="G206" t="s">
        <v>5377</v>
      </c>
      <c r="H206" t="s">
        <v>5328</v>
      </c>
      <c r="I206" t="s">
        <v>5305</v>
      </c>
      <c r="J206" t="s">
        <v>5973</v>
      </c>
      <c r="K206" t="s">
        <v>6225</v>
      </c>
    </row>
    <row r="207" spans="3:11" x14ac:dyDescent="0.25">
      <c r="C207" t="s">
        <v>3456</v>
      </c>
      <c r="D207" t="s">
        <v>3447</v>
      </c>
      <c r="E207" t="s">
        <v>5388</v>
      </c>
      <c r="F207" t="s">
        <v>4290</v>
      </c>
      <c r="G207" t="s">
        <v>4236</v>
      </c>
      <c r="H207" t="s">
        <v>4194</v>
      </c>
      <c r="I207" t="s">
        <v>4183</v>
      </c>
      <c r="J207" t="s">
        <v>6199</v>
      </c>
      <c r="K207" t="s">
        <v>4217</v>
      </c>
    </row>
    <row r="208" spans="3:11" x14ac:dyDescent="0.25">
      <c r="C208" t="s">
        <v>3457</v>
      </c>
      <c r="D208" t="s">
        <v>3448</v>
      </c>
      <c r="E208" t="s">
        <v>5389</v>
      </c>
      <c r="F208" t="s">
        <v>4291</v>
      </c>
      <c r="G208" t="s">
        <v>4238</v>
      </c>
      <c r="H208" t="s">
        <v>5334</v>
      </c>
      <c r="I208" t="s">
        <v>4184</v>
      </c>
      <c r="J208" t="s">
        <v>4033</v>
      </c>
      <c r="K208" t="s">
        <v>4218</v>
      </c>
    </row>
    <row r="209" spans="3:11" x14ac:dyDescent="0.25">
      <c r="C209" t="s">
        <v>3458</v>
      </c>
      <c r="D209" t="s">
        <v>3449</v>
      </c>
      <c r="E209" t="s">
        <v>3252</v>
      </c>
      <c r="F209" t="s">
        <v>5006</v>
      </c>
      <c r="G209" t="s">
        <v>4239</v>
      </c>
      <c r="H209" t="s">
        <v>4196</v>
      </c>
      <c r="I209" t="s">
        <v>4185</v>
      </c>
      <c r="J209" t="s">
        <v>6200</v>
      </c>
      <c r="K209" t="s">
        <v>4219</v>
      </c>
    </row>
    <row r="210" spans="3:11" x14ac:dyDescent="0.25">
      <c r="C210" t="s">
        <v>3459</v>
      </c>
      <c r="D210" t="s">
        <v>3450</v>
      </c>
      <c r="E210" t="s">
        <v>3253</v>
      </c>
      <c r="F210" t="s">
        <v>5007</v>
      </c>
      <c r="G210" t="s">
        <v>5379</v>
      </c>
      <c r="H210" t="s">
        <v>5341</v>
      </c>
      <c r="I210" t="s">
        <v>5307</v>
      </c>
      <c r="J210" t="s">
        <v>6201</v>
      </c>
      <c r="K210" t="s">
        <v>6226</v>
      </c>
    </row>
    <row r="211" spans="3:11" x14ac:dyDescent="0.25">
      <c r="C211" t="s">
        <v>3460</v>
      </c>
      <c r="D211" t="s">
        <v>3451</v>
      </c>
      <c r="E211" t="s">
        <v>5390</v>
      </c>
      <c r="F211" t="s">
        <v>5008</v>
      </c>
      <c r="G211" t="s">
        <v>5380</v>
      </c>
      <c r="H211" t="s">
        <v>4199</v>
      </c>
      <c r="I211" t="s">
        <v>5308</v>
      </c>
      <c r="J211" t="s">
        <v>6202</v>
      </c>
      <c r="K211" t="s">
        <v>6227</v>
      </c>
    </row>
    <row r="212" spans="3:11" x14ac:dyDescent="0.25">
      <c r="C212" t="s">
        <v>3461</v>
      </c>
      <c r="D212" t="s">
        <v>3459</v>
      </c>
      <c r="E212" t="s">
        <v>5391</v>
      </c>
      <c r="F212" t="s">
        <v>5009</v>
      </c>
      <c r="G212" t="s">
        <v>5381</v>
      </c>
      <c r="H212" t="s">
        <v>6030</v>
      </c>
      <c r="I212" t="s">
        <v>5309</v>
      </c>
      <c r="J212" t="s">
        <v>6203</v>
      </c>
      <c r="K212" t="s">
        <v>4220</v>
      </c>
    </row>
    <row r="213" spans="3:11" x14ac:dyDescent="0.25">
      <c r="C213" t="s">
        <v>3462</v>
      </c>
      <c r="D213" t="s">
        <v>3460</v>
      </c>
      <c r="E213" t="s">
        <v>5392</v>
      </c>
      <c r="F213" t="s">
        <v>5010</v>
      </c>
      <c r="G213" t="s">
        <v>5382</v>
      </c>
      <c r="H213" t="s">
        <v>5343</v>
      </c>
      <c r="I213" t="s">
        <v>5310</v>
      </c>
      <c r="J213" t="s">
        <v>6061</v>
      </c>
      <c r="K213" t="s">
        <v>4221</v>
      </c>
    </row>
    <row r="214" spans="3:11" x14ac:dyDescent="0.25">
      <c r="C214" t="s">
        <v>3463</v>
      </c>
      <c r="D214" t="s">
        <v>3468</v>
      </c>
      <c r="E214" t="s">
        <v>5393</v>
      </c>
      <c r="F214" t="s">
        <v>4292</v>
      </c>
      <c r="G214" t="s">
        <v>5383</v>
      </c>
      <c r="H214" t="s">
        <v>5348</v>
      </c>
      <c r="I214" t="s">
        <v>5311</v>
      </c>
      <c r="J214" t="s">
        <v>4034</v>
      </c>
      <c r="K214" t="s">
        <v>4222</v>
      </c>
    </row>
    <row r="215" spans="3:11" x14ac:dyDescent="0.25">
      <c r="C215" t="s">
        <v>3464</v>
      </c>
      <c r="D215" t="s">
        <v>3469</v>
      </c>
      <c r="E215" t="s">
        <v>5394</v>
      </c>
      <c r="F215" t="s">
        <v>5011</v>
      </c>
      <c r="G215" t="s">
        <v>4240</v>
      </c>
      <c r="H215" t="s">
        <v>4201</v>
      </c>
      <c r="I215" t="s">
        <v>4187</v>
      </c>
      <c r="J215" t="s">
        <v>4075</v>
      </c>
      <c r="K215" t="s">
        <v>5917</v>
      </c>
    </row>
    <row r="216" spans="3:11" x14ac:dyDescent="0.25">
      <c r="C216" t="s">
        <v>3465</v>
      </c>
      <c r="D216" t="s">
        <v>3470</v>
      </c>
      <c r="E216" t="s">
        <v>3254</v>
      </c>
      <c r="F216" t="s">
        <v>5012</v>
      </c>
      <c r="G216" t="s">
        <v>5384</v>
      </c>
      <c r="H216" t="s">
        <v>5349</v>
      </c>
      <c r="I216" t="s">
        <v>5312</v>
      </c>
      <c r="J216" t="s">
        <v>4076</v>
      </c>
      <c r="K216" t="s">
        <v>4223</v>
      </c>
    </row>
    <row r="217" spans="3:11" x14ac:dyDescent="0.25">
      <c r="C217" t="s">
        <v>3466</v>
      </c>
      <c r="D217" t="s">
        <v>3476</v>
      </c>
      <c r="E217" t="s">
        <v>3255</v>
      </c>
      <c r="F217" t="s">
        <v>5013</v>
      </c>
      <c r="G217" t="s">
        <v>5385</v>
      </c>
      <c r="H217" t="s">
        <v>5910</v>
      </c>
      <c r="I217" t="s">
        <v>4189</v>
      </c>
      <c r="J217" t="s">
        <v>4081</v>
      </c>
      <c r="K217" t="s">
        <v>4224</v>
      </c>
    </row>
    <row r="218" spans="3:11" x14ac:dyDescent="0.25">
      <c r="C218" t="s">
        <v>3467</v>
      </c>
      <c r="D218" t="s">
        <v>3477</v>
      </c>
      <c r="E218" t="s">
        <v>4858</v>
      </c>
      <c r="F218" t="s">
        <v>5014</v>
      </c>
      <c r="G218" t="s">
        <v>5386</v>
      </c>
      <c r="H218" t="s">
        <v>5911</v>
      </c>
      <c r="I218" t="s">
        <v>5314</v>
      </c>
      <c r="J218" t="s">
        <v>4082</v>
      </c>
      <c r="K218" t="s">
        <v>4225</v>
      </c>
    </row>
    <row r="219" spans="3:11" x14ac:dyDescent="0.25">
      <c r="C219" t="s">
        <v>3468</v>
      </c>
      <c r="D219" t="s">
        <v>3484</v>
      </c>
      <c r="E219" t="s">
        <v>5395</v>
      </c>
      <c r="F219" t="s">
        <v>5015</v>
      </c>
      <c r="G219" t="s">
        <v>5387</v>
      </c>
      <c r="H219" t="s">
        <v>5912</v>
      </c>
      <c r="I219" t="s">
        <v>5315</v>
      </c>
      <c r="J219" t="s">
        <v>6062</v>
      </c>
      <c r="K219" t="s">
        <v>4226</v>
      </c>
    </row>
    <row r="220" spans="3:11" x14ac:dyDescent="0.25">
      <c r="C220" t="s">
        <v>3469</v>
      </c>
      <c r="D220" t="s">
        <v>3485</v>
      </c>
      <c r="E220" t="s">
        <v>5396</v>
      </c>
      <c r="F220" t="s">
        <v>5016</v>
      </c>
      <c r="G220" t="s">
        <v>5388</v>
      </c>
      <c r="H220" t="s">
        <v>5913</v>
      </c>
      <c r="I220" t="s">
        <v>5316</v>
      </c>
      <c r="J220" t="s">
        <v>6063</v>
      </c>
      <c r="K220" t="s">
        <v>4227</v>
      </c>
    </row>
    <row r="221" spans="3:11" x14ac:dyDescent="0.25">
      <c r="C221" t="s">
        <v>3470</v>
      </c>
      <c r="D221" t="s">
        <v>3486</v>
      </c>
      <c r="E221" t="s">
        <v>5397</v>
      </c>
      <c r="F221" t="s">
        <v>5017</v>
      </c>
      <c r="G221" t="s">
        <v>5389</v>
      </c>
      <c r="H221" t="s">
        <v>5350</v>
      </c>
      <c r="I221" t="s">
        <v>5317</v>
      </c>
      <c r="J221" t="s">
        <v>6064</v>
      </c>
      <c r="K221" t="s">
        <v>4228</v>
      </c>
    </row>
    <row r="222" spans="3:11" x14ac:dyDescent="0.25">
      <c r="C222" t="s">
        <v>3471</v>
      </c>
      <c r="D222" t="s">
        <v>4920</v>
      </c>
      <c r="E222" t="s">
        <v>5398</v>
      </c>
      <c r="F222" t="s">
        <v>4293</v>
      </c>
      <c r="G222" t="s">
        <v>3252</v>
      </c>
      <c r="H222" t="s">
        <v>4204</v>
      </c>
      <c r="I222" t="s">
        <v>5318</v>
      </c>
      <c r="J222" t="s">
        <v>6065</v>
      </c>
      <c r="K222" t="s">
        <v>4229</v>
      </c>
    </row>
    <row r="223" spans="3:11" x14ac:dyDescent="0.25">
      <c r="C223" t="s">
        <v>3472</v>
      </c>
      <c r="D223" t="s">
        <v>3488</v>
      </c>
      <c r="E223" t="s">
        <v>3257</v>
      </c>
      <c r="F223" t="s">
        <v>5018</v>
      </c>
      <c r="G223" t="s">
        <v>3253</v>
      </c>
      <c r="H223" t="s">
        <v>5353</v>
      </c>
      <c r="I223" t="s">
        <v>4190</v>
      </c>
      <c r="J223" t="s">
        <v>4084</v>
      </c>
      <c r="K223" t="s">
        <v>4230</v>
      </c>
    </row>
    <row r="224" spans="3:11" x14ac:dyDescent="0.25">
      <c r="C224" t="s">
        <v>3473</v>
      </c>
      <c r="D224" t="s">
        <v>3489</v>
      </c>
      <c r="E224" t="s">
        <v>3258</v>
      </c>
      <c r="F224" t="s">
        <v>5019</v>
      </c>
      <c r="G224" t="s">
        <v>5932</v>
      </c>
      <c r="H224" t="s">
        <v>5354</v>
      </c>
      <c r="I224" t="s">
        <v>5319</v>
      </c>
      <c r="J224" t="s">
        <v>4085</v>
      </c>
      <c r="K224" t="s">
        <v>4231</v>
      </c>
    </row>
    <row r="225" spans="3:11" x14ac:dyDescent="0.25">
      <c r="C225" t="s">
        <v>3474</v>
      </c>
      <c r="D225" t="s">
        <v>3490</v>
      </c>
      <c r="E225" t="s">
        <v>3259</v>
      </c>
      <c r="F225" t="s">
        <v>5020</v>
      </c>
      <c r="G225" t="s">
        <v>5390</v>
      </c>
      <c r="H225" t="s">
        <v>5355</v>
      </c>
      <c r="I225" t="s">
        <v>6028</v>
      </c>
      <c r="J225" t="s">
        <v>4089</v>
      </c>
      <c r="K225" t="s">
        <v>4232</v>
      </c>
    </row>
    <row r="226" spans="3:11" x14ac:dyDescent="0.25">
      <c r="C226" t="s">
        <v>3475</v>
      </c>
      <c r="D226" t="s">
        <v>3491</v>
      </c>
      <c r="E226" t="s">
        <v>3260</v>
      </c>
      <c r="F226" t="s">
        <v>5021</v>
      </c>
      <c r="G226" t="s">
        <v>5391</v>
      </c>
      <c r="H226" t="s">
        <v>5356</v>
      </c>
      <c r="I226" t="s">
        <v>5905</v>
      </c>
      <c r="J226" t="s">
        <v>6204</v>
      </c>
      <c r="K226" t="s">
        <v>4234</v>
      </c>
    </row>
    <row r="227" spans="3:11" x14ac:dyDescent="0.25">
      <c r="C227" t="s">
        <v>3476</v>
      </c>
      <c r="D227" t="s">
        <v>3492</v>
      </c>
      <c r="E227" t="s">
        <v>3262</v>
      </c>
      <c r="F227" t="s">
        <v>5022</v>
      </c>
      <c r="G227" t="s">
        <v>5392</v>
      </c>
      <c r="H227" t="s">
        <v>5357</v>
      </c>
      <c r="I227" t="s">
        <v>5906</v>
      </c>
      <c r="J227" t="s">
        <v>6067</v>
      </c>
      <c r="K227" t="s">
        <v>4236</v>
      </c>
    </row>
    <row r="228" spans="3:11" x14ac:dyDescent="0.25">
      <c r="C228" t="s">
        <v>3477</v>
      </c>
      <c r="D228" t="s">
        <v>3493</v>
      </c>
      <c r="E228" t="s">
        <v>3263</v>
      </c>
      <c r="F228" t="s">
        <v>5023</v>
      </c>
      <c r="G228" t="s">
        <v>5393</v>
      </c>
      <c r="H228" t="s">
        <v>4207</v>
      </c>
      <c r="I228" t="s">
        <v>5907</v>
      </c>
      <c r="J228" t="s">
        <v>6068</v>
      </c>
      <c r="K228" t="s">
        <v>4237</v>
      </c>
    </row>
    <row r="229" spans="3:11" x14ac:dyDescent="0.25">
      <c r="C229" t="s">
        <v>3478</v>
      </c>
      <c r="D229" t="s">
        <v>3494</v>
      </c>
      <c r="E229" t="s">
        <v>3264</v>
      </c>
      <c r="F229" t="s">
        <v>5024</v>
      </c>
      <c r="G229" t="s">
        <v>5394</v>
      </c>
      <c r="H229" t="s">
        <v>6031</v>
      </c>
      <c r="I229" t="s">
        <v>5908</v>
      </c>
      <c r="J229" t="s">
        <v>6069</v>
      </c>
      <c r="K229" t="s">
        <v>6228</v>
      </c>
    </row>
    <row r="230" spans="3:11" x14ac:dyDescent="0.25">
      <c r="C230" t="s">
        <v>3479</v>
      </c>
      <c r="D230" t="s">
        <v>3495</v>
      </c>
      <c r="E230" t="s">
        <v>3265</v>
      </c>
      <c r="F230" t="s">
        <v>4294</v>
      </c>
      <c r="G230" t="s">
        <v>3254</v>
      </c>
      <c r="H230" t="s">
        <v>6032</v>
      </c>
      <c r="I230" t="s">
        <v>5321</v>
      </c>
      <c r="J230" t="s">
        <v>6070</v>
      </c>
      <c r="K230" t="s">
        <v>5383</v>
      </c>
    </row>
    <row r="231" spans="3:11" x14ac:dyDescent="0.25">
      <c r="C231" t="s">
        <v>3480</v>
      </c>
      <c r="D231" t="s">
        <v>3501</v>
      </c>
      <c r="E231" t="s">
        <v>3266</v>
      </c>
      <c r="F231" t="s">
        <v>5025</v>
      </c>
      <c r="G231" t="s">
        <v>3255</v>
      </c>
      <c r="H231" t="s">
        <v>6033</v>
      </c>
      <c r="I231" t="s">
        <v>4192</v>
      </c>
      <c r="J231" t="s">
        <v>5974</v>
      </c>
      <c r="K231" t="s">
        <v>4240</v>
      </c>
    </row>
    <row r="232" spans="3:11" x14ac:dyDescent="0.25">
      <c r="C232" t="s">
        <v>3481</v>
      </c>
      <c r="D232" t="s">
        <v>3502</v>
      </c>
      <c r="E232" t="s">
        <v>3267</v>
      </c>
      <c r="F232" t="s">
        <v>4295</v>
      </c>
      <c r="G232" t="s">
        <v>4858</v>
      </c>
      <c r="H232" t="s">
        <v>6034</v>
      </c>
      <c r="I232" t="s">
        <v>5328</v>
      </c>
      <c r="J232" t="s">
        <v>4090</v>
      </c>
      <c r="K232" t="s">
        <v>4241</v>
      </c>
    </row>
    <row r="233" spans="3:11" x14ac:dyDescent="0.25">
      <c r="C233" t="s">
        <v>3482</v>
      </c>
      <c r="D233" t="s">
        <v>4921</v>
      </c>
      <c r="E233" t="s">
        <v>3273</v>
      </c>
      <c r="F233" t="s">
        <v>5451</v>
      </c>
      <c r="G233" t="s">
        <v>5395</v>
      </c>
      <c r="H233" t="s">
        <v>6035</v>
      </c>
      <c r="I233" t="s">
        <v>4194</v>
      </c>
      <c r="J233" t="s">
        <v>5975</v>
      </c>
      <c r="K233" t="s">
        <v>6229</v>
      </c>
    </row>
    <row r="234" spans="3:11" x14ac:dyDescent="0.25">
      <c r="C234" t="s">
        <v>3483</v>
      </c>
      <c r="D234" t="s">
        <v>4922</v>
      </c>
      <c r="E234" t="s">
        <v>3274</v>
      </c>
      <c r="F234" t="s">
        <v>5452</v>
      </c>
      <c r="G234" t="s">
        <v>5396</v>
      </c>
      <c r="H234" t="s">
        <v>6036</v>
      </c>
      <c r="I234" t="s">
        <v>6089</v>
      </c>
      <c r="J234" t="s">
        <v>4092</v>
      </c>
      <c r="K234" t="s">
        <v>6230</v>
      </c>
    </row>
    <row r="235" spans="3:11" x14ac:dyDescent="0.25">
      <c r="C235" t="s">
        <v>3484</v>
      </c>
      <c r="D235" t="s">
        <v>4923</v>
      </c>
      <c r="E235" t="s">
        <v>4860</v>
      </c>
      <c r="F235" t="s">
        <v>5453</v>
      </c>
      <c r="G235" t="s">
        <v>5397</v>
      </c>
      <c r="H235" t="s">
        <v>5358</v>
      </c>
      <c r="I235" t="s">
        <v>5334</v>
      </c>
      <c r="J235" t="s">
        <v>5976</v>
      </c>
      <c r="K235" t="s">
        <v>6231</v>
      </c>
    </row>
    <row r="236" spans="3:11" x14ac:dyDescent="0.25">
      <c r="C236" t="s">
        <v>3485</v>
      </c>
      <c r="D236" t="s">
        <v>4924</v>
      </c>
      <c r="E236" t="s">
        <v>4861</v>
      </c>
      <c r="F236" t="s">
        <v>5454</v>
      </c>
      <c r="G236" t="s">
        <v>5398</v>
      </c>
      <c r="H236" t="s">
        <v>4209</v>
      </c>
      <c r="I236" t="s">
        <v>4196</v>
      </c>
      <c r="J236" t="s">
        <v>5977</v>
      </c>
      <c r="K236" t="s">
        <v>5384</v>
      </c>
    </row>
    <row r="237" spans="3:11" x14ac:dyDescent="0.25">
      <c r="C237" t="s">
        <v>3486</v>
      </c>
      <c r="D237" t="s">
        <v>4925</v>
      </c>
      <c r="E237" t="s">
        <v>3275</v>
      </c>
      <c r="F237" t="s">
        <v>5026</v>
      </c>
      <c r="G237" t="s">
        <v>3257</v>
      </c>
      <c r="H237" t="s">
        <v>4211</v>
      </c>
      <c r="I237" t="s">
        <v>5336</v>
      </c>
      <c r="J237" t="s">
        <v>5978</v>
      </c>
      <c r="K237" t="s">
        <v>5385</v>
      </c>
    </row>
    <row r="238" spans="3:11" x14ac:dyDescent="0.25">
      <c r="C238" t="s">
        <v>3487</v>
      </c>
      <c r="D238" t="s">
        <v>4926</v>
      </c>
      <c r="E238" t="s">
        <v>3276</v>
      </c>
      <c r="F238" t="s">
        <v>4296</v>
      </c>
      <c r="G238" t="s">
        <v>3258</v>
      </c>
      <c r="H238" t="s">
        <v>4212</v>
      </c>
      <c r="I238" t="s">
        <v>6090</v>
      </c>
      <c r="J238" t="s">
        <v>5979</v>
      </c>
      <c r="K238" t="s">
        <v>6037</v>
      </c>
    </row>
    <row r="239" spans="3:11" x14ac:dyDescent="0.25">
      <c r="C239" t="s">
        <v>3488</v>
      </c>
      <c r="D239" t="s">
        <v>3504</v>
      </c>
      <c r="E239" t="s">
        <v>3277</v>
      </c>
      <c r="F239" t="s">
        <v>5455</v>
      </c>
      <c r="G239" t="s">
        <v>3259</v>
      </c>
      <c r="H239" t="s">
        <v>5364</v>
      </c>
      <c r="I239" t="s">
        <v>5337</v>
      </c>
      <c r="J239" t="s">
        <v>5980</v>
      </c>
      <c r="K239" t="s">
        <v>3253</v>
      </c>
    </row>
    <row r="240" spans="3:11" x14ac:dyDescent="0.25">
      <c r="C240" t="s">
        <v>3489</v>
      </c>
      <c r="D240" t="s">
        <v>3505</v>
      </c>
      <c r="E240" t="s">
        <v>3278</v>
      </c>
      <c r="F240" t="s">
        <v>4297</v>
      </c>
      <c r="G240" t="s">
        <v>3260</v>
      </c>
      <c r="H240" t="s">
        <v>4214</v>
      </c>
      <c r="I240" t="s">
        <v>5338</v>
      </c>
      <c r="J240" t="s">
        <v>4094</v>
      </c>
      <c r="K240" t="s">
        <v>4242</v>
      </c>
    </row>
    <row r="241" spans="3:11" x14ac:dyDescent="0.25">
      <c r="C241" t="s">
        <v>3490</v>
      </c>
      <c r="D241" t="s">
        <v>3507</v>
      </c>
      <c r="E241" t="s">
        <v>3279</v>
      </c>
      <c r="F241" t="s">
        <v>5456</v>
      </c>
      <c r="G241" t="s">
        <v>3262</v>
      </c>
      <c r="H241" t="s">
        <v>5915</v>
      </c>
      <c r="I241" t="s">
        <v>5339</v>
      </c>
      <c r="J241" t="s">
        <v>5981</v>
      </c>
      <c r="K241" t="s">
        <v>5390</v>
      </c>
    </row>
    <row r="242" spans="3:11" x14ac:dyDescent="0.25">
      <c r="C242" t="s">
        <v>3491</v>
      </c>
      <c r="D242" t="s">
        <v>3509</v>
      </c>
      <c r="E242" t="s">
        <v>3280</v>
      </c>
      <c r="F242" t="s">
        <v>5457</v>
      </c>
      <c r="G242" t="s">
        <v>3263</v>
      </c>
      <c r="H242" t="s">
        <v>4216</v>
      </c>
      <c r="I242" t="s">
        <v>5340</v>
      </c>
      <c r="J242" t="s">
        <v>6071</v>
      </c>
      <c r="K242" t="s">
        <v>6232</v>
      </c>
    </row>
    <row r="243" spans="3:11" x14ac:dyDescent="0.25">
      <c r="C243" t="s">
        <v>3492</v>
      </c>
      <c r="D243" t="s">
        <v>3510</v>
      </c>
      <c r="E243" t="s">
        <v>3281</v>
      </c>
      <c r="F243" t="s">
        <v>5458</v>
      </c>
      <c r="G243" t="s">
        <v>3264</v>
      </c>
      <c r="H243" t="s">
        <v>5366</v>
      </c>
      <c r="I243" t="s">
        <v>5341</v>
      </c>
      <c r="J243" t="s">
        <v>5982</v>
      </c>
      <c r="K243" t="s">
        <v>3255</v>
      </c>
    </row>
    <row r="244" spans="3:11" x14ac:dyDescent="0.25">
      <c r="C244" t="s">
        <v>3493</v>
      </c>
      <c r="D244" t="s">
        <v>3511</v>
      </c>
      <c r="E244" t="s">
        <v>3288</v>
      </c>
      <c r="F244" t="s">
        <v>5459</v>
      </c>
      <c r="G244" t="s">
        <v>3265</v>
      </c>
      <c r="H244" t="s">
        <v>5367</v>
      </c>
      <c r="I244" t="s">
        <v>4199</v>
      </c>
      <c r="J244" t="s">
        <v>5983</v>
      </c>
      <c r="K244" t="s">
        <v>4243</v>
      </c>
    </row>
    <row r="245" spans="3:11" x14ac:dyDescent="0.25">
      <c r="C245" t="s">
        <v>3494</v>
      </c>
      <c r="D245" t="s">
        <v>3512</v>
      </c>
      <c r="E245" t="s">
        <v>3289</v>
      </c>
      <c r="F245" t="s">
        <v>5027</v>
      </c>
      <c r="G245" t="s">
        <v>3266</v>
      </c>
      <c r="H245" t="s">
        <v>5368</v>
      </c>
      <c r="I245" t="s">
        <v>6030</v>
      </c>
      <c r="J245" t="s">
        <v>5984</v>
      </c>
      <c r="K245" t="s">
        <v>3258</v>
      </c>
    </row>
    <row r="246" spans="3:11" x14ac:dyDescent="0.25">
      <c r="C246" t="s">
        <v>3495</v>
      </c>
      <c r="D246" t="s">
        <v>3513</v>
      </c>
      <c r="E246" t="s">
        <v>3296</v>
      </c>
      <c r="F246" t="s">
        <v>4298</v>
      </c>
      <c r="G246" t="s">
        <v>3267</v>
      </c>
      <c r="H246" t="s">
        <v>5369</v>
      </c>
      <c r="I246" t="s">
        <v>5344</v>
      </c>
      <c r="J246" t="s">
        <v>5985</v>
      </c>
      <c r="K246" t="s">
        <v>4244</v>
      </c>
    </row>
    <row r="247" spans="3:11" x14ac:dyDescent="0.25">
      <c r="C247" t="s">
        <v>3496</v>
      </c>
      <c r="D247" t="s">
        <v>3514</v>
      </c>
      <c r="E247" t="s">
        <v>3297</v>
      </c>
      <c r="F247" t="s">
        <v>5028</v>
      </c>
      <c r="G247" t="s">
        <v>5933</v>
      </c>
      <c r="H247" t="s">
        <v>5370</v>
      </c>
      <c r="I247" t="s">
        <v>5345</v>
      </c>
      <c r="J247" t="s">
        <v>5986</v>
      </c>
      <c r="K247" t="s">
        <v>6233</v>
      </c>
    </row>
    <row r="248" spans="3:11" x14ac:dyDescent="0.25">
      <c r="C248" t="s">
        <v>3497</v>
      </c>
      <c r="D248" t="s">
        <v>3515</v>
      </c>
      <c r="E248" t="s">
        <v>3300</v>
      </c>
      <c r="F248" t="s">
        <v>5029</v>
      </c>
      <c r="G248" t="s">
        <v>4859</v>
      </c>
      <c r="H248" t="s">
        <v>4217</v>
      </c>
      <c r="I248" t="s">
        <v>5346</v>
      </c>
      <c r="J248" t="s">
        <v>4097</v>
      </c>
      <c r="K248" t="s">
        <v>3267</v>
      </c>
    </row>
    <row r="249" spans="3:11" x14ac:dyDescent="0.25">
      <c r="C249" t="s">
        <v>3498</v>
      </c>
      <c r="D249" t="s">
        <v>3516</v>
      </c>
      <c r="E249" t="s">
        <v>3301</v>
      </c>
      <c r="F249" t="s">
        <v>5030</v>
      </c>
      <c r="G249" t="s">
        <v>3269</v>
      </c>
      <c r="H249" t="s">
        <v>5916</v>
      </c>
      <c r="I249" t="s">
        <v>5347</v>
      </c>
      <c r="J249" t="s">
        <v>6072</v>
      </c>
      <c r="K249" t="s">
        <v>4245</v>
      </c>
    </row>
    <row r="250" spans="3:11" x14ac:dyDescent="0.25">
      <c r="C250" t="s">
        <v>3499</v>
      </c>
      <c r="D250" t="s">
        <v>3522</v>
      </c>
      <c r="E250" t="s">
        <v>3302</v>
      </c>
      <c r="F250" t="s">
        <v>5031</v>
      </c>
      <c r="G250" t="s">
        <v>3270</v>
      </c>
      <c r="H250" t="s">
        <v>5371</v>
      </c>
      <c r="I250" t="s">
        <v>5348</v>
      </c>
      <c r="J250" t="s">
        <v>6074</v>
      </c>
      <c r="K250" t="s">
        <v>6234</v>
      </c>
    </row>
    <row r="251" spans="3:11" x14ac:dyDescent="0.25">
      <c r="C251" t="s">
        <v>3500</v>
      </c>
      <c r="D251" t="s">
        <v>3523</v>
      </c>
      <c r="E251" t="s">
        <v>4869</v>
      </c>
      <c r="F251" t="s">
        <v>5032</v>
      </c>
      <c r="G251" t="s">
        <v>3271</v>
      </c>
      <c r="H251" t="s">
        <v>5372</v>
      </c>
      <c r="I251" t="s">
        <v>4201</v>
      </c>
      <c r="J251" t="s">
        <v>6075</v>
      </c>
      <c r="K251" t="s">
        <v>3274</v>
      </c>
    </row>
    <row r="252" spans="3:11" x14ac:dyDescent="0.25">
      <c r="C252" t="s">
        <v>3501</v>
      </c>
      <c r="D252" t="s">
        <v>3524</v>
      </c>
      <c r="E252" t="s">
        <v>3304</v>
      </c>
      <c r="F252" t="s">
        <v>5033</v>
      </c>
      <c r="G252" t="s">
        <v>3272</v>
      </c>
      <c r="H252" t="s">
        <v>5373</v>
      </c>
      <c r="I252" t="s">
        <v>5349</v>
      </c>
      <c r="J252" t="s">
        <v>6076</v>
      </c>
      <c r="K252" t="s">
        <v>4246</v>
      </c>
    </row>
    <row r="253" spans="3:11" x14ac:dyDescent="0.25">
      <c r="C253" t="s">
        <v>3502</v>
      </c>
      <c r="D253" t="s">
        <v>3525</v>
      </c>
      <c r="E253" t="s">
        <v>3305</v>
      </c>
      <c r="F253" t="s">
        <v>5034</v>
      </c>
      <c r="G253" t="s">
        <v>3273</v>
      </c>
      <c r="H253" t="s">
        <v>5374</v>
      </c>
      <c r="I253" t="s">
        <v>5350</v>
      </c>
      <c r="J253" t="s">
        <v>6077</v>
      </c>
      <c r="K253" t="s">
        <v>6235</v>
      </c>
    </row>
    <row r="254" spans="3:11" x14ac:dyDescent="0.25">
      <c r="C254" t="s">
        <v>3503</v>
      </c>
      <c r="D254" t="s">
        <v>3526</v>
      </c>
      <c r="E254" t="s">
        <v>3306</v>
      </c>
      <c r="F254" t="s">
        <v>4299</v>
      </c>
      <c r="G254" t="s">
        <v>3274</v>
      </c>
      <c r="H254" t="s">
        <v>5375</v>
      </c>
      <c r="I254" t="s">
        <v>4204</v>
      </c>
      <c r="J254" t="s">
        <v>5987</v>
      </c>
      <c r="K254" t="s">
        <v>3281</v>
      </c>
    </row>
    <row r="255" spans="3:11" x14ac:dyDescent="0.25">
      <c r="C255" t="s">
        <v>3504</v>
      </c>
      <c r="D255" t="s">
        <v>3527</v>
      </c>
      <c r="E255" t="s">
        <v>3307</v>
      </c>
      <c r="F255" t="s">
        <v>5035</v>
      </c>
      <c r="G255" t="s">
        <v>4861</v>
      </c>
      <c r="H255" t="s">
        <v>4220</v>
      </c>
      <c r="I255" t="s">
        <v>5357</v>
      </c>
      <c r="J255" t="s">
        <v>4101</v>
      </c>
      <c r="K255" t="s">
        <v>4247</v>
      </c>
    </row>
    <row r="256" spans="3:11" x14ac:dyDescent="0.25">
      <c r="C256" t="s">
        <v>3505</v>
      </c>
      <c r="D256" t="s">
        <v>3528</v>
      </c>
      <c r="E256" t="s">
        <v>3308</v>
      </c>
      <c r="F256" t="s">
        <v>5036</v>
      </c>
      <c r="G256" t="s">
        <v>3275</v>
      </c>
      <c r="H256" t="s">
        <v>5918</v>
      </c>
      <c r="I256" t="s">
        <v>4207</v>
      </c>
      <c r="J256" t="s">
        <v>5989</v>
      </c>
      <c r="K256" t="s">
        <v>6236</v>
      </c>
    </row>
    <row r="257" spans="3:11" x14ac:dyDescent="0.25">
      <c r="C257" t="s">
        <v>3506</v>
      </c>
      <c r="D257" t="s">
        <v>3529</v>
      </c>
      <c r="E257" t="s">
        <v>3309</v>
      </c>
      <c r="F257" t="s">
        <v>5037</v>
      </c>
      <c r="G257" t="s">
        <v>3276</v>
      </c>
      <c r="H257" t="s">
        <v>5919</v>
      </c>
      <c r="I257" t="s">
        <v>6031</v>
      </c>
      <c r="J257" t="s">
        <v>5990</v>
      </c>
      <c r="K257" t="s">
        <v>3289</v>
      </c>
    </row>
    <row r="258" spans="3:11" x14ac:dyDescent="0.25">
      <c r="C258" t="s">
        <v>3507</v>
      </c>
      <c r="D258" t="s">
        <v>3530</v>
      </c>
      <c r="E258" t="s">
        <v>3312</v>
      </c>
      <c r="F258" t="s">
        <v>5038</v>
      </c>
      <c r="G258" t="s">
        <v>3277</v>
      </c>
      <c r="H258" t="s">
        <v>5920</v>
      </c>
      <c r="I258" t="s">
        <v>6033</v>
      </c>
      <c r="J258" t="s">
        <v>5991</v>
      </c>
      <c r="K258" t="s">
        <v>4248</v>
      </c>
    </row>
    <row r="259" spans="3:11" x14ac:dyDescent="0.25">
      <c r="C259" t="s">
        <v>3508</v>
      </c>
      <c r="D259" t="s">
        <v>3531</v>
      </c>
      <c r="E259" t="s">
        <v>3313</v>
      </c>
      <c r="F259" t="s">
        <v>5039</v>
      </c>
      <c r="G259" t="s">
        <v>3278</v>
      </c>
      <c r="H259" t="s">
        <v>5921</v>
      </c>
      <c r="I259" t="s">
        <v>6034</v>
      </c>
      <c r="J259" t="s">
        <v>5992</v>
      </c>
      <c r="K259" t="s">
        <v>6237</v>
      </c>
    </row>
    <row r="260" spans="3:11" x14ac:dyDescent="0.25">
      <c r="C260" t="s">
        <v>3509</v>
      </c>
      <c r="D260" t="s">
        <v>3532</v>
      </c>
      <c r="E260" t="s">
        <v>5399</v>
      </c>
      <c r="F260" t="s">
        <v>5040</v>
      </c>
      <c r="G260" t="s">
        <v>3279</v>
      </c>
      <c r="H260" t="s">
        <v>4223</v>
      </c>
      <c r="I260" t="s">
        <v>6035</v>
      </c>
      <c r="J260" t="s">
        <v>5993</v>
      </c>
      <c r="K260" t="s">
        <v>3297</v>
      </c>
    </row>
    <row r="261" spans="3:11" x14ac:dyDescent="0.25">
      <c r="C261" t="s">
        <v>3510</v>
      </c>
      <c r="D261" t="s">
        <v>3534</v>
      </c>
      <c r="E261" t="s">
        <v>5400</v>
      </c>
      <c r="F261" t="s">
        <v>4300</v>
      </c>
      <c r="G261" t="s">
        <v>3280</v>
      </c>
      <c r="H261" t="s">
        <v>4224</v>
      </c>
      <c r="I261" t="s">
        <v>6036</v>
      </c>
      <c r="J261" t="s">
        <v>5994</v>
      </c>
      <c r="K261" t="s">
        <v>4249</v>
      </c>
    </row>
    <row r="262" spans="3:11" x14ac:dyDescent="0.25">
      <c r="C262" t="s">
        <v>3511</v>
      </c>
      <c r="D262" t="s">
        <v>3535</v>
      </c>
      <c r="E262" t="s">
        <v>5401</v>
      </c>
      <c r="F262" t="s">
        <v>5042</v>
      </c>
      <c r="G262" t="s">
        <v>3281</v>
      </c>
      <c r="H262" t="s">
        <v>4230</v>
      </c>
      <c r="I262" t="s">
        <v>5358</v>
      </c>
      <c r="J262" t="s">
        <v>4105</v>
      </c>
      <c r="K262" t="s">
        <v>3301</v>
      </c>
    </row>
    <row r="263" spans="3:11" x14ac:dyDescent="0.25">
      <c r="C263" t="s">
        <v>3512</v>
      </c>
      <c r="D263" t="s">
        <v>3536</v>
      </c>
      <c r="E263" t="s">
        <v>5402</v>
      </c>
      <c r="F263" t="s">
        <v>4301</v>
      </c>
      <c r="G263" t="s">
        <v>3282</v>
      </c>
      <c r="H263" t="s">
        <v>4231</v>
      </c>
      <c r="I263" t="s">
        <v>4209</v>
      </c>
      <c r="J263" t="s">
        <v>5995</v>
      </c>
      <c r="K263" t="s">
        <v>4250</v>
      </c>
    </row>
    <row r="264" spans="3:11" x14ac:dyDescent="0.25">
      <c r="C264" t="s">
        <v>3513</v>
      </c>
      <c r="D264" t="s">
        <v>3537</v>
      </c>
      <c r="E264" t="s">
        <v>5403</v>
      </c>
      <c r="F264" t="s">
        <v>5043</v>
      </c>
      <c r="G264" t="s">
        <v>5934</v>
      </c>
      <c r="H264" t="s">
        <v>4233</v>
      </c>
      <c r="I264" t="s">
        <v>6091</v>
      </c>
      <c r="J264" t="s">
        <v>4107</v>
      </c>
      <c r="K264" t="s">
        <v>3309</v>
      </c>
    </row>
    <row r="265" spans="3:11" x14ac:dyDescent="0.25">
      <c r="C265" t="s">
        <v>3514</v>
      </c>
      <c r="D265" t="s">
        <v>3538</v>
      </c>
      <c r="E265" t="s">
        <v>3316</v>
      </c>
      <c r="F265" t="s">
        <v>5050</v>
      </c>
      <c r="G265" t="s">
        <v>3283</v>
      </c>
      <c r="H265" t="s">
        <v>4234</v>
      </c>
      <c r="I265" t="s">
        <v>4211</v>
      </c>
      <c r="J265" t="s">
        <v>5996</v>
      </c>
      <c r="K265" t="s">
        <v>4251</v>
      </c>
    </row>
    <row r="266" spans="3:11" x14ac:dyDescent="0.25">
      <c r="C266" t="s">
        <v>3515</v>
      </c>
      <c r="D266" t="s">
        <v>3539</v>
      </c>
      <c r="E266" t="s">
        <v>3317</v>
      </c>
      <c r="F266" t="s">
        <v>4302</v>
      </c>
      <c r="G266" t="s">
        <v>3288</v>
      </c>
      <c r="H266" t="s">
        <v>5377</v>
      </c>
      <c r="I266" t="s">
        <v>5360</v>
      </c>
      <c r="J266" t="s">
        <v>5997</v>
      </c>
      <c r="K266" t="s">
        <v>6238</v>
      </c>
    </row>
    <row r="267" spans="3:11" x14ac:dyDescent="0.25">
      <c r="C267" t="s">
        <v>3516</v>
      </c>
      <c r="D267" t="s">
        <v>3540</v>
      </c>
      <c r="E267" t="s">
        <v>3318</v>
      </c>
      <c r="F267" t="s">
        <v>5051</v>
      </c>
      <c r="G267" t="s">
        <v>3289</v>
      </c>
      <c r="H267" t="s">
        <v>4236</v>
      </c>
      <c r="I267" t="s">
        <v>5361</v>
      </c>
      <c r="J267" t="s">
        <v>5998</v>
      </c>
      <c r="K267" t="s">
        <v>3313</v>
      </c>
    </row>
    <row r="268" spans="3:11" x14ac:dyDescent="0.25">
      <c r="C268" t="s">
        <v>3517</v>
      </c>
      <c r="D268" t="s">
        <v>3546</v>
      </c>
      <c r="E268" t="s">
        <v>4874</v>
      </c>
      <c r="F268" t="s">
        <v>5460</v>
      </c>
      <c r="G268" t="s">
        <v>4863</v>
      </c>
      <c r="H268" t="s">
        <v>5383</v>
      </c>
      <c r="I268" t="s">
        <v>5362</v>
      </c>
      <c r="J268" t="s">
        <v>5999</v>
      </c>
      <c r="K268" t="s">
        <v>4252</v>
      </c>
    </row>
    <row r="269" spans="3:11" x14ac:dyDescent="0.25">
      <c r="C269" t="s">
        <v>3518</v>
      </c>
      <c r="D269" t="s">
        <v>3547</v>
      </c>
      <c r="E269" t="s">
        <v>3319</v>
      </c>
      <c r="F269" t="s">
        <v>5053</v>
      </c>
      <c r="G269" t="s">
        <v>3291</v>
      </c>
      <c r="H269" t="s">
        <v>4240</v>
      </c>
      <c r="I269" t="s">
        <v>5363</v>
      </c>
      <c r="J269" t="s">
        <v>6000</v>
      </c>
      <c r="K269" t="s">
        <v>6239</v>
      </c>
    </row>
    <row r="270" spans="3:11" x14ac:dyDescent="0.25">
      <c r="C270" t="s">
        <v>3519</v>
      </c>
      <c r="D270" t="s">
        <v>3548</v>
      </c>
      <c r="E270" t="s">
        <v>4875</v>
      </c>
      <c r="F270" t="s">
        <v>5054</v>
      </c>
      <c r="G270" t="s">
        <v>3292</v>
      </c>
      <c r="H270" t="s">
        <v>5384</v>
      </c>
      <c r="I270" t="s">
        <v>5364</v>
      </c>
      <c r="J270" t="s">
        <v>4109</v>
      </c>
      <c r="K270" t="s">
        <v>6240</v>
      </c>
    </row>
    <row r="271" spans="3:11" x14ac:dyDescent="0.25">
      <c r="C271" t="s">
        <v>3520</v>
      </c>
      <c r="D271" t="s">
        <v>3554</v>
      </c>
      <c r="E271" t="s">
        <v>4876</v>
      </c>
      <c r="F271" t="s">
        <v>5055</v>
      </c>
      <c r="G271" t="s">
        <v>3293</v>
      </c>
      <c r="H271" t="s">
        <v>6037</v>
      </c>
      <c r="I271" t="s">
        <v>4214</v>
      </c>
      <c r="J271" t="s">
        <v>6001</v>
      </c>
      <c r="K271" t="s">
        <v>3317</v>
      </c>
    </row>
    <row r="272" spans="3:11" x14ac:dyDescent="0.25">
      <c r="C272" t="s">
        <v>3521</v>
      </c>
      <c r="D272" t="s">
        <v>3555</v>
      </c>
      <c r="E272" t="s">
        <v>4877</v>
      </c>
      <c r="F272" t="s">
        <v>5056</v>
      </c>
      <c r="G272" t="s">
        <v>3294</v>
      </c>
      <c r="H272" t="s">
        <v>5386</v>
      </c>
      <c r="I272" t="s">
        <v>5370</v>
      </c>
      <c r="J272" t="s">
        <v>6006</v>
      </c>
      <c r="K272" t="s">
        <v>4253</v>
      </c>
    </row>
    <row r="273" spans="3:10" x14ac:dyDescent="0.25">
      <c r="C273" t="s">
        <v>3522</v>
      </c>
      <c r="D273" t="s">
        <v>3556</v>
      </c>
      <c r="E273" t="s">
        <v>4878</v>
      </c>
      <c r="F273" t="s">
        <v>5057</v>
      </c>
      <c r="G273" t="s">
        <v>3295</v>
      </c>
      <c r="H273" t="s">
        <v>5387</v>
      </c>
      <c r="I273" t="s">
        <v>4217</v>
      </c>
      <c r="J273" t="s">
        <v>4112</v>
      </c>
    </row>
    <row r="274" spans="3:10" x14ac:dyDescent="0.25">
      <c r="C274" t="s">
        <v>3523</v>
      </c>
      <c r="D274" t="s">
        <v>3558</v>
      </c>
      <c r="E274" t="s">
        <v>3320</v>
      </c>
      <c r="F274" t="s">
        <v>4303</v>
      </c>
      <c r="G274" t="s">
        <v>3296</v>
      </c>
      <c r="H274" t="s">
        <v>5388</v>
      </c>
      <c r="I274" t="s">
        <v>5375</v>
      </c>
      <c r="J274" t="s">
        <v>6079</v>
      </c>
    </row>
    <row r="275" spans="3:10" x14ac:dyDescent="0.25">
      <c r="C275" t="s">
        <v>3524</v>
      </c>
      <c r="D275" t="s">
        <v>3559</v>
      </c>
      <c r="E275" t="s">
        <v>3321</v>
      </c>
      <c r="F275" t="s">
        <v>5059</v>
      </c>
      <c r="G275" t="s">
        <v>3297</v>
      </c>
      <c r="H275" t="s">
        <v>5389</v>
      </c>
      <c r="I275" t="s">
        <v>4220</v>
      </c>
      <c r="J275" t="s">
        <v>6082</v>
      </c>
    </row>
    <row r="276" spans="3:10" x14ac:dyDescent="0.25">
      <c r="C276" t="s">
        <v>3525</v>
      </c>
      <c r="D276" t="s">
        <v>3560</v>
      </c>
      <c r="E276" t="s">
        <v>3324</v>
      </c>
      <c r="F276" t="s">
        <v>5060</v>
      </c>
      <c r="G276" t="s">
        <v>3298</v>
      </c>
      <c r="H276" t="s">
        <v>3252</v>
      </c>
      <c r="I276" t="s">
        <v>4222</v>
      </c>
      <c r="J276" t="s">
        <v>6083</v>
      </c>
    </row>
    <row r="277" spans="3:10" x14ac:dyDescent="0.25">
      <c r="C277" t="s">
        <v>3526</v>
      </c>
      <c r="D277" t="s">
        <v>3561</v>
      </c>
      <c r="E277" t="s">
        <v>3325</v>
      </c>
      <c r="F277" t="s">
        <v>5061</v>
      </c>
      <c r="G277" t="s">
        <v>3299</v>
      </c>
      <c r="H277" t="s">
        <v>3253</v>
      </c>
      <c r="I277" t="s">
        <v>5918</v>
      </c>
      <c r="J277" t="s">
        <v>6084</v>
      </c>
    </row>
    <row r="278" spans="3:10" x14ac:dyDescent="0.25">
      <c r="C278" t="s">
        <v>3527</v>
      </c>
      <c r="D278" t="s">
        <v>3562</v>
      </c>
      <c r="E278" t="s">
        <v>5404</v>
      </c>
      <c r="F278" t="s">
        <v>5062</v>
      </c>
      <c r="G278" t="s">
        <v>4865</v>
      </c>
      <c r="H278" t="s">
        <v>5932</v>
      </c>
      <c r="I278" t="s">
        <v>5919</v>
      </c>
      <c r="J278" t="s">
        <v>6085</v>
      </c>
    </row>
    <row r="279" spans="3:10" x14ac:dyDescent="0.25">
      <c r="C279" t="s">
        <v>3528</v>
      </c>
      <c r="D279" t="s">
        <v>3563</v>
      </c>
      <c r="E279" t="s">
        <v>4255</v>
      </c>
      <c r="F279" t="s">
        <v>5063</v>
      </c>
      <c r="G279" t="s">
        <v>4866</v>
      </c>
      <c r="H279" t="s">
        <v>5391</v>
      </c>
      <c r="I279" t="s">
        <v>5920</v>
      </c>
      <c r="J279" t="s">
        <v>6007</v>
      </c>
    </row>
    <row r="280" spans="3:10" x14ac:dyDescent="0.25">
      <c r="C280" t="s">
        <v>3529</v>
      </c>
      <c r="D280" t="s">
        <v>3570</v>
      </c>
      <c r="E280" t="s">
        <v>4256</v>
      </c>
      <c r="F280" t="s">
        <v>5064</v>
      </c>
      <c r="G280" t="s">
        <v>4867</v>
      </c>
      <c r="H280" t="s">
        <v>5392</v>
      </c>
      <c r="I280" t="s">
        <v>5921</v>
      </c>
      <c r="J280" t="s">
        <v>4115</v>
      </c>
    </row>
    <row r="281" spans="3:10" x14ac:dyDescent="0.25">
      <c r="C281" t="s">
        <v>3530</v>
      </c>
      <c r="D281" t="s">
        <v>3571</v>
      </c>
      <c r="E281" t="s">
        <v>4883</v>
      </c>
      <c r="F281" t="s">
        <v>4304</v>
      </c>
      <c r="G281" t="s">
        <v>4868</v>
      </c>
      <c r="H281" t="s">
        <v>5393</v>
      </c>
      <c r="I281" t="s">
        <v>4223</v>
      </c>
      <c r="J281" t="s">
        <v>6205</v>
      </c>
    </row>
    <row r="282" spans="3:10" x14ac:dyDescent="0.25">
      <c r="C282" t="s">
        <v>3531</v>
      </c>
      <c r="D282" t="s">
        <v>3572</v>
      </c>
      <c r="E282" t="s">
        <v>4884</v>
      </c>
      <c r="F282" t="s">
        <v>5066</v>
      </c>
      <c r="G282" t="s">
        <v>3300</v>
      </c>
      <c r="H282" t="s">
        <v>5394</v>
      </c>
      <c r="I282" t="s">
        <v>4224</v>
      </c>
      <c r="J282" t="s">
        <v>6008</v>
      </c>
    </row>
    <row r="283" spans="3:10" x14ac:dyDescent="0.25">
      <c r="C283" t="s">
        <v>3532</v>
      </c>
      <c r="D283" t="s">
        <v>3574</v>
      </c>
      <c r="E283" t="s">
        <v>4885</v>
      </c>
      <c r="F283" t="s">
        <v>5067</v>
      </c>
      <c r="G283" t="s">
        <v>3301</v>
      </c>
      <c r="H283" t="s">
        <v>3254</v>
      </c>
      <c r="I283" t="s">
        <v>4230</v>
      </c>
      <c r="J283" t="s">
        <v>6009</v>
      </c>
    </row>
    <row r="284" spans="3:10" x14ac:dyDescent="0.25">
      <c r="C284" t="s">
        <v>3533</v>
      </c>
      <c r="D284" t="s">
        <v>3575</v>
      </c>
      <c r="E284" t="s">
        <v>4886</v>
      </c>
      <c r="F284" t="s">
        <v>5068</v>
      </c>
      <c r="G284" t="s">
        <v>3302</v>
      </c>
      <c r="H284" t="s">
        <v>3255</v>
      </c>
      <c r="I284" t="s">
        <v>5922</v>
      </c>
      <c r="J284" t="s">
        <v>6010</v>
      </c>
    </row>
    <row r="285" spans="3:10" x14ac:dyDescent="0.25">
      <c r="C285" t="s">
        <v>3534</v>
      </c>
      <c r="D285" t="s">
        <v>3576</v>
      </c>
      <c r="E285" t="s">
        <v>3326</v>
      </c>
      <c r="F285" t="s">
        <v>5069</v>
      </c>
      <c r="G285" t="s">
        <v>3304</v>
      </c>
      <c r="H285" t="s">
        <v>3256</v>
      </c>
      <c r="I285" t="s">
        <v>5923</v>
      </c>
      <c r="J285" t="s">
        <v>6011</v>
      </c>
    </row>
    <row r="286" spans="3:10" x14ac:dyDescent="0.25">
      <c r="C286" t="s">
        <v>3535</v>
      </c>
      <c r="D286" t="s">
        <v>3578</v>
      </c>
      <c r="E286" t="s">
        <v>3327</v>
      </c>
      <c r="F286" t="s">
        <v>5070</v>
      </c>
      <c r="G286" t="s">
        <v>3305</v>
      </c>
      <c r="H286" t="s">
        <v>5395</v>
      </c>
      <c r="I286" t="s">
        <v>5924</v>
      </c>
      <c r="J286" t="s">
        <v>6012</v>
      </c>
    </row>
    <row r="287" spans="3:10" x14ac:dyDescent="0.25">
      <c r="C287" t="s">
        <v>3536</v>
      </c>
      <c r="D287" t="s">
        <v>3579</v>
      </c>
      <c r="E287" t="s">
        <v>3334</v>
      </c>
      <c r="F287" t="s">
        <v>5071</v>
      </c>
      <c r="G287" t="s">
        <v>3306</v>
      </c>
      <c r="H287" t="s">
        <v>5396</v>
      </c>
      <c r="I287" t="s">
        <v>5925</v>
      </c>
      <c r="J287" t="s">
        <v>6013</v>
      </c>
    </row>
    <row r="288" spans="3:10" x14ac:dyDescent="0.25">
      <c r="C288" t="s">
        <v>3537</v>
      </c>
      <c r="D288" t="s">
        <v>3580</v>
      </c>
      <c r="E288" t="s">
        <v>3335</v>
      </c>
      <c r="F288" t="s">
        <v>4305</v>
      </c>
      <c r="G288" t="s">
        <v>3307</v>
      </c>
      <c r="H288" t="s">
        <v>5397</v>
      </c>
      <c r="I288" t="s">
        <v>4233</v>
      </c>
      <c r="J288" t="s">
        <v>4119</v>
      </c>
    </row>
    <row r="289" spans="3:10" x14ac:dyDescent="0.25">
      <c r="C289" t="s">
        <v>3538</v>
      </c>
      <c r="D289" t="s">
        <v>3585</v>
      </c>
      <c r="E289" t="s">
        <v>3338</v>
      </c>
      <c r="F289" t="s">
        <v>5072</v>
      </c>
      <c r="G289" t="s">
        <v>3308</v>
      </c>
      <c r="H289" t="s">
        <v>5398</v>
      </c>
      <c r="I289" t="s">
        <v>4234</v>
      </c>
      <c r="J289" t="s">
        <v>6014</v>
      </c>
    </row>
    <row r="290" spans="3:10" x14ac:dyDescent="0.25">
      <c r="C290" t="s">
        <v>3539</v>
      </c>
      <c r="D290" t="s">
        <v>3586</v>
      </c>
      <c r="E290" t="s">
        <v>3339</v>
      </c>
      <c r="F290" t="s">
        <v>5073</v>
      </c>
      <c r="G290" t="s">
        <v>3309</v>
      </c>
      <c r="H290" t="s">
        <v>3257</v>
      </c>
      <c r="I290" t="s">
        <v>4235</v>
      </c>
      <c r="J290" t="s">
        <v>6015</v>
      </c>
    </row>
    <row r="291" spans="3:10" x14ac:dyDescent="0.25">
      <c r="C291" t="s">
        <v>3540</v>
      </c>
      <c r="D291" t="s">
        <v>3593</v>
      </c>
      <c r="E291" t="s">
        <v>3340</v>
      </c>
      <c r="F291" t="s">
        <v>5074</v>
      </c>
      <c r="G291" t="s">
        <v>5935</v>
      </c>
      <c r="H291" t="s">
        <v>3258</v>
      </c>
      <c r="I291" t="s">
        <v>5926</v>
      </c>
      <c r="J291" t="s">
        <v>6016</v>
      </c>
    </row>
    <row r="292" spans="3:10" x14ac:dyDescent="0.25">
      <c r="C292" t="s">
        <v>3541</v>
      </c>
      <c r="D292" t="s">
        <v>3594</v>
      </c>
      <c r="E292" t="s">
        <v>3341</v>
      </c>
      <c r="F292" t="s">
        <v>5075</v>
      </c>
      <c r="G292" t="s">
        <v>4870</v>
      </c>
      <c r="H292" t="s">
        <v>3259</v>
      </c>
      <c r="I292" t="s">
        <v>5928</v>
      </c>
      <c r="J292" t="s">
        <v>6017</v>
      </c>
    </row>
    <row r="293" spans="3:10" x14ac:dyDescent="0.25">
      <c r="C293" t="s">
        <v>3542</v>
      </c>
      <c r="D293" t="s">
        <v>4927</v>
      </c>
      <c r="E293" t="s">
        <v>3342</v>
      </c>
      <c r="F293" t="s">
        <v>5076</v>
      </c>
      <c r="G293" t="s">
        <v>4871</v>
      </c>
      <c r="H293" t="s">
        <v>3261</v>
      </c>
      <c r="I293" t="s">
        <v>5929</v>
      </c>
      <c r="J293" t="s">
        <v>6018</v>
      </c>
    </row>
    <row r="294" spans="3:10" x14ac:dyDescent="0.25">
      <c r="C294" t="s">
        <v>3543</v>
      </c>
      <c r="D294" t="s">
        <v>4928</v>
      </c>
      <c r="E294" t="s">
        <v>3343</v>
      </c>
      <c r="F294" t="s">
        <v>4306</v>
      </c>
      <c r="G294" t="s">
        <v>4872</v>
      </c>
      <c r="H294" t="s">
        <v>3262</v>
      </c>
      <c r="I294" t="s">
        <v>5930</v>
      </c>
      <c r="J294" t="s">
        <v>6019</v>
      </c>
    </row>
    <row r="295" spans="3:10" x14ac:dyDescent="0.25">
      <c r="C295" t="s">
        <v>3544</v>
      </c>
      <c r="D295" t="s">
        <v>4929</v>
      </c>
      <c r="E295" t="s">
        <v>3344</v>
      </c>
      <c r="F295" t="s">
        <v>4307</v>
      </c>
      <c r="G295" t="s">
        <v>4873</v>
      </c>
      <c r="H295" t="s">
        <v>3263</v>
      </c>
      <c r="I295" t="s">
        <v>5931</v>
      </c>
      <c r="J295" t="s">
        <v>5238</v>
      </c>
    </row>
    <row r="296" spans="3:10" x14ac:dyDescent="0.25">
      <c r="C296" t="s">
        <v>3545</v>
      </c>
      <c r="D296" t="s">
        <v>4930</v>
      </c>
      <c r="E296" t="s">
        <v>3345</v>
      </c>
      <c r="F296" t="s">
        <v>4308</v>
      </c>
      <c r="G296" t="s">
        <v>3312</v>
      </c>
      <c r="H296" t="s">
        <v>3264</v>
      </c>
      <c r="J296" t="s">
        <v>4007</v>
      </c>
    </row>
    <row r="297" spans="3:10" x14ac:dyDescent="0.25">
      <c r="C297" t="s">
        <v>3546</v>
      </c>
      <c r="D297" t="s">
        <v>4931</v>
      </c>
      <c r="E297" t="s">
        <v>3346</v>
      </c>
      <c r="F297" t="s">
        <v>5461</v>
      </c>
      <c r="G297" t="s">
        <v>3313</v>
      </c>
      <c r="H297" t="s">
        <v>3265</v>
      </c>
      <c r="J297" t="s">
        <v>5239</v>
      </c>
    </row>
    <row r="298" spans="3:10" x14ac:dyDescent="0.25">
      <c r="C298" t="s">
        <v>3547</v>
      </c>
      <c r="D298" t="s">
        <v>3595</v>
      </c>
      <c r="E298" t="s">
        <v>3347</v>
      </c>
      <c r="F298" t="s">
        <v>5462</v>
      </c>
      <c r="G298" t="s">
        <v>5399</v>
      </c>
      <c r="H298" t="s">
        <v>3266</v>
      </c>
      <c r="J298" t="s">
        <v>5240</v>
      </c>
    </row>
    <row r="299" spans="3:10" x14ac:dyDescent="0.25">
      <c r="C299" t="s">
        <v>3548</v>
      </c>
      <c r="D299" t="s">
        <v>3596</v>
      </c>
      <c r="E299" t="s">
        <v>3348</v>
      </c>
      <c r="F299" t="s">
        <v>5463</v>
      </c>
      <c r="G299" t="s">
        <v>5400</v>
      </c>
      <c r="H299" t="s">
        <v>3267</v>
      </c>
      <c r="J299" t="s">
        <v>4008</v>
      </c>
    </row>
    <row r="300" spans="3:10" x14ac:dyDescent="0.25">
      <c r="C300" t="s">
        <v>3549</v>
      </c>
      <c r="D300" t="s">
        <v>4932</v>
      </c>
      <c r="E300" t="s">
        <v>3349</v>
      </c>
      <c r="F300" t="s">
        <v>5464</v>
      </c>
      <c r="G300" t="s">
        <v>5401</v>
      </c>
      <c r="H300" t="s">
        <v>5933</v>
      </c>
      <c r="J300" t="s">
        <v>5241</v>
      </c>
    </row>
    <row r="301" spans="3:10" x14ac:dyDescent="0.25">
      <c r="C301" t="s">
        <v>3550</v>
      </c>
      <c r="D301" t="s">
        <v>4263</v>
      </c>
      <c r="E301" t="s">
        <v>3350</v>
      </c>
      <c r="F301" t="s">
        <v>4309</v>
      </c>
      <c r="G301" t="s">
        <v>5402</v>
      </c>
      <c r="H301" t="s">
        <v>3269</v>
      </c>
      <c r="J301" t="s">
        <v>5242</v>
      </c>
    </row>
    <row r="302" spans="3:10" x14ac:dyDescent="0.25">
      <c r="C302" t="s">
        <v>3551</v>
      </c>
      <c r="D302" t="s">
        <v>4933</v>
      </c>
      <c r="E302" t="s">
        <v>3351</v>
      </c>
      <c r="F302" t="s">
        <v>4310</v>
      </c>
      <c r="G302" t="s">
        <v>5403</v>
      </c>
      <c r="H302" t="s">
        <v>3270</v>
      </c>
      <c r="J302" t="s">
        <v>5243</v>
      </c>
    </row>
    <row r="303" spans="3:10" x14ac:dyDescent="0.25">
      <c r="C303" t="s">
        <v>3552</v>
      </c>
      <c r="D303" t="s">
        <v>4934</v>
      </c>
      <c r="E303" t="s">
        <v>3352</v>
      </c>
      <c r="F303" t="s">
        <v>5082</v>
      </c>
      <c r="G303" t="s">
        <v>3316</v>
      </c>
      <c r="H303" t="s">
        <v>3271</v>
      </c>
      <c r="J303" t="s">
        <v>5244</v>
      </c>
    </row>
    <row r="304" spans="3:10" x14ac:dyDescent="0.25">
      <c r="C304" t="s">
        <v>3553</v>
      </c>
      <c r="D304" t="s">
        <v>4935</v>
      </c>
      <c r="E304" t="s">
        <v>3353</v>
      </c>
      <c r="F304" t="s">
        <v>4312</v>
      </c>
      <c r="G304" t="s">
        <v>3317</v>
      </c>
      <c r="H304" t="s">
        <v>3272</v>
      </c>
      <c r="J304" t="s">
        <v>5245</v>
      </c>
    </row>
    <row r="305" spans="3:10" x14ac:dyDescent="0.25">
      <c r="C305" t="s">
        <v>3554</v>
      </c>
      <c r="D305" t="s">
        <v>4936</v>
      </c>
      <c r="E305" t="s">
        <v>3354</v>
      </c>
      <c r="F305" t="s">
        <v>5083</v>
      </c>
      <c r="G305" t="s">
        <v>4874</v>
      </c>
      <c r="H305" t="s">
        <v>3273</v>
      </c>
      <c r="J305" t="s">
        <v>4124</v>
      </c>
    </row>
    <row r="306" spans="3:10" x14ac:dyDescent="0.25">
      <c r="C306" t="s">
        <v>3555</v>
      </c>
      <c r="D306" t="s">
        <v>3598</v>
      </c>
      <c r="E306" t="s">
        <v>3355</v>
      </c>
      <c r="F306" t="s">
        <v>4313</v>
      </c>
      <c r="G306" t="s">
        <v>4875</v>
      </c>
      <c r="H306" t="s">
        <v>3274</v>
      </c>
      <c r="J306" t="s">
        <v>5246</v>
      </c>
    </row>
    <row r="307" spans="3:10" x14ac:dyDescent="0.25">
      <c r="C307" t="s">
        <v>3556</v>
      </c>
      <c r="D307" t="s">
        <v>3599</v>
      </c>
      <c r="E307" t="s">
        <v>3356</v>
      </c>
      <c r="F307" t="s">
        <v>5465</v>
      </c>
      <c r="G307" t="s">
        <v>4876</v>
      </c>
      <c r="H307" t="s">
        <v>4860</v>
      </c>
      <c r="J307" t="s">
        <v>4126</v>
      </c>
    </row>
    <row r="308" spans="3:10" x14ac:dyDescent="0.25">
      <c r="C308" t="s">
        <v>3557</v>
      </c>
      <c r="D308" t="s">
        <v>4937</v>
      </c>
      <c r="E308" t="s">
        <v>3357</v>
      </c>
      <c r="F308" t="s">
        <v>5466</v>
      </c>
      <c r="G308" t="s">
        <v>4877</v>
      </c>
      <c r="H308" t="s">
        <v>3276</v>
      </c>
      <c r="J308" t="s">
        <v>4127</v>
      </c>
    </row>
    <row r="309" spans="3:10" x14ac:dyDescent="0.25">
      <c r="C309" t="s">
        <v>3558</v>
      </c>
      <c r="D309" t="s">
        <v>3601</v>
      </c>
      <c r="E309" t="s">
        <v>3358</v>
      </c>
      <c r="F309" t="s">
        <v>5467</v>
      </c>
      <c r="G309" t="s">
        <v>4878</v>
      </c>
      <c r="H309" t="s">
        <v>3277</v>
      </c>
      <c r="J309" t="s">
        <v>5247</v>
      </c>
    </row>
    <row r="310" spans="3:10" x14ac:dyDescent="0.25">
      <c r="C310" t="s">
        <v>3559</v>
      </c>
      <c r="D310" t="s">
        <v>3602</v>
      </c>
      <c r="E310" t="s">
        <v>5405</v>
      </c>
      <c r="F310" t="s">
        <v>5468</v>
      </c>
      <c r="G310" t="s">
        <v>3320</v>
      </c>
      <c r="H310" t="s">
        <v>3278</v>
      </c>
      <c r="J310" t="s">
        <v>5248</v>
      </c>
    </row>
    <row r="311" spans="3:10" x14ac:dyDescent="0.25">
      <c r="C311" t="s">
        <v>3560</v>
      </c>
      <c r="D311" t="s">
        <v>4938</v>
      </c>
      <c r="E311" t="s">
        <v>3359</v>
      </c>
      <c r="F311" t="s">
        <v>5084</v>
      </c>
      <c r="G311" t="s">
        <v>3321</v>
      </c>
      <c r="H311" t="s">
        <v>3279</v>
      </c>
      <c r="J311" t="s">
        <v>5249</v>
      </c>
    </row>
    <row r="312" spans="3:10" x14ac:dyDescent="0.25">
      <c r="C312" t="s">
        <v>3561</v>
      </c>
      <c r="D312" t="s">
        <v>4939</v>
      </c>
      <c r="E312" t="s">
        <v>3360</v>
      </c>
      <c r="F312" t="s">
        <v>4314</v>
      </c>
      <c r="G312" t="s">
        <v>3322</v>
      </c>
      <c r="H312" t="s">
        <v>3280</v>
      </c>
      <c r="J312" t="s">
        <v>5250</v>
      </c>
    </row>
    <row r="313" spans="3:10" x14ac:dyDescent="0.25">
      <c r="C313" t="s">
        <v>3562</v>
      </c>
      <c r="D313" t="s">
        <v>4940</v>
      </c>
      <c r="E313" t="s">
        <v>3361</v>
      </c>
      <c r="F313" t="s">
        <v>5085</v>
      </c>
      <c r="G313" t="s">
        <v>4254</v>
      </c>
      <c r="H313" t="s">
        <v>3281</v>
      </c>
      <c r="J313" t="s">
        <v>5251</v>
      </c>
    </row>
    <row r="314" spans="3:10" x14ac:dyDescent="0.25">
      <c r="C314" t="s">
        <v>3563</v>
      </c>
      <c r="D314" t="s">
        <v>4941</v>
      </c>
      <c r="E314" t="s">
        <v>3362</v>
      </c>
      <c r="F314" t="s">
        <v>5091</v>
      </c>
      <c r="G314" t="s">
        <v>5936</v>
      </c>
      <c r="H314" t="s">
        <v>3288</v>
      </c>
      <c r="J314" t="s">
        <v>4009</v>
      </c>
    </row>
    <row r="315" spans="3:10" x14ac:dyDescent="0.25">
      <c r="C315" t="s">
        <v>3564</v>
      </c>
      <c r="D315" t="s">
        <v>4942</v>
      </c>
      <c r="E315" t="s">
        <v>3363</v>
      </c>
      <c r="F315" t="s">
        <v>4315</v>
      </c>
      <c r="G315" t="s">
        <v>4879</v>
      </c>
      <c r="H315" t="s">
        <v>3289</v>
      </c>
      <c r="J315" t="s">
        <v>4129</v>
      </c>
    </row>
    <row r="316" spans="3:10" x14ac:dyDescent="0.25">
      <c r="C316" t="s">
        <v>3565</v>
      </c>
      <c r="D316" t="s">
        <v>3603</v>
      </c>
      <c r="F316" t="s">
        <v>5092</v>
      </c>
      <c r="G316" t="s">
        <v>4880</v>
      </c>
      <c r="H316" t="s">
        <v>3290</v>
      </c>
      <c r="J316" t="s">
        <v>4130</v>
      </c>
    </row>
    <row r="317" spans="3:10" x14ac:dyDescent="0.25">
      <c r="C317" t="s">
        <v>3566</v>
      </c>
      <c r="D317" t="s">
        <v>3604</v>
      </c>
      <c r="F317" t="s">
        <v>5093</v>
      </c>
      <c r="G317" t="s">
        <v>4881</v>
      </c>
      <c r="H317" t="s">
        <v>4863</v>
      </c>
      <c r="J317" t="s">
        <v>6021</v>
      </c>
    </row>
    <row r="318" spans="3:10" x14ac:dyDescent="0.25">
      <c r="C318" t="s">
        <v>3567</v>
      </c>
      <c r="D318" t="s">
        <v>3605</v>
      </c>
      <c r="F318" t="s">
        <v>5095</v>
      </c>
      <c r="G318" t="s">
        <v>4882</v>
      </c>
      <c r="H318" t="s">
        <v>3291</v>
      </c>
      <c r="J318" t="s">
        <v>6022</v>
      </c>
    </row>
    <row r="319" spans="3:10" x14ac:dyDescent="0.25">
      <c r="C319" t="s">
        <v>3568</v>
      </c>
      <c r="D319" t="s">
        <v>4264</v>
      </c>
      <c r="F319" t="s">
        <v>5096</v>
      </c>
      <c r="G319" t="s">
        <v>3324</v>
      </c>
      <c r="H319" t="s">
        <v>3292</v>
      </c>
      <c r="J319" t="s">
        <v>6023</v>
      </c>
    </row>
    <row r="320" spans="3:10" x14ac:dyDescent="0.25">
      <c r="C320" t="s">
        <v>3569</v>
      </c>
      <c r="D320" t="s">
        <v>4943</v>
      </c>
      <c r="F320" t="s">
        <v>5097</v>
      </c>
      <c r="G320" t="s">
        <v>3325</v>
      </c>
      <c r="H320" t="s">
        <v>3293</v>
      </c>
      <c r="J320" t="s">
        <v>6024</v>
      </c>
    </row>
    <row r="321" spans="3:10" x14ac:dyDescent="0.25">
      <c r="C321" t="s">
        <v>3570</v>
      </c>
      <c r="D321" t="s">
        <v>4944</v>
      </c>
      <c r="F321" t="s">
        <v>5098</v>
      </c>
      <c r="G321" t="s">
        <v>5404</v>
      </c>
      <c r="H321" t="s">
        <v>3294</v>
      </c>
      <c r="J321" t="s">
        <v>5252</v>
      </c>
    </row>
    <row r="322" spans="3:10" x14ac:dyDescent="0.25">
      <c r="C322" t="s">
        <v>3571</v>
      </c>
      <c r="D322" t="s">
        <v>4945</v>
      </c>
      <c r="F322" t="s">
        <v>5099</v>
      </c>
      <c r="G322" t="s">
        <v>3326</v>
      </c>
      <c r="H322" t="s">
        <v>3295</v>
      </c>
      <c r="J322" t="s">
        <v>4131</v>
      </c>
    </row>
    <row r="323" spans="3:10" x14ac:dyDescent="0.25">
      <c r="C323" t="s">
        <v>3572</v>
      </c>
      <c r="D323" t="s">
        <v>4946</v>
      </c>
      <c r="F323" t="s">
        <v>4316</v>
      </c>
      <c r="G323" t="s">
        <v>3327</v>
      </c>
      <c r="H323" t="s">
        <v>3296</v>
      </c>
      <c r="J323" t="s">
        <v>5253</v>
      </c>
    </row>
    <row r="324" spans="3:10" x14ac:dyDescent="0.25">
      <c r="C324" t="s">
        <v>3573</v>
      </c>
      <c r="D324" t="s">
        <v>3607</v>
      </c>
      <c r="F324" t="s">
        <v>5469</v>
      </c>
      <c r="G324" t="s">
        <v>3334</v>
      </c>
      <c r="H324" t="s">
        <v>3297</v>
      </c>
      <c r="J324" t="s">
        <v>6206</v>
      </c>
    </row>
    <row r="325" spans="3:10" x14ac:dyDescent="0.25">
      <c r="C325" t="s">
        <v>3574</v>
      </c>
      <c r="D325" t="s">
        <v>3608</v>
      </c>
      <c r="F325" t="s">
        <v>5102</v>
      </c>
      <c r="G325" t="s">
        <v>3335</v>
      </c>
      <c r="H325" t="s">
        <v>3298</v>
      </c>
      <c r="J325" t="s">
        <v>5254</v>
      </c>
    </row>
    <row r="326" spans="3:10" x14ac:dyDescent="0.25">
      <c r="C326" t="s">
        <v>3575</v>
      </c>
      <c r="D326" t="s">
        <v>3609</v>
      </c>
      <c r="F326" t="s">
        <v>4317</v>
      </c>
      <c r="G326" t="s">
        <v>3336</v>
      </c>
      <c r="H326" t="s">
        <v>4864</v>
      </c>
      <c r="J326" t="s">
        <v>5255</v>
      </c>
    </row>
    <row r="327" spans="3:10" x14ac:dyDescent="0.25">
      <c r="C327" t="s">
        <v>3576</v>
      </c>
      <c r="D327" t="s">
        <v>3615</v>
      </c>
      <c r="F327" t="s">
        <v>5104</v>
      </c>
      <c r="G327" t="s">
        <v>4888</v>
      </c>
      <c r="H327" t="s">
        <v>4865</v>
      </c>
      <c r="J327" t="s">
        <v>5256</v>
      </c>
    </row>
    <row r="328" spans="3:10" x14ac:dyDescent="0.25">
      <c r="C328" t="s">
        <v>3577</v>
      </c>
      <c r="D328" t="s">
        <v>3616</v>
      </c>
      <c r="F328" t="s">
        <v>5106</v>
      </c>
      <c r="G328" t="s">
        <v>4889</v>
      </c>
      <c r="H328" t="s">
        <v>4866</v>
      </c>
      <c r="J328" t="s">
        <v>5257</v>
      </c>
    </row>
    <row r="329" spans="3:10" x14ac:dyDescent="0.25">
      <c r="C329" t="s">
        <v>3578</v>
      </c>
      <c r="D329" t="s">
        <v>3618</v>
      </c>
      <c r="F329" t="s">
        <v>5107</v>
      </c>
      <c r="G329" t="s">
        <v>4890</v>
      </c>
      <c r="H329" t="s">
        <v>4867</v>
      </c>
      <c r="J329" t="s">
        <v>5258</v>
      </c>
    </row>
    <row r="330" spans="3:10" x14ac:dyDescent="0.25">
      <c r="C330" t="s">
        <v>3579</v>
      </c>
      <c r="D330" t="s">
        <v>3619</v>
      </c>
      <c r="F330" t="s">
        <v>5108</v>
      </c>
      <c r="G330" t="s">
        <v>4891</v>
      </c>
      <c r="H330" t="s">
        <v>4868</v>
      </c>
      <c r="J330" t="s">
        <v>3666</v>
      </c>
    </row>
    <row r="331" spans="3:10" x14ac:dyDescent="0.25">
      <c r="C331" t="s">
        <v>3580</v>
      </c>
      <c r="D331" t="s">
        <v>3620</v>
      </c>
      <c r="F331" t="s">
        <v>5109</v>
      </c>
      <c r="G331" t="s">
        <v>3338</v>
      </c>
      <c r="H331" t="s">
        <v>3300</v>
      </c>
      <c r="J331" t="s">
        <v>6026</v>
      </c>
    </row>
    <row r="332" spans="3:10" x14ac:dyDescent="0.25">
      <c r="C332" t="s">
        <v>3581</v>
      </c>
      <c r="D332" t="s">
        <v>3622</v>
      </c>
      <c r="F332" t="s">
        <v>5110</v>
      </c>
      <c r="G332" t="s">
        <v>3339</v>
      </c>
      <c r="H332" t="s">
        <v>3301</v>
      </c>
      <c r="J332" t="s">
        <v>6207</v>
      </c>
    </row>
    <row r="333" spans="3:10" x14ac:dyDescent="0.25">
      <c r="C333" t="s">
        <v>3582</v>
      </c>
      <c r="D333" t="s">
        <v>3623</v>
      </c>
      <c r="F333" t="s">
        <v>4318</v>
      </c>
      <c r="G333" t="s">
        <v>3340</v>
      </c>
      <c r="H333" t="s">
        <v>3302</v>
      </c>
      <c r="J333" t="s">
        <v>5259</v>
      </c>
    </row>
    <row r="334" spans="3:10" x14ac:dyDescent="0.25">
      <c r="C334" t="s">
        <v>3583</v>
      </c>
      <c r="D334" t="s">
        <v>4947</v>
      </c>
      <c r="F334" t="s">
        <v>5470</v>
      </c>
      <c r="G334" t="s">
        <v>3341</v>
      </c>
      <c r="H334" t="s">
        <v>4869</v>
      </c>
      <c r="J334" t="s">
        <v>4135</v>
      </c>
    </row>
    <row r="335" spans="3:10" x14ac:dyDescent="0.25">
      <c r="C335" t="s">
        <v>3584</v>
      </c>
      <c r="D335" t="s">
        <v>4948</v>
      </c>
      <c r="F335" t="s">
        <v>5116</v>
      </c>
      <c r="G335" t="s">
        <v>3343</v>
      </c>
      <c r="H335" t="s">
        <v>3304</v>
      </c>
      <c r="J335" t="s">
        <v>5260</v>
      </c>
    </row>
    <row r="336" spans="3:10" x14ac:dyDescent="0.25">
      <c r="C336" t="s">
        <v>3585</v>
      </c>
      <c r="D336" t="s">
        <v>4949</v>
      </c>
      <c r="F336" t="s">
        <v>4320</v>
      </c>
      <c r="G336" t="s">
        <v>3344</v>
      </c>
      <c r="H336" t="s">
        <v>3305</v>
      </c>
      <c r="J336" t="s">
        <v>4137</v>
      </c>
    </row>
    <row r="337" spans="3:10" x14ac:dyDescent="0.25">
      <c r="C337" t="s">
        <v>3586</v>
      </c>
      <c r="D337" t="s">
        <v>4950</v>
      </c>
      <c r="F337" t="s">
        <v>5122</v>
      </c>
      <c r="G337" t="s">
        <v>3345</v>
      </c>
      <c r="H337" t="s">
        <v>3306</v>
      </c>
      <c r="J337" t="s">
        <v>6027</v>
      </c>
    </row>
    <row r="338" spans="3:10" x14ac:dyDescent="0.25">
      <c r="C338" t="s">
        <v>3587</v>
      </c>
      <c r="D338" t="s">
        <v>4951</v>
      </c>
      <c r="F338" t="s">
        <v>4322</v>
      </c>
      <c r="G338" t="s">
        <v>3346</v>
      </c>
      <c r="H338" t="s">
        <v>3307</v>
      </c>
      <c r="J338" t="s">
        <v>5261</v>
      </c>
    </row>
    <row r="339" spans="3:10" x14ac:dyDescent="0.25">
      <c r="C339" t="s">
        <v>3588</v>
      </c>
      <c r="D339" t="s">
        <v>3624</v>
      </c>
      <c r="F339" t="s">
        <v>5124</v>
      </c>
      <c r="G339" t="s">
        <v>3347</v>
      </c>
      <c r="H339" t="s">
        <v>3308</v>
      </c>
      <c r="J339" t="s">
        <v>6208</v>
      </c>
    </row>
    <row r="340" spans="3:10" x14ac:dyDescent="0.25">
      <c r="C340" t="s">
        <v>3589</v>
      </c>
      <c r="D340" t="s">
        <v>3625</v>
      </c>
      <c r="F340" t="s">
        <v>5125</v>
      </c>
      <c r="G340" t="s">
        <v>3348</v>
      </c>
      <c r="H340" t="s">
        <v>3309</v>
      </c>
      <c r="J340" t="s">
        <v>5262</v>
      </c>
    </row>
    <row r="341" spans="3:10" x14ac:dyDescent="0.25">
      <c r="C341" t="s">
        <v>3590</v>
      </c>
      <c r="D341" t="s">
        <v>4952</v>
      </c>
      <c r="F341" t="s">
        <v>5126</v>
      </c>
      <c r="G341" t="s">
        <v>3350</v>
      </c>
      <c r="H341" t="s">
        <v>3310</v>
      </c>
      <c r="J341" t="s">
        <v>5263</v>
      </c>
    </row>
    <row r="342" spans="3:10" x14ac:dyDescent="0.25">
      <c r="C342" t="s">
        <v>3591</v>
      </c>
      <c r="D342" t="s">
        <v>3626</v>
      </c>
      <c r="F342" t="s">
        <v>5127</v>
      </c>
      <c r="G342" t="s">
        <v>3352</v>
      </c>
      <c r="H342" t="s">
        <v>5935</v>
      </c>
      <c r="J342" t="s">
        <v>5264</v>
      </c>
    </row>
    <row r="343" spans="3:10" x14ac:dyDescent="0.25">
      <c r="C343" t="s">
        <v>3592</v>
      </c>
      <c r="D343" t="s">
        <v>3627</v>
      </c>
      <c r="F343" t="s">
        <v>5128</v>
      </c>
      <c r="G343" t="s">
        <v>3353</v>
      </c>
      <c r="H343" t="s">
        <v>4870</v>
      </c>
      <c r="J343" t="s">
        <v>5265</v>
      </c>
    </row>
    <row r="344" spans="3:10" x14ac:dyDescent="0.25">
      <c r="C344" t="s">
        <v>3593</v>
      </c>
      <c r="D344" t="s">
        <v>3628</v>
      </c>
      <c r="F344" t="s">
        <v>5129</v>
      </c>
      <c r="G344" t="s">
        <v>3354</v>
      </c>
      <c r="H344" t="s">
        <v>4871</v>
      </c>
      <c r="J344" t="s">
        <v>5266</v>
      </c>
    </row>
    <row r="345" spans="3:10" x14ac:dyDescent="0.25">
      <c r="C345" t="s">
        <v>3594</v>
      </c>
      <c r="D345" t="s">
        <v>3629</v>
      </c>
      <c r="F345" t="s">
        <v>4323</v>
      </c>
      <c r="G345" t="s">
        <v>3355</v>
      </c>
      <c r="H345" t="s">
        <v>4872</v>
      </c>
      <c r="J345" t="s">
        <v>4141</v>
      </c>
    </row>
    <row r="346" spans="3:10" x14ac:dyDescent="0.25">
      <c r="C346" t="s">
        <v>3595</v>
      </c>
      <c r="D346" t="s">
        <v>3630</v>
      </c>
      <c r="F346" t="s">
        <v>5471</v>
      </c>
      <c r="G346" t="s">
        <v>3356</v>
      </c>
      <c r="H346" t="s">
        <v>4873</v>
      </c>
      <c r="J346" t="s">
        <v>5874</v>
      </c>
    </row>
    <row r="347" spans="3:10" x14ac:dyDescent="0.25">
      <c r="C347" t="s">
        <v>3596</v>
      </c>
      <c r="D347" t="s">
        <v>3631</v>
      </c>
      <c r="F347" t="s">
        <v>5472</v>
      </c>
      <c r="G347" t="s">
        <v>3357</v>
      </c>
      <c r="H347" t="s">
        <v>3312</v>
      </c>
      <c r="J347" t="s">
        <v>4144</v>
      </c>
    </row>
    <row r="348" spans="3:10" x14ac:dyDescent="0.25">
      <c r="C348" t="s">
        <v>3597</v>
      </c>
      <c r="D348" t="s">
        <v>3632</v>
      </c>
      <c r="F348" t="s">
        <v>5473</v>
      </c>
      <c r="G348" t="s">
        <v>3358</v>
      </c>
      <c r="H348" t="s">
        <v>3313</v>
      </c>
      <c r="J348" t="s">
        <v>5875</v>
      </c>
    </row>
    <row r="349" spans="3:10" x14ac:dyDescent="0.25">
      <c r="C349" t="s">
        <v>3598</v>
      </c>
      <c r="D349" t="s">
        <v>3633</v>
      </c>
      <c r="F349" t="s">
        <v>5474</v>
      </c>
      <c r="G349" t="s">
        <v>5405</v>
      </c>
      <c r="H349" t="s">
        <v>3314</v>
      </c>
      <c r="J349" t="s">
        <v>5876</v>
      </c>
    </row>
    <row r="350" spans="3:10" x14ac:dyDescent="0.25">
      <c r="C350" t="s">
        <v>3599</v>
      </c>
      <c r="D350" t="s">
        <v>3634</v>
      </c>
      <c r="F350" t="s">
        <v>5475</v>
      </c>
      <c r="G350" t="s">
        <v>3360</v>
      </c>
      <c r="H350" t="s">
        <v>5399</v>
      </c>
      <c r="J350" t="s">
        <v>5877</v>
      </c>
    </row>
    <row r="351" spans="3:10" x14ac:dyDescent="0.25">
      <c r="C351" t="s">
        <v>3600</v>
      </c>
      <c r="D351" t="s">
        <v>3635</v>
      </c>
      <c r="F351" t="s">
        <v>5131</v>
      </c>
      <c r="G351" t="s">
        <v>3361</v>
      </c>
      <c r="H351" t="s">
        <v>3315</v>
      </c>
      <c r="J351" t="s">
        <v>5878</v>
      </c>
    </row>
    <row r="352" spans="3:10" x14ac:dyDescent="0.25">
      <c r="C352" t="s">
        <v>3601</v>
      </c>
      <c r="D352" t="s">
        <v>3636</v>
      </c>
      <c r="F352" t="s">
        <v>4324</v>
      </c>
      <c r="G352" t="s">
        <v>3362</v>
      </c>
      <c r="H352" t="s">
        <v>5400</v>
      </c>
      <c r="J352" t="s">
        <v>5267</v>
      </c>
    </row>
    <row r="353" spans="3:10" x14ac:dyDescent="0.25">
      <c r="C353" t="s">
        <v>3602</v>
      </c>
      <c r="D353" t="s">
        <v>3637</v>
      </c>
      <c r="F353" t="s">
        <v>5133</v>
      </c>
      <c r="G353" t="s">
        <v>3363</v>
      </c>
      <c r="H353" t="s">
        <v>5401</v>
      </c>
      <c r="J353" t="s">
        <v>4145</v>
      </c>
    </row>
    <row r="354" spans="3:10" x14ac:dyDescent="0.25">
      <c r="C354" t="s">
        <v>3603</v>
      </c>
      <c r="D354" t="s">
        <v>3638</v>
      </c>
      <c r="F354" t="s">
        <v>4325</v>
      </c>
      <c r="G354" t="s">
        <v>3364</v>
      </c>
      <c r="H354" t="s">
        <v>5402</v>
      </c>
      <c r="J354" t="s">
        <v>5879</v>
      </c>
    </row>
    <row r="355" spans="3:10" x14ac:dyDescent="0.25">
      <c r="C355" t="s">
        <v>3604</v>
      </c>
      <c r="D355" t="s">
        <v>3639</v>
      </c>
      <c r="F355" t="s">
        <v>5476</v>
      </c>
      <c r="G355" t="s">
        <v>3365</v>
      </c>
      <c r="H355" t="s">
        <v>5403</v>
      </c>
      <c r="J355" t="s">
        <v>4148</v>
      </c>
    </row>
    <row r="356" spans="3:10" x14ac:dyDescent="0.25">
      <c r="C356" t="s">
        <v>3605</v>
      </c>
      <c r="D356" t="s">
        <v>3640</v>
      </c>
      <c r="F356" t="s">
        <v>5138</v>
      </c>
      <c r="G356" t="s">
        <v>3366</v>
      </c>
      <c r="J356" t="s">
        <v>5268</v>
      </c>
    </row>
    <row r="357" spans="3:10" x14ac:dyDescent="0.25">
      <c r="C357" t="s">
        <v>3606</v>
      </c>
      <c r="D357" t="s">
        <v>3641</v>
      </c>
      <c r="F357" t="s">
        <v>4327</v>
      </c>
      <c r="G357" t="s">
        <v>3372</v>
      </c>
      <c r="J357" t="s">
        <v>5269</v>
      </c>
    </row>
    <row r="358" spans="3:10" x14ac:dyDescent="0.25">
      <c r="C358" t="s">
        <v>3607</v>
      </c>
      <c r="D358" t="s">
        <v>3647</v>
      </c>
      <c r="F358" t="s">
        <v>5477</v>
      </c>
      <c r="G358" t="s">
        <v>3373</v>
      </c>
      <c r="J358" t="s">
        <v>5270</v>
      </c>
    </row>
    <row r="359" spans="3:10" x14ac:dyDescent="0.25">
      <c r="C359" t="s">
        <v>3608</v>
      </c>
      <c r="D359" t="s">
        <v>3648</v>
      </c>
      <c r="F359" t="s">
        <v>5478</v>
      </c>
      <c r="G359" t="s">
        <v>3374</v>
      </c>
      <c r="J359" t="s">
        <v>5271</v>
      </c>
    </row>
    <row r="360" spans="3:10" x14ac:dyDescent="0.25">
      <c r="C360" t="s">
        <v>3609</v>
      </c>
      <c r="D360" t="s">
        <v>4953</v>
      </c>
      <c r="F360" t="s">
        <v>5479</v>
      </c>
      <c r="G360" t="s">
        <v>3381</v>
      </c>
      <c r="J360" t="s">
        <v>5272</v>
      </c>
    </row>
    <row r="361" spans="3:10" x14ac:dyDescent="0.25">
      <c r="C361" t="s">
        <v>3610</v>
      </c>
      <c r="D361" t="s">
        <v>4269</v>
      </c>
      <c r="F361" t="s">
        <v>5480</v>
      </c>
      <c r="G361" t="s">
        <v>3382</v>
      </c>
      <c r="J361" t="s">
        <v>4149</v>
      </c>
    </row>
    <row r="362" spans="3:10" x14ac:dyDescent="0.25">
      <c r="C362" t="s">
        <v>3611</v>
      </c>
      <c r="D362" t="s">
        <v>3649</v>
      </c>
      <c r="F362" t="s">
        <v>5481</v>
      </c>
      <c r="G362" t="s">
        <v>3383</v>
      </c>
      <c r="J362" t="s">
        <v>5273</v>
      </c>
    </row>
    <row r="363" spans="3:10" x14ac:dyDescent="0.25">
      <c r="C363" t="s">
        <v>3612</v>
      </c>
      <c r="D363" t="s">
        <v>3650</v>
      </c>
      <c r="F363" t="s">
        <v>5482</v>
      </c>
      <c r="G363" t="s">
        <v>5937</v>
      </c>
      <c r="J363" t="s">
        <v>5274</v>
      </c>
    </row>
    <row r="364" spans="3:10" x14ac:dyDescent="0.25">
      <c r="C364" t="s">
        <v>3613</v>
      </c>
      <c r="D364" t="s">
        <v>3651</v>
      </c>
      <c r="F364" t="s">
        <v>5139</v>
      </c>
      <c r="G364" t="s">
        <v>3386</v>
      </c>
      <c r="J364" t="s">
        <v>6087</v>
      </c>
    </row>
    <row r="365" spans="3:10" x14ac:dyDescent="0.25">
      <c r="C365" t="s">
        <v>3614</v>
      </c>
      <c r="D365" t="s">
        <v>3652</v>
      </c>
      <c r="F365" t="s">
        <v>4328</v>
      </c>
      <c r="G365" t="s">
        <v>3387</v>
      </c>
      <c r="J365" t="s">
        <v>5275</v>
      </c>
    </row>
    <row r="366" spans="3:10" x14ac:dyDescent="0.25">
      <c r="C366" t="s">
        <v>3615</v>
      </c>
      <c r="D366" t="s">
        <v>3657</v>
      </c>
      <c r="F366" t="s">
        <v>5146</v>
      </c>
      <c r="G366" t="s">
        <v>3388</v>
      </c>
      <c r="J366" t="s">
        <v>5276</v>
      </c>
    </row>
    <row r="367" spans="3:10" x14ac:dyDescent="0.25">
      <c r="C367" t="s">
        <v>3616</v>
      </c>
      <c r="D367" t="s">
        <v>3658</v>
      </c>
      <c r="F367" t="s">
        <v>4329</v>
      </c>
      <c r="G367" t="s">
        <v>3389</v>
      </c>
      <c r="J367" t="s">
        <v>5277</v>
      </c>
    </row>
    <row r="368" spans="3:10" x14ac:dyDescent="0.25">
      <c r="C368" t="s">
        <v>3617</v>
      </c>
      <c r="D368" t="s">
        <v>3659</v>
      </c>
      <c r="F368" t="s">
        <v>5148</v>
      </c>
      <c r="G368" t="s">
        <v>3390</v>
      </c>
      <c r="J368" t="s">
        <v>5278</v>
      </c>
    </row>
    <row r="369" spans="3:10" x14ac:dyDescent="0.25">
      <c r="C369" t="s">
        <v>3618</v>
      </c>
      <c r="D369" t="s">
        <v>3660</v>
      </c>
      <c r="F369" t="s">
        <v>5149</v>
      </c>
      <c r="G369" t="s">
        <v>3391</v>
      </c>
      <c r="J369" t="s">
        <v>5279</v>
      </c>
    </row>
    <row r="370" spans="3:10" x14ac:dyDescent="0.25">
      <c r="C370" t="s">
        <v>3619</v>
      </c>
      <c r="D370" t="s">
        <v>4954</v>
      </c>
      <c r="F370" t="s">
        <v>5150</v>
      </c>
      <c r="G370" t="s">
        <v>3392</v>
      </c>
      <c r="J370" t="s">
        <v>4152</v>
      </c>
    </row>
    <row r="371" spans="3:10" x14ac:dyDescent="0.25">
      <c r="C371" t="s">
        <v>3620</v>
      </c>
      <c r="D371" t="s">
        <v>4271</v>
      </c>
      <c r="F371" t="s">
        <v>5151</v>
      </c>
      <c r="G371" t="s">
        <v>4258</v>
      </c>
      <c r="J371" t="s">
        <v>5286</v>
      </c>
    </row>
    <row r="372" spans="3:10" x14ac:dyDescent="0.25">
      <c r="C372" t="s">
        <v>3621</v>
      </c>
      <c r="D372" t="s">
        <v>4955</v>
      </c>
      <c r="F372" t="s">
        <v>5152</v>
      </c>
      <c r="G372" t="s">
        <v>4896</v>
      </c>
      <c r="J372" t="s">
        <v>4155</v>
      </c>
    </row>
    <row r="373" spans="3:10" x14ac:dyDescent="0.25">
      <c r="C373" t="s">
        <v>3622</v>
      </c>
      <c r="D373" t="s">
        <v>4956</v>
      </c>
      <c r="F373" t="s">
        <v>5153</v>
      </c>
      <c r="G373" t="s">
        <v>4897</v>
      </c>
      <c r="J373" t="s">
        <v>5882</v>
      </c>
    </row>
    <row r="374" spans="3:10" x14ac:dyDescent="0.25">
      <c r="C374" t="s">
        <v>3623</v>
      </c>
      <c r="D374" t="s">
        <v>4273</v>
      </c>
      <c r="F374" t="s">
        <v>5156</v>
      </c>
      <c r="G374" t="s">
        <v>4898</v>
      </c>
      <c r="J374" t="s">
        <v>6209</v>
      </c>
    </row>
    <row r="375" spans="3:10" x14ac:dyDescent="0.25">
      <c r="C375" t="s">
        <v>3624</v>
      </c>
      <c r="D375" t="s">
        <v>4957</v>
      </c>
      <c r="F375" t="s">
        <v>5157</v>
      </c>
      <c r="G375" t="s">
        <v>4899</v>
      </c>
      <c r="J375" t="s">
        <v>6088</v>
      </c>
    </row>
    <row r="376" spans="3:10" x14ac:dyDescent="0.25">
      <c r="C376" t="s">
        <v>3625</v>
      </c>
      <c r="D376" t="s">
        <v>4958</v>
      </c>
      <c r="F376" t="s">
        <v>5158</v>
      </c>
      <c r="G376" t="s">
        <v>3395</v>
      </c>
      <c r="J376" t="s">
        <v>5883</v>
      </c>
    </row>
    <row r="377" spans="3:10" x14ac:dyDescent="0.25">
      <c r="C377" t="s">
        <v>3626</v>
      </c>
      <c r="D377" t="s">
        <v>4959</v>
      </c>
      <c r="F377" t="s">
        <v>5159</v>
      </c>
      <c r="G377" t="s">
        <v>3396</v>
      </c>
      <c r="J377" t="s">
        <v>5884</v>
      </c>
    </row>
    <row r="378" spans="3:10" x14ac:dyDescent="0.25">
      <c r="C378" t="s">
        <v>3627</v>
      </c>
      <c r="D378" t="s">
        <v>4960</v>
      </c>
      <c r="F378" t="s">
        <v>5160</v>
      </c>
      <c r="G378" t="s">
        <v>4900</v>
      </c>
      <c r="J378" t="s">
        <v>5885</v>
      </c>
    </row>
    <row r="379" spans="3:10" x14ac:dyDescent="0.25">
      <c r="C379" t="s">
        <v>3628</v>
      </c>
      <c r="D379" t="s">
        <v>4961</v>
      </c>
      <c r="F379" t="s">
        <v>5161</v>
      </c>
      <c r="G379" t="s">
        <v>4901</v>
      </c>
      <c r="J379" t="s">
        <v>5886</v>
      </c>
    </row>
    <row r="380" spans="3:10" x14ac:dyDescent="0.25">
      <c r="C380" t="s">
        <v>3629</v>
      </c>
      <c r="D380" t="s">
        <v>4962</v>
      </c>
      <c r="F380" t="s">
        <v>5162</v>
      </c>
      <c r="G380" t="s">
        <v>4902</v>
      </c>
      <c r="J380" t="s">
        <v>5287</v>
      </c>
    </row>
    <row r="381" spans="3:10" x14ac:dyDescent="0.25">
      <c r="C381" t="s">
        <v>3630</v>
      </c>
      <c r="D381" t="s">
        <v>3665</v>
      </c>
      <c r="F381" t="s">
        <v>5163</v>
      </c>
      <c r="G381" t="s">
        <v>4903</v>
      </c>
      <c r="J381" t="s">
        <v>4158</v>
      </c>
    </row>
    <row r="382" spans="3:10" x14ac:dyDescent="0.25">
      <c r="C382" t="s">
        <v>3631</v>
      </c>
      <c r="D382" t="s">
        <v>4963</v>
      </c>
      <c r="F382" t="s">
        <v>5483</v>
      </c>
      <c r="G382" t="s">
        <v>4904</v>
      </c>
      <c r="J382" t="s">
        <v>5887</v>
      </c>
    </row>
    <row r="383" spans="3:10" x14ac:dyDescent="0.25">
      <c r="C383" t="s">
        <v>3632</v>
      </c>
      <c r="D383" t="s">
        <v>4964</v>
      </c>
      <c r="F383" t="s">
        <v>5168</v>
      </c>
      <c r="G383" t="s">
        <v>3398</v>
      </c>
      <c r="J383" t="s">
        <v>4161</v>
      </c>
    </row>
    <row r="384" spans="3:10" x14ac:dyDescent="0.25">
      <c r="C384" t="s">
        <v>3633</v>
      </c>
      <c r="D384" t="s">
        <v>4965</v>
      </c>
      <c r="F384" t="s">
        <v>5169</v>
      </c>
      <c r="G384" t="s">
        <v>3399</v>
      </c>
      <c r="J384" t="s">
        <v>5888</v>
      </c>
    </row>
    <row r="385" spans="3:10" x14ac:dyDescent="0.25">
      <c r="C385" t="s">
        <v>3634</v>
      </c>
      <c r="D385" t="s">
        <v>4966</v>
      </c>
      <c r="F385" t="s">
        <v>5170</v>
      </c>
      <c r="G385" t="s">
        <v>3401</v>
      </c>
      <c r="J385" t="s">
        <v>5889</v>
      </c>
    </row>
    <row r="386" spans="3:10" x14ac:dyDescent="0.25">
      <c r="C386" t="s">
        <v>3635</v>
      </c>
      <c r="D386" t="s">
        <v>4967</v>
      </c>
      <c r="F386" t="s">
        <v>5171</v>
      </c>
      <c r="G386" t="s">
        <v>3403</v>
      </c>
      <c r="J386" t="s">
        <v>5890</v>
      </c>
    </row>
    <row r="387" spans="3:10" x14ac:dyDescent="0.25">
      <c r="C387" t="s">
        <v>3636</v>
      </c>
      <c r="D387" t="s">
        <v>4968</v>
      </c>
      <c r="F387" t="s">
        <v>5172</v>
      </c>
      <c r="G387" t="s">
        <v>3404</v>
      </c>
      <c r="J387" t="s">
        <v>5891</v>
      </c>
    </row>
    <row r="388" spans="3:10" x14ac:dyDescent="0.25">
      <c r="C388" t="s">
        <v>3637</v>
      </c>
      <c r="D388" t="s">
        <v>4274</v>
      </c>
      <c r="F388" t="s">
        <v>5173</v>
      </c>
      <c r="G388" t="s">
        <v>3405</v>
      </c>
      <c r="J388" t="s">
        <v>5288</v>
      </c>
    </row>
    <row r="389" spans="3:10" x14ac:dyDescent="0.25">
      <c r="C389" t="s">
        <v>3638</v>
      </c>
      <c r="D389" t="s">
        <v>4969</v>
      </c>
      <c r="F389" t="s">
        <v>5174</v>
      </c>
      <c r="G389" t="s">
        <v>3406</v>
      </c>
      <c r="J389" t="s">
        <v>4163</v>
      </c>
    </row>
    <row r="390" spans="3:10" x14ac:dyDescent="0.25">
      <c r="C390" t="s">
        <v>3639</v>
      </c>
      <c r="D390" t="s">
        <v>4275</v>
      </c>
      <c r="F390" t="s">
        <v>5175</v>
      </c>
      <c r="G390" t="s">
        <v>3407</v>
      </c>
      <c r="J390" t="s">
        <v>5892</v>
      </c>
    </row>
    <row r="391" spans="3:10" x14ac:dyDescent="0.25">
      <c r="C391" t="s">
        <v>3640</v>
      </c>
      <c r="D391" t="s">
        <v>4970</v>
      </c>
      <c r="F391" t="s">
        <v>5176</v>
      </c>
      <c r="G391" t="s">
        <v>3408</v>
      </c>
      <c r="J391" t="s">
        <v>4165</v>
      </c>
    </row>
    <row r="392" spans="3:10" x14ac:dyDescent="0.25">
      <c r="C392" t="s">
        <v>3641</v>
      </c>
      <c r="D392" t="s">
        <v>4971</v>
      </c>
      <c r="F392" t="s">
        <v>5177</v>
      </c>
      <c r="G392" t="s">
        <v>3411</v>
      </c>
      <c r="J392" t="s">
        <v>4166</v>
      </c>
    </row>
    <row r="393" spans="3:10" x14ac:dyDescent="0.25">
      <c r="C393" t="s">
        <v>3642</v>
      </c>
      <c r="D393" t="s">
        <v>4972</v>
      </c>
      <c r="F393" t="s">
        <v>5178</v>
      </c>
      <c r="G393" t="s">
        <v>3412</v>
      </c>
      <c r="J393" t="s">
        <v>5289</v>
      </c>
    </row>
    <row r="394" spans="3:10" x14ac:dyDescent="0.25">
      <c r="C394" t="s">
        <v>3643</v>
      </c>
      <c r="D394" t="s">
        <v>4973</v>
      </c>
      <c r="F394" t="s">
        <v>5180</v>
      </c>
      <c r="G394" t="s">
        <v>3420</v>
      </c>
      <c r="J394" t="s">
        <v>5290</v>
      </c>
    </row>
    <row r="395" spans="3:10" x14ac:dyDescent="0.25">
      <c r="C395" t="s">
        <v>3644</v>
      </c>
      <c r="D395" t="s">
        <v>4974</v>
      </c>
      <c r="F395" t="s">
        <v>5181</v>
      </c>
      <c r="G395" t="s">
        <v>3421</v>
      </c>
      <c r="J395" t="s">
        <v>5291</v>
      </c>
    </row>
    <row r="396" spans="3:10" x14ac:dyDescent="0.25">
      <c r="C396" t="s">
        <v>3645</v>
      </c>
      <c r="D396" t="s">
        <v>4975</v>
      </c>
      <c r="F396" t="s">
        <v>5182</v>
      </c>
      <c r="G396" t="s">
        <v>3422</v>
      </c>
      <c r="J396" t="s">
        <v>5292</v>
      </c>
    </row>
    <row r="397" spans="3:10" x14ac:dyDescent="0.25">
      <c r="C397" t="s">
        <v>3646</v>
      </c>
      <c r="D397" t="s">
        <v>4276</v>
      </c>
      <c r="F397" t="s">
        <v>5183</v>
      </c>
      <c r="G397" t="s">
        <v>4909</v>
      </c>
    </row>
    <row r="398" spans="3:10" x14ac:dyDescent="0.25">
      <c r="C398" t="s">
        <v>3647</v>
      </c>
      <c r="D398" t="s">
        <v>4976</v>
      </c>
      <c r="F398" t="s">
        <v>5184</v>
      </c>
      <c r="G398" t="s">
        <v>3423</v>
      </c>
    </row>
    <row r="399" spans="3:10" x14ac:dyDescent="0.25">
      <c r="C399" t="s">
        <v>3648</v>
      </c>
      <c r="D399" t="s">
        <v>4977</v>
      </c>
      <c r="F399" t="s">
        <v>5185</v>
      </c>
      <c r="G399" t="s">
        <v>4910</v>
      </c>
    </row>
    <row r="400" spans="3:10" x14ac:dyDescent="0.25">
      <c r="C400" t="s">
        <v>3649</v>
      </c>
      <c r="D400" t="s">
        <v>4277</v>
      </c>
      <c r="F400" t="s">
        <v>5484</v>
      </c>
      <c r="G400" t="s">
        <v>4911</v>
      </c>
    </row>
    <row r="401" spans="3:7" x14ac:dyDescent="0.25">
      <c r="C401" t="s">
        <v>3650</v>
      </c>
      <c r="D401" t="s">
        <v>4978</v>
      </c>
      <c r="F401" t="s">
        <v>5187</v>
      </c>
      <c r="G401" t="s">
        <v>4912</v>
      </c>
    </row>
    <row r="402" spans="3:7" x14ac:dyDescent="0.25">
      <c r="C402" t="s">
        <v>3651</v>
      </c>
      <c r="D402" t="s">
        <v>4278</v>
      </c>
      <c r="F402" t="s">
        <v>5188</v>
      </c>
      <c r="G402" t="s">
        <v>4913</v>
      </c>
    </row>
    <row r="403" spans="3:7" x14ac:dyDescent="0.25">
      <c r="C403" t="s">
        <v>3652</v>
      </c>
      <c r="D403" t="s">
        <v>4979</v>
      </c>
      <c r="F403" t="s">
        <v>5189</v>
      </c>
      <c r="G403" t="s">
        <v>3425</v>
      </c>
    </row>
    <row r="404" spans="3:7" x14ac:dyDescent="0.25">
      <c r="C404" t="s">
        <v>3653</v>
      </c>
      <c r="D404" t="s">
        <v>4980</v>
      </c>
      <c r="F404" t="s">
        <v>5190</v>
      </c>
      <c r="G404" t="s">
        <v>3426</v>
      </c>
    </row>
    <row r="405" spans="3:7" x14ac:dyDescent="0.25">
      <c r="C405" t="s">
        <v>3654</v>
      </c>
      <c r="D405" t="s">
        <v>4981</v>
      </c>
      <c r="F405" t="s">
        <v>5191</v>
      </c>
      <c r="G405" t="s">
        <v>3427</v>
      </c>
    </row>
    <row r="406" spans="3:7" x14ac:dyDescent="0.25">
      <c r="C406" t="s">
        <v>3655</v>
      </c>
      <c r="D406" t="s">
        <v>4982</v>
      </c>
      <c r="F406" t="s">
        <v>5192</v>
      </c>
      <c r="G406" t="s">
        <v>4914</v>
      </c>
    </row>
    <row r="407" spans="3:7" x14ac:dyDescent="0.25">
      <c r="C407" t="s">
        <v>3656</v>
      </c>
      <c r="D407" t="s">
        <v>4983</v>
      </c>
      <c r="F407" t="s">
        <v>5193</v>
      </c>
      <c r="G407" t="s">
        <v>5938</v>
      </c>
    </row>
    <row r="408" spans="3:7" x14ac:dyDescent="0.25">
      <c r="C408" t="s">
        <v>3657</v>
      </c>
      <c r="D408" t="s">
        <v>4279</v>
      </c>
      <c r="F408" t="s">
        <v>5199</v>
      </c>
      <c r="G408" t="s">
        <v>3429</v>
      </c>
    </row>
    <row r="409" spans="3:7" x14ac:dyDescent="0.25">
      <c r="C409" t="s">
        <v>3658</v>
      </c>
      <c r="D409" t="s">
        <v>4280</v>
      </c>
      <c r="F409" t="s">
        <v>5200</v>
      </c>
      <c r="G409" t="s">
        <v>3430</v>
      </c>
    </row>
    <row r="410" spans="3:7" x14ac:dyDescent="0.25">
      <c r="C410" t="s">
        <v>3659</v>
      </c>
      <c r="D410" t="s">
        <v>4984</v>
      </c>
      <c r="F410" t="s">
        <v>5201</v>
      </c>
      <c r="G410" t="s">
        <v>3431</v>
      </c>
    </row>
    <row r="411" spans="3:7" x14ac:dyDescent="0.25">
      <c r="C411" t="s">
        <v>3660</v>
      </c>
      <c r="D411" t="s">
        <v>4985</v>
      </c>
      <c r="F411" t="s">
        <v>5206</v>
      </c>
      <c r="G411" t="s">
        <v>3432</v>
      </c>
    </row>
    <row r="412" spans="3:7" x14ac:dyDescent="0.25">
      <c r="C412" t="s">
        <v>3661</v>
      </c>
      <c r="D412" t="s">
        <v>4986</v>
      </c>
      <c r="F412" t="s">
        <v>5207</v>
      </c>
      <c r="G412" t="s">
        <v>3433</v>
      </c>
    </row>
    <row r="413" spans="3:7" x14ac:dyDescent="0.25">
      <c r="C413" t="s">
        <v>3662</v>
      </c>
      <c r="D413" t="s">
        <v>4987</v>
      </c>
      <c r="F413" t="s">
        <v>5214</v>
      </c>
      <c r="G413" t="s">
        <v>3434</v>
      </c>
    </row>
    <row r="414" spans="3:7" x14ac:dyDescent="0.25">
      <c r="C414" t="s">
        <v>3663</v>
      </c>
      <c r="D414" t="s">
        <v>4988</v>
      </c>
      <c r="F414" t="s">
        <v>5215</v>
      </c>
      <c r="G414" t="s">
        <v>3435</v>
      </c>
    </row>
    <row r="415" spans="3:7" x14ac:dyDescent="0.25">
      <c r="C415" t="s">
        <v>3664</v>
      </c>
      <c r="D415" t="s">
        <v>4281</v>
      </c>
      <c r="F415" t="s">
        <v>5485</v>
      </c>
      <c r="G415" t="s">
        <v>5939</v>
      </c>
    </row>
    <row r="416" spans="3:7" x14ac:dyDescent="0.25">
      <c r="C416" t="s">
        <v>4271</v>
      </c>
      <c r="D416" t="s">
        <v>4989</v>
      </c>
      <c r="F416" t="s">
        <v>5486</v>
      </c>
      <c r="G416" t="s">
        <v>5940</v>
      </c>
    </row>
    <row r="417" spans="4:7" x14ac:dyDescent="0.25">
      <c r="D417" t="s">
        <v>4990</v>
      </c>
      <c r="F417" t="s">
        <v>5487</v>
      </c>
      <c r="G417" t="s">
        <v>5941</v>
      </c>
    </row>
    <row r="418" spans="4:7" x14ac:dyDescent="0.25">
      <c r="D418" t="s">
        <v>4991</v>
      </c>
      <c r="F418" t="s">
        <v>5488</v>
      </c>
      <c r="G418" t="s">
        <v>5942</v>
      </c>
    </row>
    <row r="419" spans="4:7" x14ac:dyDescent="0.25">
      <c r="D419" t="s">
        <v>4992</v>
      </c>
      <c r="F419" t="s">
        <v>5489</v>
      </c>
      <c r="G419" t="s">
        <v>5943</v>
      </c>
    </row>
    <row r="420" spans="4:7" x14ac:dyDescent="0.25">
      <c r="D420" t="s">
        <v>4993</v>
      </c>
      <c r="F420" t="s">
        <v>5216</v>
      </c>
      <c r="G420" t="s">
        <v>3437</v>
      </c>
    </row>
    <row r="421" spans="4:7" x14ac:dyDescent="0.25">
      <c r="D421" t="s">
        <v>4994</v>
      </c>
      <c r="F421" t="s">
        <v>5217</v>
      </c>
      <c r="G421" t="s">
        <v>3438</v>
      </c>
    </row>
    <row r="422" spans="4:7" x14ac:dyDescent="0.25">
      <c r="D422" t="s">
        <v>4282</v>
      </c>
      <c r="F422" t="s">
        <v>5219</v>
      </c>
      <c r="G422" t="s">
        <v>3439</v>
      </c>
    </row>
    <row r="423" spans="4:7" x14ac:dyDescent="0.25">
      <c r="D423" t="s">
        <v>4283</v>
      </c>
      <c r="F423" t="s">
        <v>5220</v>
      </c>
      <c r="G423" t="s">
        <v>4916</v>
      </c>
    </row>
    <row r="424" spans="4:7" x14ac:dyDescent="0.25">
      <c r="D424" t="s">
        <v>4285</v>
      </c>
      <c r="F424" t="s">
        <v>5222</v>
      </c>
      <c r="G424" t="s">
        <v>4917</v>
      </c>
    </row>
    <row r="425" spans="4:7" x14ac:dyDescent="0.25">
      <c r="D425" t="s">
        <v>4995</v>
      </c>
      <c r="F425" t="s">
        <v>5223</v>
      </c>
      <c r="G425" t="s">
        <v>4918</v>
      </c>
    </row>
    <row r="426" spans="4:7" x14ac:dyDescent="0.25">
      <c r="D426" t="s">
        <v>4996</v>
      </c>
      <c r="F426" t="s">
        <v>5225</v>
      </c>
      <c r="G426" t="s">
        <v>4919</v>
      </c>
    </row>
    <row r="427" spans="4:7" x14ac:dyDescent="0.25">
      <c r="D427" t="s">
        <v>4997</v>
      </c>
      <c r="F427" t="s">
        <v>5226</v>
      </c>
      <c r="G427" t="s">
        <v>3441</v>
      </c>
    </row>
    <row r="428" spans="4:7" x14ac:dyDescent="0.25">
      <c r="D428" t="s">
        <v>4998</v>
      </c>
      <c r="F428" t="s">
        <v>5490</v>
      </c>
      <c r="G428" t="s">
        <v>3442</v>
      </c>
    </row>
    <row r="429" spans="4:7" x14ac:dyDescent="0.25">
      <c r="D429" t="s">
        <v>4287</v>
      </c>
      <c r="F429" t="s">
        <v>5491</v>
      </c>
      <c r="G429" t="s">
        <v>3444</v>
      </c>
    </row>
    <row r="430" spans="4:7" x14ac:dyDescent="0.25">
      <c r="D430" t="s">
        <v>4288</v>
      </c>
      <c r="F430" t="s">
        <v>5492</v>
      </c>
      <c r="G430" t="s">
        <v>3446</v>
      </c>
    </row>
    <row r="431" spans="4:7" x14ac:dyDescent="0.25">
      <c r="D431" t="s">
        <v>4289</v>
      </c>
      <c r="F431" t="s">
        <v>5493</v>
      </c>
      <c r="G431" t="s">
        <v>3447</v>
      </c>
    </row>
    <row r="432" spans="4:7" x14ac:dyDescent="0.25">
      <c r="D432" t="s">
        <v>4999</v>
      </c>
      <c r="F432" t="s">
        <v>5494</v>
      </c>
      <c r="G432" t="s">
        <v>3448</v>
      </c>
    </row>
    <row r="433" spans="4:7" x14ac:dyDescent="0.25">
      <c r="D433" t="s">
        <v>5000</v>
      </c>
      <c r="F433" t="s">
        <v>5228</v>
      </c>
      <c r="G433" t="s">
        <v>3449</v>
      </c>
    </row>
    <row r="434" spans="4:7" x14ac:dyDescent="0.25">
      <c r="D434" t="s">
        <v>5001</v>
      </c>
      <c r="F434" t="s">
        <v>5229</v>
      </c>
      <c r="G434" t="s">
        <v>3450</v>
      </c>
    </row>
    <row r="435" spans="4:7" x14ac:dyDescent="0.25">
      <c r="D435" t="s">
        <v>5002</v>
      </c>
      <c r="F435" t="s">
        <v>5495</v>
      </c>
      <c r="G435" t="s">
        <v>3451</v>
      </c>
    </row>
    <row r="436" spans="4:7" x14ac:dyDescent="0.25">
      <c r="D436" t="s">
        <v>5003</v>
      </c>
      <c r="F436" t="s">
        <v>5496</v>
      </c>
      <c r="G436" t="s">
        <v>3459</v>
      </c>
    </row>
    <row r="437" spans="4:7" x14ac:dyDescent="0.25">
      <c r="D437" t="s">
        <v>5004</v>
      </c>
      <c r="F437" t="s">
        <v>5497</v>
      </c>
      <c r="G437" t="s">
        <v>3460</v>
      </c>
    </row>
    <row r="438" spans="4:7" x14ac:dyDescent="0.25">
      <c r="D438" t="s">
        <v>4290</v>
      </c>
      <c r="F438" t="s">
        <v>5498</v>
      </c>
      <c r="G438" t="s">
        <v>3462</v>
      </c>
    </row>
    <row r="439" spans="4:7" x14ac:dyDescent="0.25">
      <c r="D439" t="s">
        <v>5005</v>
      </c>
      <c r="F439" t="s">
        <v>5499</v>
      </c>
      <c r="G439" t="s">
        <v>3464</v>
      </c>
    </row>
    <row r="440" spans="4:7" x14ac:dyDescent="0.25">
      <c r="D440" t="s">
        <v>4291</v>
      </c>
      <c r="F440" t="s">
        <v>5231</v>
      </c>
      <c r="G440" t="s">
        <v>3465</v>
      </c>
    </row>
    <row r="441" spans="4:7" x14ac:dyDescent="0.25">
      <c r="D441" t="s">
        <v>5006</v>
      </c>
      <c r="F441" t="s">
        <v>5232</v>
      </c>
      <c r="G441" t="s">
        <v>3466</v>
      </c>
    </row>
    <row r="442" spans="4:7" x14ac:dyDescent="0.25">
      <c r="D442" t="s">
        <v>5007</v>
      </c>
      <c r="F442" t="s">
        <v>5235</v>
      </c>
      <c r="G442" t="s">
        <v>3467</v>
      </c>
    </row>
    <row r="443" spans="4:7" x14ac:dyDescent="0.25">
      <c r="D443" t="s">
        <v>5008</v>
      </c>
      <c r="F443" t="s">
        <v>5236</v>
      </c>
      <c r="G443" t="s">
        <v>3468</v>
      </c>
    </row>
    <row r="444" spans="4:7" x14ac:dyDescent="0.25">
      <c r="D444" t="s">
        <v>5009</v>
      </c>
      <c r="F444" t="s">
        <v>5500</v>
      </c>
      <c r="G444" t="s">
        <v>3469</v>
      </c>
    </row>
    <row r="445" spans="4:7" x14ac:dyDescent="0.25">
      <c r="D445" t="s">
        <v>5010</v>
      </c>
      <c r="F445" t="s">
        <v>5501</v>
      </c>
      <c r="G445" t="s">
        <v>3470</v>
      </c>
    </row>
    <row r="446" spans="4:7" x14ac:dyDescent="0.25">
      <c r="D446" t="s">
        <v>4292</v>
      </c>
      <c r="F446" t="s">
        <v>5502</v>
      </c>
      <c r="G446" t="s">
        <v>3471</v>
      </c>
    </row>
    <row r="447" spans="4:7" x14ac:dyDescent="0.25">
      <c r="D447" t="s">
        <v>5011</v>
      </c>
      <c r="F447" t="s">
        <v>5503</v>
      </c>
      <c r="G447" t="s">
        <v>5944</v>
      </c>
    </row>
    <row r="448" spans="4:7" x14ac:dyDescent="0.25">
      <c r="D448" t="s">
        <v>5012</v>
      </c>
      <c r="F448" t="s">
        <v>5504</v>
      </c>
      <c r="G448" t="s">
        <v>3472</v>
      </c>
    </row>
    <row r="449" spans="4:7" x14ac:dyDescent="0.25">
      <c r="D449" t="s">
        <v>5013</v>
      </c>
      <c r="F449" t="s">
        <v>5505</v>
      </c>
      <c r="G449" t="s">
        <v>3473</v>
      </c>
    </row>
    <row r="450" spans="4:7" x14ac:dyDescent="0.25">
      <c r="D450" t="s">
        <v>5014</v>
      </c>
      <c r="F450" t="s">
        <v>5506</v>
      </c>
      <c r="G450" t="s">
        <v>3474</v>
      </c>
    </row>
    <row r="451" spans="4:7" x14ac:dyDescent="0.25">
      <c r="D451" t="s">
        <v>5015</v>
      </c>
      <c r="F451" t="s">
        <v>5507</v>
      </c>
      <c r="G451" t="s">
        <v>3475</v>
      </c>
    </row>
    <row r="452" spans="4:7" x14ac:dyDescent="0.25">
      <c r="D452" t="s">
        <v>5016</v>
      </c>
      <c r="F452" t="s">
        <v>5508</v>
      </c>
      <c r="G452" t="s">
        <v>3476</v>
      </c>
    </row>
    <row r="453" spans="4:7" x14ac:dyDescent="0.25">
      <c r="D453" t="s">
        <v>5017</v>
      </c>
      <c r="F453" t="s">
        <v>5509</v>
      </c>
      <c r="G453" t="s">
        <v>3477</v>
      </c>
    </row>
    <row r="454" spans="4:7" x14ac:dyDescent="0.25">
      <c r="D454" t="s">
        <v>4293</v>
      </c>
      <c r="F454" t="s">
        <v>5510</v>
      </c>
      <c r="G454" t="s">
        <v>3478</v>
      </c>
    </row>
    <row r="455" spans="4:7" x14ac:dyDescent="0.25">
      <c r="D455" t="s">
        <v>5018</v>
      </c>
      <c r="F455" t="s">
        <v>5511</v>
      </c>
      <c r="G455" t="s">
        <v>3484</v>
      </c>
    </row>
    <row r="456" spans="4:7" x14ac:dyDescent="0.25">
      <c r="D456" t="s">
        <v>5019</v>
      </c>
      <c r="F456" t="s">
        <v>5512</v>
      </c>
      <c r="G456" t="s">
        <v>3485</v>
      </c>
    </row>
    <row r="457" spans="4:7" x14ac:dyDescent="0.25">
      <c r="D457" t="s">
        <v>5020</v>
      </c>
      <c r="F457" t="s">
        <v>5513</v>
      </c>
      <c r="G457" t="s">
        <v>3486</v>
      </c>
    </row>
    <row r="458" spans="4:7" x14ac:dyDescent="0.25">
      <c r="D458" t="s">
        <v>5021</v>
      </c>
      <c r="F458" t="s">
        <v>5514</v>
      </c>
      <c r="G458" t="s">
        <v>4920</v>
      </c>
    </row>
    <row r="459" spans="4:7" x14ac:dyDescent="0.25">
      <c r="D459" t="s">
        <v>5022</v>
      </c>
      <c r="F459" t="s">
        <v>5515</v>
      </c>
      <c r="G459" t="s">
        <v>3488</v>
      </c>
    </row>
    <row r="460" spans="4:7" x14ac:dyDescent="0.25">
      <c r="D460" t="s">
        <v>5023</v>
      </c>
      <c r="F460" t="s">
        <v>5516</v>
      </c>
      <c r="G460" t="s">
        <v>3489</v>
      </c>
    </row>
    <row r="461" spans="4:7" x14ac:dyDescent="0.25">
      <c r="D461" t="s">
        <v>5024</v>
      </c>
      <c r="F461" t="s">
        <v>5517</v>
      </c>
      <c r="G461" t="s">
        <v>3490</v>
      </c>
    </row>
    <row r="462" spans="4:7" x14ac:dyDescent="0.25">
      <c r="D462" t="s">
        <v>4294</v>
      </c>
      <c r="F462" t="s">
        <v>5518</v>
      </c>
      <c r="G462" t="s">
        <v>3491</v>
      </c>
    </row>
    <row r="463" spans="4:7" x14ac:dyDescent="0.25">
      <c r="D463" t="s">
        <v>5025</v>
      </c>
      <c r="F463" t="s">
        <v>5519</v>
      </c>
      <c r="G463" t="s">
        <v>3492</v>
      </c>
    </row>
    <row r="464" spans="4:7" x14ac:dyDescent="0.25">
      <c r="D464" t="s">
        <v>5026</v>
      </c>
      <c r="F464" t="s">
        <v>5520</v>
      </c>
      <c r="G464" t="s">
        <v>3493</v>
      </c>
    </row>
    <row r="465" spans="4:7" x14ac:dyDescent="0.25">
      <c r="D465" t="s">
        <v>4296</v>
      </c>
      <c r="F465" t="s">
        <v>5521</v>
      </c>
      <c r="G465" t="s">
        <v>3494</v>
      </c>
    </row>
    <row r="466" spans="4:7" x14ac:dyDescent="0.25">
      <c r="D466" t="s">
        <v>5027</v>
      </c>
      <c r="F466" t="s">
        <v>5522</v>
      </c>
      <c r="G466" t="s">
        <v>3501</v>
      </c>
    </row>
    <row r="467" spans="4:7" x14ac:dyDescent="0.25">
      <c r="D467" t="s">
        <v>4298</v>
      </c>
      <c r="F467" t="s">
        <v>5523</v>
      </c>
      <c r="G467" t="s">
        <v>3502</v>
      </c>
    </row>
    <row r="468" spans="4:7" x14ac:dyDescent="0.25">
      <c r="D468" t="s">
        <v>5028</v>
      </c>
      <c r="F468" t="s">
        <v>5524</v>
      </c>
      <c r="G468" t="s">
        <v>4921</v>
      </c>
    </row>
    <row r="469" spans="4:7" x14ac:dyDescent="0.25">
      <c r="D469" t="s">
        <v>5029</v>
      </c>
      <c r="F469" t="s">
        <v>5525</v>
      </c>
      <c r="G469" t="s">
        <v>4923</v>
      </c>
    </row>
    <row r="470" spans="4:7" x14ac:dyDescent="0.25">
      <c r="D470" t="s">
        <v>5030</v>
      </c>
      <c r="F470" t="s">
        <v>5526</v>
      </c>
      <c r="G470" t="s">
        <v>4924</v>
      </c>
    </row>
    <row r="471" spans="4:7" x14ac:dyDescent="0.25">
      <c r="D471" t="s">
        <v>5031</v>
      </c>
      <c r="F471" t="s">
        <v>5527</v>
      </c>
      <c r="G471" t="s">
        <v>4925</v>
      </c>
    </row>
    <row r="472" spans="4:7" x14ac:dyDescent="0.25">
      <c r="D472" t="s">
        <v>5032</v>
      </c>
      <c r="F472" t="s">
        <v>5528</v>
      </c>
      <c r="G472" t="s">
        <v>4926</v>
      </c>
    </row>
    <row r="473" spans="4:7" x14ac:dyDescent="0.25">
      <c r="D473" t="s">
        <v>5033</v>
      </c>
      <c r="F473" t="s">
        <v>5529</v>
      </c>
      <c r="G473" t="s">
        <v>3504</v>
      </c>
    </row>
    <row r="474" spans="4:7" x14ac:dyDescent="0.25">
      <c r="D474" t="s">
        <v>5034</v>
      </c>
      <c r="F474" t="s">
        <v>5530</v>
      </c>
      <c r="G474" t="s">
        <v>3505</v>
      </c>
    </row>
    <row r="475" spans="4:7" x14ac:dyDescent="0.25">
      <c r="D475" t="s">
        <v>4299</v>
      </c>
      <c r="F475" t="s">
        <v>5531</v>
      </c>
      <c r="G475" t="s">
        <v>3507</v>
      </c>
    </row>
    <row r="476" spans="4:7" x14ac:dyDescent="0.25">
      <c r="D476" t="s">
        <v>5035</v>
      </c>
      <c r="F476" t="s">
        <v>5532</v>
      </c>
      <c r="G476" t="s">
        <v>3509</v>
      </c>
    </row>
    <row r="477" spans="4:7" x14ac:dyDescent="0.25">
      <c r="D477" t="s">
        <v>5036</v>
      </c>
      <c r="F477" t="s">
        <v>5533</v>
      </c>
      <c r="G477" t="s">
        <v>3510</v>
      </c>
    </row>
    <row r="478" spans="4:7" x14ac:dyDescent="0.25">
      <c r="D478" t="s">
        <v>5037</v>
      </c>
      <c r="F478" t="s">
        <v>5534</v>
      </c>
      <c r="G478" t="s">
        <v>3511</v>
      </c>
    </row>
    <row r="479" spans="4:7" x14ac:dyDescent="0.25">
      <c r="D479" t="s">
        <v>5038</v>
      </c>
      <c r="F479" t="s">
        <v>5535</v>
      </c>
      <c r="G479" t="s">
        <v>3512</v>
      </c>
    </row>
    <row r="480" spans="4:7" x14ac:dyDescent="0.25">
      <c r="D480" t="s">
        <v>5039</v>
      </c>
      <c r="F480" t="s">
        <v>5536</v>
      </c>
      <c r="G480" t="s">
        <v>3513</v>
      </c>
    </row>
    <row r="481" spans="4:7" x14ac:dyDescent="0.25">
      <c r="D481" t="s">
        <v>5040</v>
      </c>
      <c r="F481" t="s">
        <v>5537</v>
      </c>
      <c r="G481" t="s">
        <v>3514</v>
      </c>
    </row>
    <row r="482" spans="4:7" x14ac:dyDescent="0.25">
      <c r="D482" t="s">
        <v>4300</v>
      </c>
      <c r="F482" t="s">
        <v>5538</v>
      </c>
      <c r="G482" t="s">
        <v>3522</v>
      </c>
    </row>
    <row r="483" spans="4:7" x14ac:dyDescent="0.25">
      <c r="D483" t="s">
        <v>5041</v>
      </c>
      <c r="F483" t="s">
        <v>5539</v>
      </c>
      <c r="G483" t="s">
        <v>3523</v>
      </c>
    </row>
    <row r="484" spans="4:7" x14ac:dyDescent="0.25">
      <c r="D484" t="s">
        <v>5042</v>
      </c>
      <c r="F484" t="s">
        <v>5540</v>
      </c>
      <c r="G484" t="s">
        <v>3524</v>
      </c>
    </row>
    <row r="485" spans="4:7" x14ac:dyDescent="0.25">
      <c r="D485" t="s">
        <v>4301</v>
      </c>
      <c r="F485" t="s">
        <v>5541</v>
      </c>
      <c r="G485" t="s">
        <v>3525</v>
      </c>
    </row>
    <row r="486" spans="4:7" x14ac:dyDescent="0.25">
      <c r="D486" t="s">
        <v>5043</v>
      </c>
      <c r="F486" t="s">
        <v>5542</v>
      </c>
      <c r="G486" t="s">
        <v>3526</v>
      </c>
    </row>
    <row r="487" spans="4:7" x14ac:dyDescent="0.25">
      <c r="D487" t="s">
        <v>5044</v>
      </c>
      <c r="F487" t="s">
        <v>5543</v>
      </c>
      <c r="G487" t="s">
        <v>3527</v>
      </c>
    </row>
    <row r="488" spans="4:7" x14ac:dyDescent="0.25">
      <c r="D488" t="s">
        <v>5045</v>
      </c>
      <c r="F488" t="s">
        <v>5544</v>
      </c>
      <c r="G488" t="s">
        <v>3528</v>
      </c>
    </row>
    <row r="489" spans="4:7" x14ac:dyDescent="0.25">
      <c r="D489" t="s">
        <v>5046</v>
      </c>
      <c r="F489" t="s">
        <v>5545</v>
      </c>
      <c r="G489" t="s">
        <v>3529</v>
      </c>
    </row>
    <row r="490" spans="4:7" x14ac:dyDescent="0.25">
      <c r="D490" t="s">
        <v>5047</v>
      </c>
      <c r="F490" t="s">
        <v>5546</v>
      </c>
      <c r="G490" t="s">
        <v>3530</v>
      </c>
    </row>
    <row r="491" spans="4:7" x14ac:dyDescent="0.25">
      <c r="D491" t="s">
        <v>5048</v>
      </c>
      <c r="F491" t="s">
        <v>5547</v>
      </c>
      <c r="G491" t="s">
        <v>3531</v>
      </c>
    </row>
    <row r="492" spans="4:7" x14ac:dyDescent="0.25">
      <c r="D492" t="s">
        <v>5049</v>
      </c>
      <c r="F492" t="s">
        <v>5548</v>
      </c>
      <c r="G492" t="s">
        <v>3532</v>
      </c>
    </row>
    <row r="493" spans="4:7" x14ac:dyDescent="0.25">
      <c r="D493" t="s">
        <v>5050</v>
      </c>
      <c r="F493" t="s">
        <v>5549</v>
      </c>
      <c r="G493" t="s">
        <v>3533</v>
      </c>
    </row>
    <row r="494" spans="4:7" x14ac:dyDescent="0.25">
      <c r="D494" t="s">
        <v>4302</v>
      </c>
      <c r="F494" t="s">
        <v>5550</v>
      </c>
      <c r="G494" t="s">
        <v>3534</v>
      </c>
    </row>
    <row r="495" spans="4:7" x14ac:dyDescent="0.25">
      <c r="D495" t="s">
        <v>5051</v>
      </c>
      <c r="F495" t="s">
        <v>5551</v>
      </c>
      <c r="G495" t="s">
        <v>3535</v>
      </c>
    </row>
    <row r="496" spans="4:7" x14ac:dyDescent="0.25">
      <c r="D496" t="s">
        <v>5052</v>
      </c>
      <c r="F496" t="s">
        <v>5552</v>
      </c>
      <c r="G496" t="s">
        <v>3536</v>
      </c>
    </row>
    <row r="497" spans="4:7" x14ac:dyDescent="0.25">
      <c r="D497" t="s">
        <v>5053</v>
      </c>
      <c r="F497" t="s">
        <v>5553</v>
      </c>
      <c r="G497" t="s">
        <v>3537</v>
      </c>
    </row>
    <row r="498" spans="4:7" x14ac:dyDescent="0.25">
      <c r="D498" t="s">
        <v>5054</v>
      </c>
      <c r="F498" t="s">
        <v>5554</v>
      </c>
      <c r="G498" t="s">
        <v>3538</v>
      </c>
    </row>
    <row r="499" spans="4:7" x14ac:dyDescent="0.25">
      <c r="D499" t="s">
        <v>5055</v>
      </c>
      <c r="F499" t="s">
        <v>5555</v>
      </c>
      <c r="G499" t="s">
        <v>3539</v>
      </c>
    </row>
    <row r="500" spans="4:7" x14ac:dyDescent="0.25">
      <c r="D500" t="s">
        <v>5056</v>
      </c>
      <c r="F500" t="s">
        <v>5556</v>
      </c>
      <c r="G500" t="s">
        <v>3540</v>
      </c>
    </row>
    <row r="501" spans="4:7" x14ac:dyDescent="0.25">
      <c r="D501" t="s">
        <v>5057</v>
      </c>
      <c r="F501" t="s">
        <v>5557</v>
      </c>
      <c r="G501" t="s">
        <v>3541</v>
      </c>
    </row>
    <row r="502" spans="4:7" x14ac:dyDescent="0.25">
      <c r="D502" t="s">
        <v>4303</v>
      </c>
      <c r="F502" t="s">
        <v>5558</v>
      </c>
      <c r="G502" t="s">
        <v>3542</v>
      </c>
    </row>
    <row r="503" spans="4:7" x14ac:dyDescent="0.25">
      <c r="D503" t="s">
        <v>5058</v>
      </c>
      <c r="F503" t="s">
        <v>5559</v>
      </c>
      <c r="G503" t="s">
        <v>3543</v>
      </c>
    </row>
    <row r="504" spans="4:7" x14ac:dyDescent="0.25">
      <c r="D504" t="s">
        <v>5059</v>
      </c>
      <c r="F504" t="s">
        <v>5560</v>
      </c>
      <c r="G504" t="s">
        <v>3544</v>
      </c>
    </row>
    <row r="505" spans="4:7" x14ac:dyDescent="0.25">
      <c r="D505" t="s">
        <v>5060</v>
      </c>
      <c r="F505" t="s">
        <v>5561</v>
      </c>
      <c r="G505" t="s">
        <v>3545</v>
      </c>
    </row>
    <row r="506" spans="4:7" x14ac:dyDescent="0.25">
      <c r="D506" t="s">
        <v>5061</v>
      </c>
      <c r="F506" t="s">
        <v>5562</v>
      </c>
      <c r="G506" t="s">
        <v>3546</v>
      </c>
    </row>
    <row r="507" spans="4:7" x14ac:dyDescent="0.25">
      <c r="D507" t="s">
        <v>5062</v>
      </c>
      <c r="F507" t="s">
        <v>5563</v>
      </c>
      <c r="G507" t="s">
        <v>3547</v>
      </c>
    </row>
    <row r="508" spans="4:7" x14ac:dyDescent="0.25">
      <c r="D508" t="s">
        <v>5063</v>
      </c>
      <c r="F508" t="s">
        <v>5564</v>
      </c>
      <c r="G508" t="s">
        <v>3548</v>
      </c>
    </row>
    <row r="509" spans="4:7" x14ac:dyDescent="0.25">
      <c r="D509" t="s">
        <v>5064</v>
      </c>
      <c r="F509" t="s">
        <v>5565</v>
      </c>
      <c r="G509" t="s">
        <v>3550</v>
      </c>
    </row>
    <row r="510" spans="4:7" x14ac:dyDescent="0.25">
      <c r="D510" t="s">
        <v>4304</v>
      </c>
      <c r="F510" t="s">
        <v>5566</v>
      </c>
      <c r="G510" t="s">
        <v>3551</v>
      </c>
    </row>
    <row r="511" spans="4:7" x14ac:dyDescent="0.25">
      <c r="D511" t="s">
        <v>5065</v>
      </c>
      <c r="F511" t="s">
        <v>5567</v>
      </c>
      <c r="G511" t="s">
        <v>3552</v>
      </c>
    </row>
    <row r="512" spans="4:7" x14ac:dyDescent="0.25">
      <c r="D512" t="s">
        <v>5066</v>
      </c>
      <c r="F512" t="s">
        <v>5568</v>
      </c>
      <c r="G512" t="s">
        <v>3553</v>
      </c>
    </row>
    <row r="513" spans="4:7" x14ac:dyDescent="0.25">
      <c r="D513" t="s">
        <v>5067</v>
      </c>
      <c r="F513" t="s">
        <v>5569</v>
      </c>
      <c r="G513" t="s">
        <v>3554</v>
      </c>
    </row>
    <row r="514" spans="4:7" x14ac:dyDescent="0.25">
      <c r="D514" t="s">
        <v>5068</v>
      </c>
      <c r="F514" t="s">
        <v>5570</v>
      </c>
      <c r="G514" t="s">
        <v>3555</v>
      </c>
    </row>
    <row r="515" spans="4:7" x14ac:dyDescent="0.25">
      <c r="D515" t="s">
        <v>5069</v>
      </c>
      <c r="F515" t="s">
        <v>5571</v>
      </c>
      <c r="G515" t="s">
        <v>3556</v>
      </c>
    </row>
    <row r="516" spans="4:7" x14ac:dyDescent="0.25">
      <c r="D516" t="s">
        <v>5070</v>
      </c>
      <c r="F516" t="s">
        <v>5572</v>
      </c>
      <c r="G516" t="s">
        <v>3557</v>
      </c>
    </row>
    <row r="517" spans="4:7" x14ac:dyDescent="0.25">
      <c r="D517" t="s">
        <v>5071</v>
      </c>
      <c r="F517" t="s">
        <v>5573</v>
      </c>
      <c r="G517" t="s">
        <v>3558</v>
      </c>
    </row>
    <row r="518" spans="4:7" x14ac:dyDescent="0.25">
      <c r="D518" t="s">
        <v>4305</v>
      </c>
      <c r="F518" t="s">
        <v>5574</v>
      </c>
      <c r="G518" t="s">
        <v>3559</v>
      </c>
    </row>
    <row r="519" spans="4:7" x14ac:dyDescent="0.25">
      <c r="D519" t="s">
        <v>5072</v>
      </c>
      <c r="F519" t="s">
        <v>5575</v>
      </c>
      <c r="G519" t="s">
        <v>3560</v>
      </c>
    </row>
    <row r="520" spans="4:7" x14ac:dyDescent="0.25">
      <c r="D520" t="s">
        <v>5073</v>
      </c>
      <c r="F520" t="s">
        <v>5576</v>
      </c>
      <c r="G520" t="s">
        <v>3561</v>
      </c>
    </row>
    <row r="521" spans="4:7" x14ac:dyDescent="0.25">
      <c r="D521" t="s">
        <v>5074</v>
      </c>
      <c r="F521" t="s">
        <v>5577</v>
      </c>
      <c r="G521" t="s">
        <v>3562</v>
      </c>
    </row>
    <row r="522" spans="4:7" x14ac:dyDescent="0.25">
      <c r="D522" t="s">
        <v>5075</v>
      </c>
      <c r="F522" t="s">
        <v>5578</v>
      </c>
      <c r="G522" t="s">
        <v>3563</v>
      </c>
    </row>
    <row r="523" spans="4:7" x14ac:dyDescent="0.25">
      <c r="D523" t="s">
        <v>5076</v>
      </c>
      <c r="F523" t="s">
        <v>5579</v>
      </c>
      <c r="G523" t="s">
        <v>3565</v>
      </c>
    </row>
    <row r="524" spans="4:7" x14ac:dyDescent="0.25">
      <c r="D524" t="s">
        <v>4306</v>
      </c>
      <c r="F524" t="s">
        <v>5580</v>
      </c>
      <c r="G524" t="s">
        <v>3566</v>
      </c>
    </row>
    <row r="525" spans="4:7" x14ac:dyDescent="0.25">
      <c r="D525" t="s">
        <v>4307</v>
      </c>
      <c r="F525" t="s">
        <v>5581</v>
      </c>
      <c r="G525" t="s">
        <v>3567</v>
      </c>
    </row>
    <row r="526" spans="4:7" x14ac:dyDescent="0.25">
      <c r="D526" t="s">
        <v>4309</v>
      </c>
      <c r="F526" t="s">
        <v>5582</v>
      </c>
      <c r="G526" t="s">
        <v>3568</v>
      </c>
    </row>
    <row r="527" spans="4:7" x14ac:dyDescent="0.25">
      <c r="D527" t="s">
        <v>4310</v>
      </c>
      <c r="F527" t="s">
        <v>5583</v>
      </c>
      <c r="G527" t="s">
        <v>3569</v>
      </c>
    </row>
    <row r="528" spans="4:7" x14ac:dyDescent="0.25">
      <c r="D528" t="s">
        <v>4311</v>
      </c>
      <c r="F528" t="s">
        <v>5584</v>
      </c>
      <c r="G528" t="s">
        <v>3570</v>
      </c>
    </row>
    <row r="529" spans="4:7" x14ac:dyDescent="0.25">
      <c r="D529" t="s">
        <v>5077</v>
      </c>
      <c r="F529" t="s">
        <v>5585</v>
      </c>
      <c r="G529" t="s">
        <v>3571</v>
      </c>
    </row>
    <row r="530" spans="4:7" x14ac:dyDescent="0.25">
      <c r="D530" t="s">
        <v>5078</v>
      </c>
      <c r="F530" t="s">
        <v>5586</v>
      </c>
      <c r="G530" t="s">
        <v>4259</v>
      </c>
    </row>
    <row r="531" spans="4:7" x14ac:dyDescent="0.25">
      <c r="D531" t="s">
        <v>5079</v>
      </c>
      <c r="F531" t="s">
        <v>5587</v>
      </c>
      <c r="G531" t="s">
        <v>5945</v>
      </c>
    </row>
    <row r="532" spans="4:7" x14ac:dyDescent="0.25">
      <c r="D532" t="s">
        <v>5080</v>
      </c>
      <c r="F532" t="s">
        <v>5588</v>
      </c>
      <c r="G532" t="s">
        <v>5946</v>
      </c>
    </row>
    <row r="533" spans="4:7" x14ac:dyDescent="0.25">
      <c r="D533" t="s">
        <v>5081</v>
      </c>
      <c r="F533" t="s">
        <v>5589</v>
      </c>
      <c r="G533" t="s">
        <v>5947</v>
      </c>
    </row>
    <row r="534" spans="4:7" x14ac:dyDescent="0.25">
      <c r="D534" t="s">
        <v>5082</v>
      </c>
      <c r="F534" t="s">
        <v>5590</v>
      </c>
      <c r="G534" t="s">
        <v>5948</v>
      </c>
    </row>
    <row r="535" spans="4:7" x14ac:dyDescent="0.25">
      <c r="D535" t="s">
        <v>4312</v>
      </c>
      <c r="F535" t="s">
        <v>5591</v>
      </c>
      <c r="G535" t="s">
        <v>3574</v>
      </c>
    </row>
    <row r="536" spans="4:7" x14ac:dyDescent="0.25">
      <c r="D536" t="s">
        <v>5083</v>
      </c>
      <c r="F536" t="s">
        <v>5592</v>
      </c>
      <c r="G536" t="s">
        <v>3575</v>
      </c>
    </row>
    <row r="537" spans="4:7" x14ac:dyDescent="0.25">
      <c r="D537" t="s">
        <v>5084</v>
      </c>
      <c r="F537" t="s">
        <v>5593</v>
      </c>
      <c r="G537" t="s">
        <v>3576</v>
      </c>
    </row>
    <row r="538" spans="4:7" x14ac:dyDescent="0.25">
      <c r="D538" t="s">
        <v>4314</v>
      </c>
      <c r="F538" t="s">
        <v>5594</v>
      </c>
      <c r="G538" t="s">
        <v>4260</v>
      </c>
    </row>
    <row r="539" spans="4:7" x14ac:dyDescent="0.25">
      <c r="D539" t="s">
        <v>5085</v>
      </c>
      <c r="F539" t="s">
        <v>5595</v>
      </c>
      <c r="G539" t="s">
        <v>5949</v>
      </c>
    </row>
    <row r="540" spans="4:7" x14ac:dyDescent="0.25">
      <c r="D540" t="s">
        <v>5086</v>
      </c>
      <c r="F540" t="s">
        <v>5596</v>
      </c>
      <c r="G540" t="s">
        <v>5950</v>
      </c>
    </row>
    <row r="541" spans="4:7" x14ac:dyDescent="0.25">
      <c r="D541" t="s">
        <v>5087</v>
      </c>
      <c r="F541" t="s">
        <v>5597</v>
      </c>
      <c r="G541" t="s">
        <v>5951</v>
      </c>
    </row>
    <row r="542" spans="4:7" x14ac:dyDescent="0.25">
      <c r="D542" t="s">
        <v>5088</v>
      </c>
      <c r="F542" t="s">
        <v>5598</v>
      </c>
      <c r="G542" t="s">
        <v>5952</v>
      </c>
    </row>
    <row r="543" spans="4:7" x14ac:dyDescent="0.25">
      <c r="D543" t="s">
        <v>5089</v>
      </c>
      <c r="F543" t="s">
        <v>5599</v>
      </c>
      <c r="G543" t="s">
        <v>3578</v>
      </c>
    </row>
    <row r="544" spans="4:7" x14ac:dyDescent="0.25">
      <c r="D544" t="s">
        <v>5090</v>
      </c>
      <c r="F544" t="s">
        <v>5600</v>
      </c>
      <c r="G544" t="s">
        <v>3579</v>
      </c>
    </row>
    <row r="545" spans="4:7" x14ac:dyDescent="0.25">
      <c r="D545" t="s">
        <v>5091</v>
      </c>
      <c r="F545" t="s">
        <v>5601</v>
      </c>
      <c r="G545" t="s">
        <v>5953</v>
      </c>
    </row>
    <row r="546" spans="4:7" x14ac:dyDescent="0.25">
      <c r="D546" t="s">
        <v>4315</v>
      </c>
      <c r="F546" t="s">
        <v>5602</v>
      </c>
      <c r="G546" t="s">
        <v>3581</v>
      </c>
    </row>
    <row r="547" spans="4:7" x14ac:dyDescent="0.25">
      <c r="D547" t="s">
        <v>5092</v>
      </c>
      <c r="F547" t="s">
        <v>5603</v>
      </c>
      <c r="G547" t="s">
        <v>3582</v>
      </c>
    </row>
    <row r="548" spans="4:7" x14ac:dyDescent="0.25">
      <c r="D548" t="s">
        <v>5093</v>
      </c>
      <c r="F548" t="s">
        <v>5604</v>
      </c>
      <c r="G548" t="s">
        <v>3583</v>
      </c>
    </row>
    <row r="549" spans="4:7" x14ac:dyDescent="0.25">
      <c r="D549" t="s">
        <v>5094</v>
      </c>
      <c r="F549" t="s">
        <v>5605</v>
      </c>
      <c r="G549" t="s">
        <v>3584</v>
      </c>
    </row>
    <row r="550" spans="4:7" x14ac:dyDescent="0.25">
      <c r="D550" t="s">
        <v>5095</v>
      </c>
      <c r="F550" t="s">
        <v>5606</v>
      </c>
      <c r="G550" t="s">
        <v>3585</v>
      </c>
    </row>
    <row r="551" spans="4:7" x14ac:dyDescent="0.25">
      <c r="D551" t="s">
        <v>5096</v>
      </c>
      <c r="F551" t="s">
        <v>5607</v>
      </c>
      <c r="G551" t="s">
        <v>3586</v>
      </c>
    </row>
    <row r="552" spans="4:7" x14ac:dyDescent="0.25">
      <c r="D552" t="s">
        <v>5097</v>
      </c>
      <c r="F552" t="s">
        <v>5608</v>
      </c>
      <c r="G552" t="s">
        <v>3587</v>
      </c>
    </row>
    <row r="553" spans="4:7" x14ac:dyDescent="0.25">
      <c r="D553" t="s">
        <v>5098</v>
      </c>
      <c r="F553" t="s">
        <v>5609</v>
      </c>
      <c r="G553" t="s">
        <v>5407</v>
      </c>
    </row>
    <row r="554" spans="4:7" x14ac:dyDescent="0.25">
      <c r="D554" t="s">
        <v>5099</v>
      </c>
      <c r="F554" t="s">
        <v>5610</v>
      </c>
      <c r="G554" t="s">
        <v>5954</v>
      </c>
    </row>
    <row r="555" spans="4:7" x14ac:dyDescent="0.25">
      <c r="D555" t="s">
        <v>4316</v>
      </c>
      <c r="F555" t="s">
        <v>5611</v>
      </c>
      <c r="G555" t="s">
        <v>3589</v>
      </c>
    </row>
    <row r="556" spans="4:7" x14ac:dyDescent="0.25">
      <c r="D556" t="s">
        <v>5100</v>
      </c>
      <c r="F556" t="s">
        <v>5612</v>
      </c>
      <c r="G556" t="s">
        <v>3590</v>
      </c>
    </row>
    <row r="557" spans="4:7" x14ac:dyDescent="0.25">
      <c r="D557" t="s">
        <v>5101</v>
      </c>
      <c r="F557" t="s">
        <v>5613</v>
      </c>
      <c r="G557" t="s">
        <v>3591</v>
      </c>
    </row>
    <row r="558" spans="4:7" x14ac:dyDescent="0.25">
      <c r="D558" t="s">
        <v>5102</v>
      </c>
      <c r="F558" t="s">
        <v>5614</v>
      </c>
      <c r="G558" t="s">
        <v>3592</v>
      </c>
    </row>
    <row r="559" spans="4:7" x14ac:dyDescent="0.25">
      <c r="D559" t="s">
        <v>4317</v>
      </c>
      <c r="F559" t="s">
        <v>5615</v>
      </c>
      <c r="G559" t="s">
        <v>3593</v>
      </c>
    </row>
    <row r="560" spans="4:7" x14ac:dyDescent="0.25">
      <c r="D560" t="s">
        <v>5103</v>
      </c>
      <c r="F560" t="s">
        <v>5616</v>
      </c>
      <c r="G560" t="s">
        <v>3594</v>
      </c>
    </row>
    <row r="561" spans="4:7" x14ac:dyDescent="0.25">
      <c r="D561" t="s">
        <v>5104</v>
      </c>
      <c r="F561" t="s">
        <v>5617</v>
      </c>
      <c r="G561" t="s">
        <v>4261</v>
      </c>
    </row>
    <row r="562" spans="4:7" x14ac:dyDescent="0.25">
      <c r="D562" t="s">
        <v>5105</v>
      </c>
      <c r="F562" t="s">
        <v>5618</v>
      </c>
      <c r="G562" t="s">
        <v>4928</v>
      </c>
    </row>
    <row r="563" spans="4:7" x14ac:dyDescent="0.25">
      <c r="D563" t="s">
        <v>5106</v>
      </c>
      <c r="F563" t="s">
        <v>5619</v>
      </c>
      <c r="G563" t="s">
        <v>4929</v>
      </c>
    </row>
    <row r="564" spans="4:7" x14ac:dyDescent="0.25">
      <c r="D564" t="s">
        <v>5107</v>
      </c>
      <c r="F564" t="s">
        <v>5620</v>
      </c>
      <c r="G564" t="s">
        <v>4930</v>
      </c>
    </row>
    <row r="565" spans="4:7" x14ac:dyDescent="0.25">
      <c r="D565" t="s">
        <v>5108</v>
      </c>
      <c r="F565" t="s">
        <v>5621</v>
      </c>
      <c r="G565" t="s">
        <v>4931</v>
      </c>
    </row>
    <row r="566" spans="4:7" x14ac:dyDescent="0.25">
      <c r="D566" t="s">
        <v>5109</v>
      </c>
      <c r="F566" t="s">
        <v>5622</v>
      </c>
      <c r="G566" t="s">
        <v>3595</v>
      </c>
    </row>
    <row r="567" spans="4:7" x14ac:dyDescent="0.25">
      <c r="D567" t="s">
        <v>5110</v>
      </c>
      <c r="F567" t="s">
        <v>5623</v>
      </c>
      <c r="G567" t="s">
        <v>3596</v>
      </c>
    </row>
    <row r="568" spans="4:7" x14ac:dyDescent="0.25">
      <c r="D568" t="s">
        <v>4318</v>
      </c>
      <c r="F568" t="s">
        <v>5624</v>
      </c>
      <c r="G568" t="s">
        <v>4932</v>
      </c>
    </row>
    <row r="569" spans="4:7" x14ac:dyDescent="0.25">
      <c r="D569" t="s">
        <v>5111</v>
      </c>
      <c r="F569" t="s">
        <v>5625</v>
      </c>
      <c r="G569" t="s">
        <v>4263</v>
      </c>
    </row>
    <row r="570" spans="4:7" x14ac:dyDescent="0.25">
      <c r="D570" t="s">
        <v>4319</v>
      </c>
      <c r="F570" t="s">
        <v>5626</v>
      </c>
      <c r="G570" t="s">
        <v>4933</v>
      </c>
    </row>
    <row r="571" spans="4:7" x14ac:dyDescent="0.25">
      <c r="D571" t="s">
        <v>5112</v>
      </c>
      <c r="F571" t="s">
        <v>5627</v>
      </c>
      <c r="G571" t="s">
        <v>4934</v>
      </c>
    </row>
    <row r="572" spans="4:7" x14ac:dyDescent="0.25">
      <c r="D572" t="s">
        <v>5113</v>
      </c>
      <c r="F572" t="s">
        <v>5628</v>
      </c>
      <c r="G572" t="s">
        <v>4935</v>
      </c>
    </row>
    <row r="573" spans="4:7" x14ac:dyDescent="0.25">
      <c r="D573" t="s">
        <v>5114</v>
      </c>
      <c r="F573" t="s">
        <v>5629</v>
      </c>
      <c r="G573" t="s">
        <v>4936</v>
      </c>
    </row>
    <row r="574" spans="4:7" x14ac:dyDescent="0.25">
      <c r="D574" t="s">
        <v>5115</v>
      </c>
      <c r="F574" t="s">
        <v>5630</v>
      </c>
      <c r="G574" t="s">
        <v>3598</v>
      </c>
    </row>
    <row r="575" spans="4:7" x14ac:dyDescent="0.25">
      <c r="D575" t="s">
        <v>5116</v>
      </c>
      <c r="F575" t="s">
        <v>5631</v>
      </c>
      <c r="G575" t="s">
        <v>3599</v>
      </c>
    </row>
    <row r="576" spans="4:7" x14ac:dyDescent="0.25">
      <c r="D576" t="s">
        <v>4320</v>
      </c>
      <c r="F576" t="s">
        <v>5632</v>
      </c>
      <c r="G576" t="s">
        <v>5408</v>
      </c>
    </row>
    <row r="577" spans="4:7" x14ac:dyDescent="0.25">
      <c r="D577" t="s">
        <v>5117</v>
      </c>
      <c r="F577" t="s">
        <v>5633</v>
      </c>
      <c r="G577" t="s">
        <v>5409</v>
      </c>
    </row>
    <row r="578" spans="4:7" x14ac:dyDescent="0.25">
      <c r="D578" t="s">
        <v>4321</v>
      </c>
      <c r="F578" t="s">
        <v>5634</v>
      </c>
      <c r="G578" t="s">
        <v>5410</v>
      </c>
    </row>
    <row r="579" spans="4:7" x14ac:dyDescent="0.25">
      <c r="D579" t="s">
        <v>5118</v>
      </c>
      <c r="F579" t="s">
        <v>5635</v>
      </c>
      <c r="G579" t="s">
        <v>5411</v>
      </c>
    </row>
    <row r="580" spans="4:7" x14ac:dyDescent="0.25">
      <c r="D580" t="s">
        <v>5119</v>
      </c>
      <c r="F580" t="s">
        <v>5636</v>
      </c>
      <c r="G580" t="s">
        <v>5412</v>
      </c>
    </row>
    <row r="581" spans="4:7" x14ac:dyDescent="0.25">
      <c r="D581" t="s">
        <v>5120</v>
      </c>
      <c r="F581" t="s">
        <v>5637</v>
      </c>
      <c r="G581" t="s">
        <v>3601</v>
      </c>
    </row>
    <row r="582" spans="4:7" x14ac:dyDescent="0.25">
      <c r="D582" t="s">
        <v>5121</v>
      </c>
      <c r="F582" t="s">
        <v>5638</v>
      </c>
      <c r="G582" t="s">
        <v>3602</v>
      </c>
    </row>
    <row r="583" spans="4:7" x14ac:dyDescent="0.25">
      <c r="D583" t="s">
        <v>5122</v>
      </c>
      <c r="F583" t="s">
        <v>5639</v>
      </c>
      <c r="G583" t="s">
        <v>4938</v>
      </c>
    </row>
    <row r="584" spans="4:7" x14ac:dyDescent="0.25">
      <c r="D584" t="s">
        <v>4322</v>
      </c>
      <c r="F584" t="s">
        <v>5640</v>
      </c>
      <c r="G584" t="s">
        <v>5955</v>
      </c>
    </row>
    <row r="585" spans="4:7" x14ac:dyDescent="0.25">
      <c r="D585" t="s">
        <v>5123</v>
      </c>
      <c r="F585" t="s">
        <v>5641</v>
      </c>
      <c r="G585" t="s">
        <v>4939</v>
      </c>
    </row>
    <row r="586" spans="4:7" x14ac:dyDescent="0.25">
      <c r="D586" t="s">
        <v>5124</v>
      </c>
      <c r="F586" t="s">
        <v>5642</v>
      </c>
      <c r="G586" t="s">
        <v>4940</v>
      </c>
    </row>
    <row r="587" spans="4:7" x14ac:dyDescent="0.25">
      <c r="D587" t="s">
        <v>5125</v>
      </c>
      <c r="F587" t="s">
        <v>5643</v>
      </c>
      <c r="G587" t="s">
        <v>4941</v>
      </c>
    </row>
    <row r="588" spans="4:7" x14ac:dyDescent="0.25">
      <c r="D588" t="s">
        <v>5126</v>
      </c>
      <c r="F588" t="s">
        <v>5644</v>
      </c>
      <c r="G588" t="s">
        <v>4942</v>
      </c>
    </row>
    <row r="589" spans="4:7" x14ac:dyDescent="0.25">
      <c r="D589" t="s">
        <v>5127</v>
      </c>
      <c r="F589" t="s">
        <v>5645</v>
      </c>
      <c r="G589" t="s">
        <v>3603</v>
      </c>
    </row>
    <row r="590" spans="4:7" x14ac:dyDescent="0.25">
      <c r="D590" t="s">
        <v>5128</v>
      </c>
      <c r="F590" t="s">
        <v>5646</v>
      </c>
      <c r="G590" t="s">
        <v>3604</v>
      </c>
    </row>
    <row r="591" spans="4:7" x14ac:dyDescent="0.25">
      <c r="D591" t="s">
        <v>5129</v>
      </c>
      <c r="F591" t="s">
        <v>5647</v>
      </c>
      <c r="G591" t="s">
        <v>3605</v>
      </c>
    </row>
    <row r="592" spans="4:7" x14ac:dyDescent="0.25">
      <c r="D592" t="s">
        <v>4323</v>
      </c>
      <c r="F592" t="s">
        <v>5648</v>
      </c>
      <c r="G592" t="s">
        <v>4264</v>
      </c>
    </row>
    <row r="593" spans="4:7" x14ac:dyDescent="0.25">
      <c r="D593" t="s">
        <v>5130</v>
      </c>
      <c r="F593" t="s">
        <v>5649</v>
      </c>
      <c r="G593" t="s">
        <v>4943</v>
      </c>
    </row>
    <row r="594" spans="4:7" x14ac:dyDescent="0.25">
      <c r="D594" t="s">
        <v>5131</v>
      </c>
      <c r="F594" t="s">
        <v>5650</v>
      </c>
      <c r="G594" t="s">
        <v>4944</v>
      </c>
    </row>
    <row r="595" spans="4:7" x14ac:dyDescent="0.25">
      <c r="D595" t="s">
        <v>4324</v>
      </c>
      <c r="F595" t="s">
        <v>5651</v>
      </c>
      <c r="G595" t="s">
        <v>4945</v>
      </c>
    </row>
    <row r="596" spans="4:7" x14ac:dyDescent="0.25">
      <c r="D596" t="s">
        <v>5132</v>
      </c>
      <c r="F596" t="s">
        <v>5652</v>
      </c>
      <c r="G596" t="s">
        <v>4946</v>
      </c>
    </row>
    <row r="597" spans="4:7" x14ac:dyDescent="0.25">
      <c r="D597" t="s">
        <v>5133</v>
      </c>
      <c r="F597" t="s">
        <v>5653</v>
      </c>
      <c r="G597" t="s">
        <v>3607</v>
      </c>
    </row>
    <row r="598" spans="4:7" x14ac:dyDescent="0.25">
      <c r="D598" t="s">
        <v>4325</v>
      </c>
      <c r="F598" t="s">
        <v>5654</v>
      </c>
      <c r="G598" t="s">
        <v>3608</v>
      </c>
    </row>
    <row r="599" spans="4:7" x14ac:dyDescent="0.25">
      <c r="D599" t="s">
        <v>4326</v>
      </c>
      <c r="F599" t="s">
        <v>5655</v>
      </c>
      <c r="G599" t="s">
        <v>3609</v>
      </c>
    </row>
    <row r="600" spans="4:7" x14ac:dyDescent="0.25">
      <c r="D600" t="s">
        <v>5134</v>
      </c>
      <c r="F600" t="s">
        <v>5656</v>
      </c>
      <c r="G600" t="s">
        <v>4265</v>
      </c>
    </row>
    <row r="601" spans="4:7" x14ac:dyDescent="0.25">
      <c r="D601" t="s">
        <v>5135</v>
      </c>
      <c r="F601" t="s">
        <v>5657</v>
      </c>
      <c r="G601" t="s">
        <v>3611</v>
      </c>
    </row>
    <row r="602" spans="4:7" x14ac:dyDescent="0.25">
      <c r="D602" t="s">
        <v>5136</v>
      </c>
      <c r="F602" t="s">
        <v>5658</v>
      </c>
      <c r="G602" t="s">
        <v>3612</v>
      </c>
    </row>
    <row r="603" spans="4:7" x14ac:dyDescent="0.25">
      <c r="D603" t="s">
        <v>5137</v>
      </c>
      <c r="F603" t="s">
        <v>5659</v>
      </c>
      <c r="G603" t="s">
        <v>3613</v>
      </c>
    </row>
    <row r="604" spans="4:7" x14ac:dyDescent="0.25">
      <c r="D604" t="s">
        <v>5138</v>
      </c>
      <c r="F604" t="s">
        <v>5660</v>
      </c>
      <c r="G604" t="s">
        <v>3614</v>
      </c>
    </row>
    <row r="605" spans="4:7" x14ac:dyDescent="0.25">
      <c r="D605" t="s">
        <v>4327</v>
      </c>
      <c r="F605" t="s">
        <v>5661</v>
      </c>
      <c r="G605" t="s">
        <v>3615</v>
      </c>
    </row>
    <row r="606" spans="4:7" x14ac:dyDescent="0.25">
      <c r="D606" t="s">
        <v>5139</v>
      </c>
      <c r="F606" t="s">
        <v>5662</v>
      </c>
      <c r="G606" t="s">
        <v>3616</v>
      </c>
    </row>
    <row r="607" spans="4:7" x14ac:dyDescent="0.25">
      <c r="D607" t="s">
        <v>4328</v>
      </c>
      <c r="F607" t="s">
        <v>5663</v>
      </c>
      <c r="G607" t="s">
        <v>5413</v>
      </c>
    </row>
    <row r="608" spans="4:7" x14ac:dyDescent="0.25">
      <c r="D608" t="s">
        <v>5140</v>
      </c>
      <c r="F608" t="s">
        <v>5664</v>
      </c>
      <c r="G608" t="s">
        <v>5956</v>
      </c>
    </row>
    <row r="609" spans="4:7" x14ac:dyDescent="0.25">
      <c r="D609" t="s">
        <v>5141</v>
      </c>
      <c r="F609" t="s">
        <v>5665</v>
      </c>
      <c r="G609" t="s">
        <v>5415</v>
      </c>
    </row>
    <row r="610" spans="4:7" x14ac:dyDescent="0.25">
      <c r="D610" t="s">
        <v>5142</v>
      </c>
      <c r="F610" t="s">
        <v>5666</v>
      </c>
      <c r="G610" t="s">
        <v>5416</v>
      </c>
    </row>
    <row r="611" spans="4:7" x14ac:dyDescent="0.25">
      <c r="D611" t="s">
        <v>5143</v>
      </c>
      <c r="F611" t="s">
        <v>5667</v>
      </c>
      <c r="G611" t="s">
        <v>5417</v>
      </c>
    </row>
    <row r="612" spans="4:7" x14ac:dyDescent="0.25">
      <c r="D612" t="s">
        <v>5144</v>
      </c>
      <c r="F612" t="s">
        <v>5668</v>
      </c>
      <c r="G612" t="s">
        <v>5418</v>
      </c>
    </row>
    <row r="613" spans="4:7" x14ac:dyDescent="0.25">
      <c r="D613" t="s">
        <v>5145</v>
      </c>
      <c r="F613" t="s">
        <v>5669</v>
      </c>
      <c r="G613" t="s">
        <v>3618</v>
      </c>
    </row>
    <row r="614" spans="4:7" x14ac:dyDescent="0.25">
      <c r="D614" t="s">
        <v>5146</v>
      </c>
      <c r="F614" t="s">
        <v>5670</v>
      </c>
      <c r="G614" t="s">
        <v>3619</v>
      </c>
    </row>
    <row r="615" spans="4:7" x14ac:dyDescent="0.25">
      <c r="D615" t="s">
        <v>4329</v>
      </c>
      <c r="F615" t="s">
        <v>5671</v>
      </c>
      <c r="G615" t="s">
        <v>3620</v>
      </c>
    </row>
    <row r="616" spans="4:7" x14ac:dyDescent="0.25">
      <c r="D616" t="s">
        <v>5147</v>
      </c>
      <c r="F616" t="s">
        <v>5672</v>
      </c>
      <c r="G616" t="s">
        <v>5419</v>
      </c>
    </row>
    <row r="617" spans="4:7" x14ac:dyDescent="0.25">
      <c r="D617" t="s">
        <v>5148</v>
      </c>
      <c r="F617" t="s">
        <v>5673</v>
      </c>
      <c r="G617" t="s">
        <v>5420</v>
      </c>
    </row>
    <row r="618" spans="4:7" x14ac:dyDescent="0.25">
      <c r="D618" t="s">
        <v>5149</v>
      </c>
      <c r="F618" t="s">
        <v>5674</v>
      </c>
      <c r="G618" t="s">
        <v>5421</v>
      </c>
    </row>
    <row r="619" spans="4:7" x14ac:dyDescent="0.25">
      <c r="D619" t="s">
        <v>5150</v>
      </c>
      <c r="F619" t="s">
        <v>5675</v>
      </c>
      <c r="G619" t="s">
        <v>5422</v>
      </c>
    </row>
    <row r="620" spans="4:7" x14ac:dyDescent="0.25">
      <c r="D620" t="s">
        <v>5151</v>
      </c>
      <c r="F620" t="s">
        <v>5676</v>
      </c>
      <c r="G620" t="s">
        <v>5423</v>
      </c>
    </row>
    <row r="621" spans="4:7" x14ac:dyDescent="0.25">
      <c r="D621" t="s">
        <v>5152</v>
      </c>
      <c r="F621" t="s">
        <v>5677</v>
      </c>
      <c r="G621" t="s">
        <v>3622</v>
      </c>
    </row>
    <row r="622" spans="4:7" x14ac:dyDescent="0.25">
      <c r="D622" t="s">
        <v>5153</v>
      </c>
      <c r="F622" t="s">
        <v>5678</v>
      </c>
      <c r="G622" t="s">
        <v>3623</v>
      </c>
    </row>
    <row r="623" spans="4:7" x14ac:dyDescent="0.25">
      <c r="D623" t="s">
        <v>5154</v>
      </c>
      <c r="F623" t="s">
        <v>5679</v>
      </c>
      <c r="G623" t="s">
        <v>3624</v>
      </c>
    </row>
    <row r="624" spans="4:7" x14ac:dyDescent="0.25">
      <c r="D624" t="s">
        <v>5155</v>
      </c>
      <c r="F624" t="s">
        <v>5680</v>
      </c>
      <c r="G624" t="s">
        <v>3625</v>
      </c>
    </row>
    <row r="625" spans="4:7" x14ac:dyDescent="0.25">
      <c r="D625" t="s">
        <v>5156</v>
      </c>
      <c r="F625" t="s">
        <v>5681</v>
      </c>
      <c r="G625" t="s">
        <v>4952</v>
      </c>
    </row>
    <row r="626" spans="4:7" x14ac:dyDescent="0.25">
      <c r="D626" t="s">
        <v>5157</v>
      </c>
      <c r="F626" t="s">
        <v>5682</v>
      </c>
      <c r="G626" t="s">
        <v>4267</v>
      </c>
    </row>
    <row r="627" spans="4:7" x14ac:dyDescent="0.25">
      <c r="D627" t="s">
        <v>5158</v>
      </c>
      <c r="F627" t="s">
        <v>5683</v>
      </c>
      <c r="G627" t="s">
        <v>5957</v>
      </c>
    </row>
    <row r="628" spans="4:7" x14ac:dyDescent="0.25">
      <c r="D628" t="s">
        <v>5159</v>
      </c>
      <c r="F628" t="s">
        <v>5684</v>
      </c>
      <c r="G628" t="s">
        <v>5958</v>
      </c>
    </row>
    <row r="629" spans="4:7" x14ac:dyDescent="0.25">
      <c r="D629" t="s">
        <v>5160</v>
      </c>
      <c r="F629" t="s">
        <v>5685</v>
      </c>
      <c r="G629" t="s">
        <v>5959</v>
      </c>
    </row>
    <row r="630" spans="4:7" x14ac:dyDescent="0.25">
      <c r="D630" t="s">
        <v>5161</v>
      </c>
      <c r="F630" t="s">
        <v>5686</v>
      </c>
      <c r="G630" t="s">
        <v>5960</v>
      </c>
    </row>
    <row r="631" spans="4:7" x14ac:dyDescent="0.25">
      <c r="D631" t="s">
        <v>5162</v>
      </c>
      <c r="F631" t="s">
        <v>5687</v>
      </c>
      <c r="G631" t="s">
        <v>3627</v>
      </c>
    </row>
    <row r="632" spans="4:7" x14ac:dyDescent="0.25">
      <c r="D632" t="s">
        <v>5163</v>
      </c>
      <c r="F632" t="s">
        <v>5688</v>
      </c>
      <c r="G632" t="s">
        <v>3628</v>
      </c>
    </row>
    <row r="633" spans="4:7" x14ac:dyDescent="0.25">
      <c r="D633" t="s">
        <v>5164</v>
      </c>
      <c r="F633" t="s">
        <v>5689</v>
      </c>
      <c r="G633" t="s">
        <v>3629</v>
      </c>
    </row>
    <row r="634" spans="4:7" x14ac:dyDescent="0.25">
      <c r="D634" t="s">
        <v>5165</v>
      </c>
      <c r="F634" t="s">
        <v>5690</v>
      </c>
      <c r="G634" t="s">
        <v>5425</v>
      </c>
    </row>
    <row r="635" spans="4:7" x14ac:dyDescent="0.25">
      <c r="D635" t="s">
        <v>5166</v>
      </c>
      <c r="F635" t="s">
        <v>5691</v>
      </c>
      <c r="G635" t="s">
        <v>5426</v>
      </c>
    </row>
    <row r="636" spans="4:7" x14ac:dyDescent="0.25">
      <c r="D636" t="s">
        <v>5167</v>
      </c>
      <c r="F636" t="s">
        <v>5692</v>
      </c>
      <c r="G636" t="s">
        <v>5427</v>
      </c>
    </row>
    <row r="637" spans="4:7" x14ac:dyDescent="0.25">
      <c r="D637" t="s">
        <v>5168</v>
      </c>
      <c r="F637" t="s">
        <v>5693</v>
      </c>
      <c r="G637" t="s">
        <v>5428</v>
      </c>
    </row>
    <row r="638" spans="4:7" x14ac:dyDescent="0.25">
      <c r="D638" t="s">
        <v>5169</v>
      </c>
      <c r="F638" t="s">
        <v>5694</v>
      </c>
      <c r="G638" t="s">
        <v>3631</v>
      </c>
    </row>
    <row r="639" spans="4:7" x14ac:dyDescent="0.25">
      <c r="D639" t="s">
        <v>5170</v>
      </c>
      <c r="F639" t="s">
        <v>5695</v>
      </c>
      <c r="G639" t="s">
        <v>3632</v>
      </c>
    </row>
    <row r="640" spans="4:7" x14ac:dyDescent="0.25">
      <c r="D640" t="s">
        <v>5171</v>
      </c>
      <c r="F640" t="s">
        <v>5696</v>
      </c>
      <c r="G640" t="s">
        <v>3633</v>
      </c>
    </row>
    <row r="641" spans="4:7" x14ac:dyDescent="0.25">
      <c r="D641" t="s">
        <v>5172</v>
      </c>
      <c r="F641" t="s">
        <v>5697</v>
      </c>
      <c r="G641" t="s">
        <v>4268</v>
      </c>
    </row>
    <row r="642" spans="4:7" x14ac:dyDescent="0.25">
      <c r="D642" t="s">
        <v>5173</v>
      </c>
      <c r="F642" t="s">
        <v>5698</v>
      </c>
      <c r="G642" t="s">
        <v>3635</v>
      </c>
    </row>
    <row r="643" spans="4:7" x14ac:dyDescent="0.25">
      <c r="D643" t="s">
        <v>5174</v>
      </c>
      <c r="F643" t="s">
        <v>5699</v>
      </c>
      <c r="G643" t="s">
        <v>3636</v>
      </c>
    </row>
    <row r="644" spans="4:7" x14ac:dyDescent="0.25">
      <c r="D644" t="s">
        <v>5175</v>
      </c>
      <c r="F644" t="s">
        <v>5700</v>
      </c>
      <c r="G644" t="s">
        <v>3637</v>
      </c>
    </row>
    <row r="645" spans="4:7" x14ac:dyDescent="0.25">
      <c r="D645" t="s">
        <v>5176</v>
      </c>
      <c r="F645" t="s">
        <v>5701</v>
      </c>
      <c r="G645" t="s">
        <v>3638</v>
      </c>
    </row>
    <row r="646" spans="4:7" x14ac:dyDescent="0.25">
      <c r="D646" t="s">
        <v>5177</v>
      </c>
      <c r="F646" t="s">
        <v>5702</v>
      </c>
      <c r="G646" t="s">
        <v>3639</v>
      </c>
    </row>
    <row r="647" spans="4:7" x14ac:dyDescent="0.25">
      <c r="D647" t="s">
        <v>5178</v>
      </c>
      <c r="F647" t="s">
        <v>5703</v>
      </c>
      <c r="G647" t="s">
        <v>3640</v>
      </c>
    </row>
    <row r="648" spans="4:7" x14ac:dyDescent="0.25">
      <c r="D648" t="s">
        <v>5179</v>
      </c>
      <c r="F648" t="s">
        <v>5704</v>
      </c>
      <c r="G648" t="s">
        <v>3641</v>
      </c>
    </row>
    <row r="649" spans="4:7" x14ac:dyDescent="0.25">
      <c r="D649" t="s">
        <v>5180</v>
      </c>
      <c r="F649" t="s">
        <v>5705</v>
      </c>
      <c r="G649" t="s">
        <v>5961</v>
      </c>
    </row>
    <row r="650" spans="4:7" x14ac:dyDescent="0.25">
      <c r="D650" t="s">
        <v>5181</v>
      </c>
      <c r="F650" t="s">
        <v>5706</v>
      </c>
      <c r="G650" t="s">
        <v>3643</v>
      </c>
    </row>
    <row r="651" spans="4:7" x14ac:dyDescent="0.25">
      <c r="D651" t="s">
        <v>5182</v>
      </c>
      <c r="F651" t="s">
        <v>5707</v>
      </c>
      <c r="G651" t="s">
        <v>3644</v>
      </c>
    </row>
    <row r="652" spans="4:7" x14ac:dyDescent="0.25">
      <c r="D652" t="s">
        <v>5183</v>
      </c>
      <c r="F652" t="s">
        <v>5708</v>
      </c>
      <c r="G652" t="s">
        <v>3645</v>
      </c>
    </row>
    <row r="653" spans="4:7" x14ac:dyDescent="0.25">
      <c r="D653" t="s">
        <v>5184</v>
      </c>
      <c r="F653" t="s">
        <v>5709</v>
      </c>
      <c r="G653" t="s">
        <v>3646</v>
      </c>
    </row>
    <row r="654" spans="4:7" x14ac:dyDescent="0.25">
      <c r="D654" t="s">
        <v>5185</v>
      </c>
      <c r="F654" t="s">
        <v>5710</v>
      </c>
      <c r="G654" t="s">
        <v>3647</v>
      </c>
    </row>
    <row r="655" spans="4:7" x14ac:dyDescent="0.25">
      <c r="D655" t="s">
        <v>5186</v>
      </c>
      <c r="F655" t="s">
        <v>5711</v>
      </c>
      <c r="G655" t="s">
        <v>3648</v>
      </c>
    </row>
    <row r="656" spans="4:7" x14ac:dyDescent="0.25">
      <c r="D656" t="s">
        <v>5187</v>
      </c>
      <c r="F656" t="s">
        <v>5712</v>
      </c>
      <c r="G656" t="s">
        <v>4953</v>
      </c>
    </row>
    <row r="657" spans="4:7" x14ac:dyDescent="0.25">
      <c r="D657" t="s">
        <v>5188</v>
      </c>
      <c r="F657" t="s">
        <v>5713</v>
      </c>
      <c r="G657" t="s">
        <v>5429</v>
      </c>
    </row>
    <row r="658" spans="4:7" x14ac:dyDescent="0.25">
      <c r="D658" t="s">
        <v>5189</v>
      </c>
      <c r="F658" t="s">
        <v>5714</v>
      </c>
      <c r="G658" t="s">
        <v>5430</v>
      </c>
    </row>
    <row r="659" spans="4:7" x14ac:dyDescent="0.25">
      <c r="D659" t="s">
        <v>5190</v>
      </c>
      <c r="F659" t="s">
        <v>5715</v>
      </c>
      <c r="G659" t="s">
        <v>5431</v>
      </c>
    </row>
    <row r="660" spans="4:7" x14ac:dyDescent="0.25">
      <c r="D660" t="s">
        <v>5191</v>
      </c>
      <c r="F660" t="s">
        <v>5716</v>
      </c>
      <c r="G660" t="s">
        <v>5432</v>
      </c>
    </row>
    <row r="661" spans="4:7" x14ac:dyDescent="0.25">
      <c r="D661" t="s">
        <v>5192</v>
      </c>
      <c r="F661" t="s">
        <v>5717</v>
      </c>
      <c r="G661" t="s">
        <v>3649</v>
      </c>
    </row>
    <row r="662" spans="4:7" x14ac:dyDescent="0.25">
      <c r="D662" t="s">
        <v>5193</v>
      </c>
      <c r="F662" t="s">
        <v>5718</v>
      </c>
      <c r="G662" t="s">
        <v>3650</v>
      </c>
    </row>
    <row r="663" spans="4:7" x14ac:dyDescent="0.25">
      <c r="D663" t="s">
        <v>5194</v>
      </c>
      <c r="F663" t="s">
        <v>5719</v>
      </c>
      <c r="G663" t="s">
        <v>3657</v>
      </c>
    </row>
    <row r="664" spans="4:7" x14ac:dyDescent="0.25">
      <c r="D664" t="s">
        <v>5195</v>
      </c>
      <c r="F664" t="s">
        <v>5720</v>
      </c>
      <c r="G664" t="s">
        <v>3658</v>
      </c>
    </row>
    <row r="665" spans="4:7" x14ac:dyDescent="0.25">
      <c r="D665" t="s">
        <v>5196</v>
      </c>
      <c r="F665" t="s">
        <v>5721</v>
      </c>
      <c r="G665" t="s">
        <v>4954</v>
      </c>
    </row>
    <row r="666" spans="4:7" x14ac:dyDescent="0.25">
      <c r="D666" t="s">
        <v>5197</v>
      </c>
      <c r="F666" t="s">
        <v>5722</v>
      </c>
      <c r="G666" t="s">
        <v>4271</v>
      </c>
    </row>
    <row r="667" spans="4:7" x14ac:dyDescent="0.25">
      <c r="D667" t="s">
        <v>5198</v>
      </c>
      <c r="F667" t="s">
        <v>5723</v>
      </c>
      <c r="G667" t="s">
        <v>4955</v>
      </c>
    </row>
    <row r="668" spans="4:7" x14ac:dyDescent="0.25">
      <c r="D668" t="s">
        <v>5199</v>
      </c>
      <c r="F668" t="s">
        <v>5724</v>
      </c>
      <c r="G668" t="s">
        <v>5434</v>
      </c>
    </row>
    <row r="669" spans="4:7" x14ac:dyDescent="0.25">
      <c r="D669" t="s">
        <v>5200</v>
      </c>
      <c r="F669" t="s">
        <v>5725</v>
      </c>
      <c r="G669" t="s">
        <v>5435</v>
      </c>
    </row>
    <row r="670" spans="4:7" x14ac:dyDescent="0.25">
      <c r="D670" t="s">
        <v>5201</v>
      </c>
      <c r="F670" t="s">
        <v>5726</v>
      </c>
      <c r="G670" t="s">
        <v>5436</v>
      </c>
    </row>
    <row r="671" spans="4:7" x14ac:dyDescent="0.25">
      <c r="D671" t="s">
        <v>5202</v>
      </c>
      <c r="F671" t="s">
        <v>5727</v>
      </c>
      <c r="G671" t="s">
        <v>5437</v>
      </c>
    </row>
    <row r="672" spans="4:7" x14ac:dyDescent="0.25">
      <c r="D672" t="s">
        <v>5203</v>
      </c>
      <c r="F672" t="s">
        <v>5728</v>
      </c>
      <c r="G672" t="s">
        <v>4956</v>
      </c>
    </row>
    <row r="673" spans="4:7" x14ac:dyDescent="0.25">
      <c r="D673" t="s">
        <v>5204</v>
      </c>
      <c r="F673" t="s">
        <v>5729</v>
      </c>
      <c r="G673" t="s">
        <v>4273</v>
      </c>
    </row>
    <row r="674" spans="4:7" x14ac:dyDescent="0.25">
      <c r="D674" t="s">
        <v>5205</v>
      </c>
      <c r="F674" t="s">
        <v>5730</v>
      </c>
      <c r="G674" t="s">
        <v>4957</v>
      </c>
    </row>
    <row r="675" spans="4:7" x14ac:dyDescent="0.25">
      <c r="D675" t="s">
        <v>5206</v>
      </c>
      <c r="F675" t="s">
        <v>5731</v>
      </c>
      <c r="G675" t="s">
        <v>5438</v>
      </c>
    </row>
    <row r="676" spans="4:7" x14ac:dyDescent="0.25">
      <c r="D676" t="s">
        <v>5207</v>
      </c>
      <c r="F676" t="s">
        <v>5732</v>
      </c>
      <c r="G676" t="s">
        <v>4958</v>
      </c>
    </row>
    <row r="677" spans="4:7" x14ac:dyDescent="0.25">
      <c r="D677" t="s">
        <v>5208</v>
      </c>
      <c r="F677" t="s">
        <v>5733</v>
      </c>
      <c r="G677" t="s">
        <v>4959</v>
      </c>
    </row>
    <row r="678" spans="4:7" x14ac:dyDescent="0.25">
      <c r="D678" t="s">
        <v>5209</v>
      </c>
      <c r="F678" t="s">
        <v>5734</v>
      </c>
      <c r="G678" t="s">
        <v>4960</v>
      </c>
    </row>
    <row r="679" spans="4:7" x14ac:dyDescent="0.25">
      <c r="D679" t="s">
        <v>5210</v>
      </c>
      <c r="F679" t="s">
        <v>5735</v>
      </c>
      <c r="G679" t="s">
        <v>4961</v>
      </c>
    </row>
    <row r="680" spans="4:7" x14ac:dyDescent="0.25">
      <c r="D680" t="s">
        <v>5211</v>
      </c>
      <c r="F680" t="s">
        <v>5736</v>
      </c>
      <c r="G680" t="s">
        <v>4962</v>
      </c>
    </row>
    <row r="681" spans="4:7" x14ac:dyDescent="0.25">
      <c r="D681" t="s">
        <v>5212</v>
      </c>
      <c r="F681" t="s">
        <v>5737</v>
      </c>
      <c r="G681" t="s">
        <v>3665</v>
      </c>
    </row>
    <row r="682" spans="4:7" x14ac:dyDescent="0.25">
      <c r="D682" t="s">
        <v>5213</v>
      </c>
      <c r="F682" t="s">
        <v>5738</v>
      </c>
      <c r="G682" t="s">
        <v>4963</v>
      </c>
    </row>
    <row r="683" spans="4:7" x14ac:dyDescent="0.25">
      <c r="D683" t="s">
        <v>5214</v>
      </c>
      <c r="F683" t="s">
        <v>5739</v>
      </c>
      <c r="G683" t="s">
        <v>5440</v>
      </c>
    </row>
    <row r="684" spans="4:7" x14ac:dyDescent="0.25">
      <c r="D684" t="s">
        <v>5215</v>
      </c>
      <c r="F684" t="s">
        <v>5740</v>
      </c>
      <c r="G684" t="s">
        <v>4964</v>
      </c>
    </row>
    <row r="685" spans="4:7" x14ac:dyDescent="0.25">
      <c r="D685" t="s">
        <v>5216</v>
      </c>
      <c r="F685" t="s">
        <v>5741</v>
      </c>
      <c r="G685" t="s">
        <v>4965</v>
      </c>
    </row>
    <row r="686" spans="4:7" x14ac:dyDescent="0.25">
      <c r="D686" t="s">
        <v>5217</v>
      </c>
      <c r="F686" t="s">
        <v>5742</v>
      </c>
      <c r="G686" t="s">
        <v>4966</v>
      </c>
    </row>
    <row r="687" spans="4:7" x14ac:dyDescent="0.25">
      <c r="D687" t="s">
        <v>5218</v>
      </c>
      <c r="F687" t="s">
        <v>5743</v>
      </c>
      <c r="G687" t="s">
        <v>4967</v>
      </c>
    </row>
    <row r="688" spans="4:7" x14ac:dyDescent="0.25">
      <c r="D688" t="s">
        <v>5219</v>
      </c>
      <c r="F688" t="s">
        <v>5744</v>
      </c>
      <c r="G688" t="s">
        <v>4968</v>
      </c>
    </row>
    <row r="689" spans="4:7" x14ac:dyDescent="0.25">
      <c r="D689" t="s">
        <v>5220</v>
      </c>
      <c r="F689" t="s">
        <v>5745</v>
      </c>
      <c r="G689" t="s">
        <v>4274</v>
      </c>
    </row>
    <row r="690" spans="4:7" x14ac:dyDescent="0.25">
      <c r="D690" t="s">
        <v>5221</v>
      </c>
      <c r="F690" t="s">
        <v>5746</v>
      </c>
      <c r="G690" t="s">
        <v>5962</v>
      </c>
    </row>
    <row r="691" spans="4:7" x14ac:dyDescent="0.25">
      <c r="D691" t="s">
        <v>5222</v>
      </c>
      <c r="F691" t="s">
        <v>5747</v>
      </c>
      <c r="G691" t="s">
        <v>5442</v>
      </c>
    </row>
    <row r="692" spans="4:7" x14ac:dyDescent="0.25">
      <c r="D692" t="s">
        <v>5223</v>
      </c>
      <c r="F692" t="s">
        <v>5748</v>
      </c>
      <c r="G692" t="s">
        <v>5444</v>
      </c>
    </row>
    <row r="693" spans="4:7" x14ac:dyDescent="0.25">
      <c r="D693" t="s">
        <v>5224</v>
      </c>
      <c r="F693" t="s">
        <v>5749</v>
      </c>
      <c r="G693" t="s">
        <v>5445</v>
      </c>
    </row>
    <row r="694" spans="4:7" x14ac:dyDescent="0.25">
      <c r="D694" t="s">
        <v>5225</v>
      </c>
      <c r="F694" t="s">
        <v>5750</v>
      </c>
      <c r="G694" t="s">
        <v>5446</v>
      </c>
    </row>
    <row r="695" spans="4:7" x14ac:dyDescent="0.25">
      <c r="D695" t="s">
        <v>5226</v>
      </c>
      <c r="F695" t="s">
        <v>5751</v>
      </c>
      <c r="G695" t="s">
        <v>5447</v>
      </c>
    </row>
    <row r="696" spans="4:7" x14ac:dyDescent="0.25">
      <c r="D696" t="s">
        <v>5227</v>
      </c>
      <c r="F696" t="s">
        <v>5752</v>
      </c>
      <c r="G696" t="s">
        <v>4969</v>
      </c>
    </row>
    <row r="697" spans="4:7" x14ac:dyDescent="0.25">
      <c r="D697" t="s">
        <v>5228</v>
      </c>
      <c r="F697" t="s">
        <v>5753</v>
      </c>
      <c r="G697" t="s">
        <v>4275</v>
      </c>
    </row>
    <row r="698" spans="4:7" x14ac:dyDescent="0.25">
      <c r="D698" t="s">
        <v>5229</v>
      </c>
      <c r="F698" t="s">
        <v>3672</v>
      </c>
      <c r="G698" t="s">
        <v>4975</v>
      </c>
    </row>
    <row r="699" spans="4:7" x14ac:dyDescent="0.25">
      <c r="D699" t="s">
        <v>5230</v>
      </c>
      <c r="F699" t="s">
        <v>3673</v>
      </c>
      <c r="G699" t="s">
        <v>4276</v>
      </c>
    </row>
    <row r="700" spans="4:7" x14ac:dyDescent="0.25">
      <c r="D700" t="s">
        <v>5231</v>
      </c>
      <c r="F700" t="s">
        <v>3674</v>
      </c>
      <c r="G700" t="s">
        <v>4976</v>
      </c>
    </row>
    <row r="701" spans="4:7" x14ac:dyDescent="0.25">
      <c r="D701" t="s">
        <v>5232</v>
      </c>
      <c r="F701" t="s">
        <v>3675</v>
      </c>
      <c r="G701" t="s">
        <v>5963</v>
      </c>
    </row>
    <row r="702" spans="4:7" x14ac:dyDescent="0.25">
      <c r="D702" t="s">
        <v>5233</v>
      </c>
      <c r="F702" t="s">
        <v>3676</v>
      </c>
      <c r="G702" t="s">
        <v>5964</v>
      </c>
    </row>
    <row r="703" spans="4:7" x14ac:dyDescent="0.25">
      <c r="D703" t="s">
        <v>5234</v>
      </c>
      <c r="F703" t="s">
        <v>3677</v>
      </c>
      <c r="G703" t="s">
        <v>5965</v>
      </c>
    </row>
    <row r="704" spans="4:7" x14ac:dyDescent="0.25">
      <c r="D704" t="s">
        <v>5235</v>
      </c>
      <c r="F704" t="s">
        <v>5754</v>
      </c>
      <c r="G704" t="s">
        <v>5966</v>
      </c>
    </row>
    <row r="705" spans="4:7" x14ac:dyDescent="0.25">
      <c r="D705" t="s">
        <v>5236</v>
      </c>
      <c r="F705" t="s">
        <v>3678</v>
      </c>
      <c r="G705" t="s">
        <v>4977</v>
      </c>
    </row>
    <row r="706" spans="4:7" x14ac:dyDescent="0.25">
      <c r="D706" t="s">
        <v>5237</v>
      </c>
      <c r="F706" t="s">
        <v>5755</v>
      </c>
      <c r="G706" t="s">
        <v>4277</v>
      </c>
    </row>
    <row r="707" spans="4:7" x14ac:dyDescent="0.25">
      <c r="F707" t="s">
        <v>3679</v>
      </c>
      <c r="G707" t="s">
        <v>4978</v>
      </c>
    </row>
    <row r="708" spans="4:7" x14ac:dyDescent="0.25">
      <c r="F708" t="s">
        <v>3680</v>
      </c>
      <c r="G708" t="s">
        <v>4278</v>
      </c>
    </row>
    <row r="709" spans="4:7" x14ac:dyDescent="0.25">
      <c r="F709" t="s">
        <v>3681</v>
      </c>
      <c r="G709" t="s">
        <v>4979</v>
      </c>
    </row>
    <row r="710" spans="4:7" x14ac:dyDescent="0.25">
      <c r="F710" t="s">
        <v>3682</v>
      </c>
      <c r="G710" t="s">
        <v>4980</v>
      </c>
    </row>
    <row r="711" spans="4:7" x14ac:dyDescent="0.25">
      <c r="F711" t="s">
        <v>5756</v>
      </c>
      <c r="G711" t="s">
        <v>4981</v>
      </c>
    </row>
    <row r="712" spans="4:7" x14ac:dyDescent="0.25">
      <c r="F712" t="s">
        <v>3683</v>
      </c>
      <c r="G712" t="s">
        <v>4982</v>
      </c>
    </row>
    <row r="713" spans="4:7" x14ac:dyDescent="0.25">
      <c r="F713" t="s">
        <v>3684</v>
      </c>
      <c r="G713" t="s">
        <v>4983</v>
      </c>
    </row>
    <row r="714" spans="4:7" x14ac:dyDescent="0.25">
      <c r="F714" t="s">
        <v>3685</v>
      </c>
      <c r="G714" t="s">
        <v>4279</v>
      </c>
    </row>
    <row r="715" spans="4:7" x14ac:dyDescent="0.25">
      <c r="F715" t="s">
        <v>3686</v>
      </c>
      <c r="G715" t="s">
        <v>5448</v>
      </c>
    </row>
    <row r="716" spans="4:7" x14ac:dyDescent="0.25">
      <c r="F716" t="s">
        <v>3687</v>
      </c>
      <c r="G716" t="s">
        <v>4280</v>
      </c>
    </row>
    <row r="717" spans="4:7" x14ac:dyDescent="0.25">
      <c r="F717" t="s">
        <v>3688</v>
      </c>
      <c r="G717" t="s">
        <v>4984</v>
      </c>
    </row>
    <row r="718" spans="4:7" x14ac:dyDescent="0.25">
      <c r="F718" t="s">
        <v>3689</v>
      </c>
      <c r="G718" t="s">
        <v>4985</v>
      </c>
    </row>
    <row r="719" spans="4:7" x14ac:dyDescent="0.25">
      <c r="F719" t="s">
        <v>5757</v>
      </c>
      <c r="G719" t="s">
        <v>4986</v>
      </c>
    </row>
    <row r="720" spans="4:7" x14ac:dyDescent="0.25">
      <c r="F720" t="s">
        <v>3690</v>
      </c>
      <c r="G720" t="s">
        <v>4987</v>
      </c>
    </row>
    <row r="721" spans="6:7" x14ac:dyDescent="0.25">
      <c r="F721" t="s">
        <v>3691</v>
      </c>
      <c r="G721" t="s">
        <v>4988</v>
      </c>
    </row>
    <row r="722" spans="6:7" x14ac:dyDescent="0.25">
      <c r="F722" t="s">
        <v>5758</v>
      </c>
      <c r="G722" t="s">
        <v>4281</v>
      </c>
    </row>
    <row r="723" spans="6:7" x14ac:dyDescent="0.25">
      <c r="F723" t="s">
        <v>3692</v>
      </c>
      <c r="G723" t="s">
        <v>4989</v>
      </c>
    </row>
    <row r="724" spans="6:7" x14ac:dyDescent="0.25">
      <c r="F724" t="s">
        <v>3693</v>
      </c>
      <c r="G724" t="s">
        <v>4990</v>
      </c>
    </row>
    <row r="725" spans="6:7" x14ac:dyDescent="0.25">
      <c r="F725" t="s">
        <v>3694</v>
      </c>
      <c r="G725" t="s">
        <v>4991</v>
      </c>
    </row>
    <row r="726" spans="6:7" x14ac:dyDescent="0.25">
      <c r="F726" t="s">
        <v>3695</v>
      </c>
      <c r="G726" t="s">
        <v>4992</v>
      </c>
    </row>
    <row r="727" spans="6:7" x14ac:dyDescent="0.25">
      <c r="F727" t="s">
        <v>3696</v>
      </c>
      <c r="G727" t="s">
        <v>4993</v>
      </c>
    </row>
    <row r="728" spans="6:7" x14ac:dyDescent="0.25">
      <c r="F728" t="s">
        <v>3697</v>
      </c>
      <c r="G728" t="s">
        <v>4994</v>
      </c>
    </row>
    <row r="729" spans="6:7" x14ac:dyDescent="0.25">
      <c r="F729" t="s">
        <v>3698</v>
      </c>
      <c r="G729" t="s">
        <v>4282</v>
      </c>
    </row>
    <row r="730" spans="6:7" x14ac:dyDescent="0.25">
      <c r="F730" t="s">
        <v>5759</v>
      </c>
      <c r="G730" t="s">
        <v>4283</v>
      </c>
    </row>
    <row r="731" spans="6:7" x14ac:dyDescent="0.25">
      <c r="F731" t="s">
        <v>3699</v>
      </c>
      <c r="G731" t="s">
        <v>4284</v>
      </c>
    </row>
    <row r="732" spans="6:7" x14ac:dyDescent="0.25">
      <c r="F732" t="s">
        <v>3700</v>
      </c>
      <c r="G732" t="s">
        <v>4285</v>
      </c>
    </row>
    <row r="733" spans="6:7" x14ac:dyDescent="0.25">
      <c r="F733" t="s">
        <v>3701</v>
      </c>
      <c r="G733" t="s">
        <v>4995</v>
      </c>
    </row>
    <row r="734" spans="6:7" x14ac:dyDescent="0.25">
      <c r="F734" t="s">
        <v>3702</v>
      </c>
      <c r="G734" t="s">
        <v>4996</v>
      </c>
    </row>
    <row r="735" spans="6:7" x14ac:dyDescent="0.25">
      <c r="F735" t="s">
        <v>3703</v>
      </c>
      <c r="G735" t="s">
        <v>4997</v>
      </c>
    </row>
    <row r="736" spans="6:7" x14ac:dyDescent="0.25">
      <c r="F736" t="s">
        <v>3704</v>
      </c>
      <c r="G736" t="s">
        <v>4998</v>
      </c>
    </row>
    <row r="737" spans="6:6" x14ac:dyDescent="0.25">
      <c r="F737" t="s">
        <v>3705</v>
      </c>
    </row>
    <row r="738" spans="6:6" x14ac:dyDescent="0.25">
      <c r="F738" t="s">
        <v>3706</v>
      </c>
    </row>
    <row r="739" spans="6:6" x14ac:dyDescent="0.25">
      <c r="F739" t="s">
        <v>5760</v>
      </c>
    </row>
    <row r="740" spans="6:6" x14ac:dyDescent="0.25">
      <c r="F740" t="s">
        <v>5761</v>
      </c>
    </row>
    <row r="741" spans="6:6" x14ac:dyDescent="0.25">
      <c r="F741" t="s">
        <v>5762</v>
      </c>
    </row>
    <row r="742" spans="6:6" x14ac:dyDescent="0.25">
      <c r="F742" t="s">
        <v>5763</v>
      </c>
    </row>
    <row r="743" spans="6:6" x14ac:dyDescent="0.25">
      <c r="F743" t="s">
        <v>5764</v>
      </c>
    </row>
    <row r="744" spans="6:6" x14ac:dyDescent="0.25">
      <c r="F744" t="s">
        <v>3707</v>
      </c>
    </row>
    <row r="745" spans="6:6" x14ac:dyDescent="0.25">
      <c r="F745" t="s">
        <v>3708</v>
      </c>
    </row>
    <row r="746" spans="6:6" x14ac:dyDescent="0.25">
      <c r="F746" t="s">
        <v>3709</v>
      </c>
    </row>
    <row r="747" spans="6:6" x14ac:dyDescent="0.25">
      <c r="F747" t="s">
        <v>3710</v>
      </c>
    </row>
    <row r="748" spans="6:6" x14ac:dyDescent="0.25">
      <c r="F748" t="s">
        <v>3711</v>
      </c>
    </row>
    <row r="749" spans="6:6" x14ac:dyDescent="0.25">
      <c r="F749" t="s">
        <v>3712</v>
      </c>
    </row>
    <row r="750" spans="6:6" x14ac:dyDescent="0.25">
      <c r="F750" t="s">
        <v>3713</v>
      </c>
    </row>
    <row r="751" spans="6:6" x14ac:dyDescent="0.25">
      <c r="F751" t="s">
        <v>3714</v>
      </c>
    </row>
    <row r="752" spans="6:6" x14ac:dyDescent="0.25">
      <c r="F752" t="s">
        <v>3715</v>
      </c>
    </row>
    <row r="753" spans="6:6" x14ac:dyDescent="0.25">
      <c r="F753" t="s">
        <v>3716</v>
      </c>
    </row>
    <row r="754" spans="6:6" x14ac:dyDescent="0.25">
      <c r="F754" t="s">
        <v>3717</v>
      </c>
    </row>
    <row r="755" spans="6:6" x14ac:dyDescent="0.25">
      <c r="F755" t="s">
        <v>3718</v>
      </c>
    </row>
    <row r="756" spans="6:6" x14ac:dyDescent="0.25">
      <c r="F756" t="s">
        <v>3719</v>
      </c>
    </row>
    <row r="757" spans="6:6" x14ac:dyDescent="0.25">
      <c r="F757" t="s">
        <v>3720</v>
      </c>
    </row>
    <row r="758" spans="6:6" x14ac:dyDescent="0.25">
      <c r="F758" t="s">
        <v>3721</v>
      </c>
    </row>
    <row r="759" spans="6:6" x14ac:dyDescent="0.25">
      <c r="F759" t="s">
        <v>3722</v>
      </c>
    </row>
    <row r="760" spans="6:6" x14ac:dyDescent="0.25">
      <c r="F760" t="s">
        <v>5765</v>
      </c>
    </row>
    <row r="761" spans="6:6" x14ac:dyDescent="0.25">
      <c r="F761" t="s">
        <v>5766</v>
      </c>
    </row>
    <row r="762" spans="6:6" x14ac:dyDescent="0.25">
      <c r="F762" t="s">
        <v>5767</v>
      </c>
    </row>
    <row r="763" spans="6:6" x14ac:dyDescent="0.25">
      <c r="F763" t="s">
        <v>5768</v>
      </c>
    </row>
    <row r="764" spans="6:6" x14ac:dyDescent="0.25">
      <c r="F764" t="s">
        <v>5769</v>
      </c>
    </row>
    <row r="765" spans="6:6" x14ac:dyDescent="0.25">
      <c r="F765" t="s">
        <v>3723</v>
      </c>
    </row>
    <row r="766" spans="6:6" x14ac:dyDescent="0.25">
      <c r="F766" t="s">
        <v>3724</v>
      </c>
    </row>
    <row r="767" spans="6:6" x14ac:dyDescent="0.25">
      <c r="F767" t="s">
        <v>3725</v>
      </c>
    </row>
    <row r="768" spans="6:6" x14ac:dyDescent="0.25">
      <c r="F768" t="s">
        <v>3726</v>
      </c>
    </row>
    <row r="769" spans="6:6" x14ac:dyDescent="0.25">
      <c r="F769" t="s">
        <v>3727</v>
      </c>
    </row>
    <row r="770" spans="6:6" x14ac:dyDescent="0.25">
      <c r="F770" t="s">
        <v>3728</v>
      </c>
    </row>
    <row r="771" spans="6:6" x14ac:dyDescent="0.25">
      <c r="F771" t="s">
        <v>3729</v>
      </c>
    </row>
    <row r="772" spans="6:6" x14ac:dyDescent="0.25">
      <c r="F772" t="s">
        <v>3730</v>
      </c>
    </row>
    <row r="773" spans="6:6" x14ac:dyDescent="0.25">
      <c r="F773" t="s">
        <v>3731</v>
      </c>
    </row>
    <row r="774" spans="6:6" x14ac:dyDescent="0.25">
      <c r="F774" t="s">
        <v>5770</v>
      </c>
    </row>
    <row r="775" spans="6:6" x14ac:dyDescent="0.25">
      <c r="F775" t="s">
        <v>3732</v>
      </c>
    </row>
    <row r="776" spans="6:6" x14ac:dyDescent="0.25">
      <c r="F776" t="s">
        <v>3733</v>
      </c>
    </row>
    <row r="777" spans="6:6" x14ac:dyDescent="0.25">
      <c r="F777" t="s">
        <v>3734</v>
      </c>
    </row>
    <row r="778" spans="6:6" x14ac:dyDescent="0.25">
      <c r="F778" t="s">
        <v>3735</v>
      </c>
    </row>
    <row r="779" spans="6:6" x14ac:dyDescent="0.25">
      <c r="F779" t="s">
        <v>3736</v>
      </c>
    </row>
    <row r="780" spans="6:6" x14ac:dyDescent="0.25">
      <c r="F780" t="s">
        <v>3737</v>
      </c>
    </row>
    <row r="781" spans="6:6" x14ac:dyDescent="0.25">
      <c r="F781" t="s">
        <v>3738</v>
      </c>
    </row>
    <row r="782" spans="6:6" x14ac:dyDescent="0.25">
      <c r="F782" t="s">
        <v>3739</v>
      </c>
    </row>
    <row r="783" spans="6:6" x14ac:dyDescent="0.25">
      <c r="F783" t="s">
        <v>5771</v>
      </c>
    </row>
    <row r="784" spans="6:6" x14ac:dyDescent="0.25">
      <c r="F784" t="s">
        <v>3740</v>
      </c>
    </row>
    <row r="785" spans="6:6" x14ac:dyDescent="0.25">
      <c r="F785" t="s">
        <v>3741</v>
      </c>
    </row>
    <row r="786" spans="6:6" x14ac:dyDescent="0.25">
      <c r="F786" t="s">
        <v>3742</v>
      </c>
    </row>
    <row r="787" spans="6:6" x14ac:dyDescent="0.25">
      <c r="F787" t="s">
        <v>3743</v>
      </c>
    </row>
    <row r="788" spans="6:6" x14ac:dyDescent="0.25">
      <c r="F788" t="s">
        <v>3744</v>
      </c>
    </row>
    <row r="789" spans="6:6" x14ac:dyDescent="0.25">
      <c r="F789" t="s">
        <v>3745</v>
      </c>
    </row>
    <row r="790" spans="6:6" x14ac:dyDescent="0.25">
      <c r="F790" t="s">
        <v>5772</v>
      </c>
    </row>
    <row r="791" spans="6:6" x14ac:dyDescent="0.25">
      <c r="F791" t="s">
        <v>5773</v>
      </c>
    </row>
    <row r="792" spans="6:6" x14ac:dyDescent="0.25">
      <c r="F792" t="s">
        <v>3746</v>
      </c>
    </row>
    <row r="793" spans="6:6" x14ac:dyDescent="0.25">
      <c r="F793" t="s">
        <v>3747</v>
      </c>
    </row>
    <row r="794" spans="6:6" x14ac:dyDescent="0.25">
      <c r="F794" t="s">
        <v>3748</v>
      </c>
    </row>
    <row r="795" spans="6:6" x14ac:dyDescent="0.25">
      <c r="F795" t="s">
        <v>3749</v>
      </c>
    </row>
    <row r="796" spans="6:6" x14ac:dyDescent="0.25">
      <c r="F796" t="s">
        <v>3750</v>
      </c>
    </row>
    <row r="797" spans="6:6" x14ac:dyDescent="0.25">
      <c r="F797" t="s">
        <v>3751</v>
      </c>
    </row>
    <row r="798" spans="6:6" x14ac:dyDescent="0.25">
      <c r="F798" t="s">
        <v>5774</v>
      </c>
    </row>
    <row r="799" spans="6:6" x14ac:dyDescent="0.25">
      <c r="F799" t="s">
        <v>3752</v>
      </c>
    </row>
    <row r="800" spans="6:6" x14ac:dyDescent="0.25">
      <c r="F800" t="s">
        <v>3753</v>
      </c>
    </row>
    <row r="801" spans="6:6" x14ac:dyDescent="0.25">
      <c r="F801" t="s">
        <v>3754</v>
      </c>
    </row>
    <row r="802" spans="6:6" x14ac:dyDescent="0.25">
      <c r="F802" t="s">
        <v>5775</v>
      </c>
    </row>
    <row r="803" spans="6:6" x14ac:dyDescent="0.25">
      <c r="F803" t="s">
        <v>3755</v>
      </c>
    </row>
    <row r="804" spans="6:6" x14ac:dyDescent="0.25">
      <c r="F804" t="s">
        <v>3756</v>
      </c>
    </row>
    <row r="805" spans="6:6" x14ac:dyDescent="0.25">
      <c r="F805" t="s">
        <v>3757</v>
      </c>
    </row>
    <row r="806" spans="6:6" x14ac:dyDescent="0.25">
      <c r="F806" t="s">
        <v>3758</v>
      </c>
    </row>
    <row r="807" spans="6:6" x14ac:dyDescent="0.25">
      <c r="F807" t="s">
        <v>3759</v>
      </c>
    </row>
    <row r="808" spans="6:6" x14ac:dyDescent="0.25">
      <c r="F808" t="s">
        <v>3760</v>
      </c>
    </row>
    <row r="809" spans="6:6" x14ac:dyDescent="0.25">
      <c r="F809" t="s">
        <v>3761</v>
      </c>
    </row>
    <row r="810" spans="6:6" x14ac:dyDescent="0.25">
      <c r="F810" t="s">
        <v>3762</v>
      </c>
    </row>
    <row r="811" spans="6:6" x14ac:dyDescent="0.25">
      <c r="F811" t="s">
        <v>3763</v>
      </c>
    </row>
    <row r="812" spans="6:6" x14ac:dyDescent="0.25">
      <c r="F812" t="s">
        <v>3764</v>
      </c>
    </row>
    <row r="813" spans="6:6" x14ac:dyDescent="0.25">
      <c r="F813" t="s">
        <v>3765</v>
      </c>
    </row>
    <row r="814" spans="6:6" x14ac:dyDescent="0.25">
      <c r="F814" t="s">
        <v>5776</v>
      </c>
    </row>
    <row r="815" spans="6:6" x14ac:dyDescent="0.25">
      <c r="F815" t="s">
        <v>3766</v>
      </c>
    </row>
    <row r="816" spans="6:6" x14ac:dyDescent="0.25">
      <c r="F816" t="s">
        <v>3767</v>
      </c>
    </row>
    <row r="817" spans="6:6" x14ac:dyDescent="0.25">
      <c r="F817" t="s">
        <v>5777</v>
      </c>
    </row>
    <row r="818" spans="6:6" x14ac:dyDescent="0.25">
      <c r="F818" t="s">
        <v>5778</v>
      </c>
    </row>
    <row r="819" spans="6:6" x14ac:dyDescent="0.25">
      <c r="F819" t="s">
        <v>5779</v>
      </c>
    </row>
    <row r="820" spans="6:6" x14ac:dyDescent="0.25">
      <c r="F820" t="s">
        <v>5780</v>
      </c>
    </row>
    <row r="821" spans="6:6" x14ac:dyDescent="0.25">
      <c r="F821" t="s">
        <v>5781</v>
      </c>
    </row>
    <row r="822" spans="6:6" x14ac:dyDescent="0.25">
      <c r="F822" t="s">
        <v>5782</v>
      </c>
    </row>
    <row r="823" spans="6:6" x14ac:dyDescent="0.25">
      <c r="F823" t="s">
        <v>3768</v>
      </c>
    </row>
    <row r="824" spans="6:6" x14ac:dyDescent="0.25">
      <c r="F824" t="s">
        <v>3769</v>
      </c>
    </row>
    <row r="825" spans="6:6" x14ac:dyDescent="0.25">
      <c r="F825" t="s">
        <v>5783</v>
      </c>
    </row>
    <row r="826" spans="6:6" x14ac:dyDescent="0.25">
      <c r="F826" t="s">
        <v>3770</v>
      </c>
    </row>
    <row r="827" spans="6:6" x14ac:dyDescent="0.25">
      <c r="F827" t="s">
        <v>3771</v>
      </c>
    </row>
    <row r="828" spans="6:6" x14ac:dyDescent="0.25">
      <c r="F828" t="s">
        <v>3772</v>
      </c>
    </row>
    <row r="829" spans="6:6" x14ac:dyDescent="0.25">
      <c r="F829" t="s">
        <v>3773</v>
      </c>
    </row>
    <row r="830" spans="6:6" x14ac:dyDescent="0.25">
      <c r="F830" t="s">
        <v>3774</v>
      </c>
    </row>
    <row r="831" spans="6:6" x14ac:dyDescent="0.25">
      <c r="F831" t="s">
        <v>3775</v>
      </c>
    </row>
    <row r="832" spans="6:6" x14ac:dyDescent="0.25">
      <c r="F832" t="s">
        <v>3776</v>
      </c>
    </row>
    <row r="833" spans="6:6" x14ac:dyDescent="0.25">
      <c r="F833" t="s">
        <v>3777</v>
      </c>
    </row>
    <row r="834" spans="6:6" x14ac:dyDescent="0.25">
      <c r="F834" t="s">
        <v>3778</v>
      </c>
    </row>
    <row r="835" spans="6:6" x14ac:dyDescent="0.25">
      <c r="F835" t="s">
        <v>3779</v>
      </c>
    </row>
    <row r="836" spans="6:6" x14ac:dyDescent="0.25">
      <c r="F836" t="s">
        <v>3780</v>
      </c>
    </row>
    <row r="837" spans="6:6" x14ac:dyDescent="0.25">
      <c r="F837" t="s">
        <v>5784</v>
      </c>
    </row>
    <row r="838" spans="6:6" x14ac:dyDescent="0.25">
      <c r="F838" t="s">
        <v>3781</v>
      </c>
    </row>
    <row r="839" spans="6:6" x14ac:dyDescent="0.25">
      <c r="F839" t="s">
        <v>3782</v>
      </c>
    </row>
    <row r="840" spans="6:6" x14ac:dyDescent="0.25">
      <c r="F840" t="s">
        <v>5785</v>
      </c>
    </row>
    <row r="841" spans="6:6" x14ac:dyDescent="0.25">
      <c r="F841" t="s">
        <v>3783</v>
      </c>
    </row>
    <row r="842" spans="6:6" x14ac:dyDescent="0.25">
      <c r="F842" t="s">
        <v>5786</v>
      </c>
    </row>
    <row r="843" spans="6:6" x14ac:dyDescent="0.25">
      <c r="F843" t="s">
        <v>3784</v>
      </c>
    </row>
    <row r="844" spans="6:6" x14ac:dyDescent="0.25">
      <c r="F844" t="s">
        <v>3785</v>
      </c>
    </row>
    <row r="845" spans="6:6" x14ac:dyDescent="0.25">
      <c r="F845" t="s">
        <v>3786</v>
      </c>
    </row>
    <row r="846" spans="6:6" x14ac:dyDescent="0.25">
      <c r="F846" t="s">
        <v>3787</v>
      </c>
    </row>
    <row r="847" spans="6:6" x14ac:dyDescent="0.25">
      <c r="F847" t="s">
        <v>3788</v>
      </c>
    </row>
    <row r="848" spans="6:6" x14ac:dyDescent="0.25">
      <c r="F848" t="s">
        <v>3789</v>
      </c>
    </row>
    <row r="849" spans="6:6" x14ac:dyDescent="0.25">
      <c r="F849" t="s">
        <v>5787</v>
      </c>
    </row>
    <row r="850" spans="6:6" x14ac:dyDescent="0.25">
      <c r="F850" t="s">
        <v>3790</v>
      </c>
    </row>
    <row r="851" spans="6:6" x14ac:dyDescent="0.25">
      <c r="F851" t="s">
        <v>3791</v>
      </c>
    </row>
    <row r="852" spans="6:6" x14ac:dyDescent="0.25">
      <c r="F852" t="s">
        <v>3792</v>
      </c>
    </row>
    <row r="853" spans="6:6" x14ac:dyDescent="0.25">
      <c r="F853" t="s">
        <v>3793</v>
      </c>
    </row>
    <row r="854" spans="6:6" x14ac:dyDescent="0.25">
      <c r="F854" t="s">
        <v>3794</v>
      </c>
    </row>
    <row r="855" spans="6:6" x14ac:dyDescent="0.25">
      <c r="F855" t="s">
        <v>3795</v>
      </c>
    </row>
    <row r="856" spans="6:6" x14ac:dyDescent="0.25">
      <c r="F856" t="s">
        <v>3796</v>
      </c>
    </row>
    <row r="857" spans="6:6" x14ac:dyDescent="0.25">
      <c r="F857" t="s">
        <v>3797</v>
      </c>
    </row>
    <row r="858" spans="6:6" x14ac:dyDescent="0.25">
      <c r="F858" t="s">
        <v>3798</v>
      </c>
    </row>
    <row r="859" spans="6:6" x14ac:dyDescent="0.25">
      <c r="F859" t="s">
        <v>3799</v>
      </c>
    </row>
    <row r="860" spans="6:6" x14ac:dyDescent="0.25">
      <c r="F860" t="s">
        <v>5788</v>
      </c>
    </row>
    <row r="861" spans="6:6" x14ac:dyDescent="0.25">
      <c r="F861" t="s">
        <v>3800</v>
      </c>
    </row>
    <row r="862" spans="6:6" x14ac:dyDescent="0.25">
      <c r="F862" t="s">
        <v>5789</v>
      </c>
    </row>
    <row r="863" spans="6:6" x14ac:dyDescent="0.25">
      <c r="F863" t="s">
        <v>5790</v>
      </c>
    </row>
    <row r="864" spans="6:6" x14ac:dyDescent="0.25">
      <c r="F864" t="s">
        <v>5791</v>
      </c>
    </row>
    <row r="865" spans="6:6" x14ac:dyDescent="0.25">
      <c r="F865" t="s">
        <v>5792</v>
      </c>
    </row>
    <row r="866" spans="6:6" x14ac:dyDescent="0.25">
      <c r="F866" t="s">
        <v>3801</v>
      </c>
    </row>
    <row r="867" spans="6:6" x14ac:dyDescent="0.25">
      <c r="F867" t="s">
        <v>3802</v>
      </c>
    </row>
    <row r="868" spans="6:6" x14ac:dyDescent="0.25">
      <c r="F868" t="s">
        <v>3803</v>
      </c>
    </row>
    <row r="869" spans="6:6" x14ac:dyDescent="0.25">
      <c r="F869" t="s">
        <v>3804</v>
      </c>
    </row>
    <row r="870" spans="6:6" x14ac:dyDescent="0.25">
      <c r="F870" t="s">
        <v>3805</v>
      </c>
    </row>
    <row r="871" spans="6:6" x14ac:dyDescent="0.25">
      <c r="F871" t="s">
        <v>3806</v>
      </c>
    </row>
    <row r="872" spans="6:6" x14ac:dyDescent="0.25">
      <c r="F872" t="s">
        <v>3807</v>
      </c>
    </row>
    <row r="873" spans="6:6" x14ac:dyDescent="0.25">
      <c r="F873" t="s">
        <v>3808</v>
      </c>
    </row>
    <row r="874" spans="6:6" x14ac:dyDescent="0.25">
      <c r="F874" t="s">
        <v>3809</v>
      </c>
    </row>
    <row r="875" spans="6:6" x14ac:dyDescent="0.25">
      <c r="F875" t="s">
        <v>3810</v>
      </c>
    </row>
    <row r="876" spans="6:6" x14ac:dyDescent="0.25">
      <c r="F876" t="s">
        <v>3811</v>
      </c>
    </row>
    <row r="877" spans="6:6" x14ac:dyDescent="0.25">
      <c r="F877" t="s">
        <v>3812</v>
      </c>
    </row>
    <row r="878" spans="6:6" x14ac:dyDescent="0.25">
      <c r="F878" t="s">
        <v>3813</v>
      </c>
    </row>
    <row r="879" spans="6:6" x14ac:dyDescent="0.25">
      <c r="F879" t="s">
        <v>3814</v>
      </c>
    </row>
    <row r="880" spans="6:6" x14ac:dyDescent="0.25">
      <c r="F880" t="s">
        <v>3815</v>
      </c>
    </row>
    <row r="881" spans="6:6" x14ac:dyDescent="0.25">
      <c r="F881" t="s">
        <v>3816</v>
      </c>
    </row>
    <row r="882" spans="6:6" x14ac:dyDescent="0.25">
      <c r="F882" t="s">
        <v>3817</v>
      </c>
    </row>
    <row r="883" spans="6:6" x14ac:dyDescent="0.25">
      <c r="F883" t="s">
        <v>3818</v>
      </c>
    </row>
    <row r="884" spans="6:6" x14ac:dyDescent="0.25">
      <c r="F884" t="s">
        <v>3819</v>
      </c>
    </row>
    <row r="885" spans="6:6" x14ac:dyDescent="0.25">
      <c r="F885" t="s">
        <v>5793</v>
      </c>
    </row>
    <row r="886" spans="6:6" x14ac:dyDescent="0.25">
      <c r="F886" t="s">
        <v>3820</v>
      </c>
    </row>
    <row r="887" spans="6:6" x14ac:dyDescent="0.25">
      <c r="F887" t="s">
        <v>3821</v>
      </c>
    </row>
    <row r="888" spans="6:6" x14ac:dyDescent="0.25">
      <c r="F888" t="s">
        <v>3822</v>
      </c>
    </row>
    <row r="889" spans="6:6" x14ac:dyDescent="0.25">
      <c r="F889" t="s">
        <v>3823</v>
      </c>
    </row>
    <row r="890" spans="6:6" x14ac:dyDescent="0.25">
      <c r="F890" t="s">
        <v>3824</v>
      </c>
    </row>
    <row r="891" spans="6:6" x14ac:dyDescent="0.25">
      <c r="F891" t="s">
        <v>3825</v>
      </c>
    </row>
    <row r="892" spans="6:6" x14ac:dyDescent="0.25">
      <c r="F892" t="s">
        <v>5794</v>
      </c>
    </row>
    <row r="893" spans="6:6" x14ac:dyDescent="0.25">
      <c r="F893" t="s">
        <v>3826</v>
      </c>
    </row>
    <row r="894" spans="6:6" x14ac:dyDescent="0.25">
      <c r="F894" t="s">
        <v>3827</v>
      </c>
    </row>
    <row r="895" spans="6:6" x14ac:dyDescent="0.25">
      <c r="F895" t="s">
        <v>3828</v>
      </c>
    </row>
    <row r="896" spans="6:6" x14ac:dyDescent="0.25">
      <c r="F896" t="s">
        <v>3829</v>
      </c>
    </row>
    <row r="897" spans="6:6" x14ac:dyDescent="0.25">
      <c r="F897" t="s">
        <v>3830</v>
      </c>
    </row>
    <row r="898" spans="6:6" x14ac:dyDescent="0.25">
      <c r="F898" t="s">
        <v>3831</v>
      </c>
    </row>
    <row r="899" spans="6:6" x14ac:dyDescent="0.25">
      <c r="F899" t="s">
        <v>3832</v>
      </c>
    </row>
    <row r="900" spans="6:6" x14ac:dyDescent="0.25">
      <c r="F900" t="s">
        <v>3833</v>
      </c>
    </row>
    <row r="901" spans="6:6" x14ac:dyDescent="0.25">
      <c r="F901" t="s">
        <v>3834</v>
      </c>
    </row>
    <row r="902" spans="6:6" x14ac:dyDescent="0.25">
      <c r="F902" t="s">
        <v>3835</v>
      </c>
    </row>
    <row r="903" spans="6:6" x14ac:dyDescent="0.25">
      <c r="F903" t="s">
        <v>3836</v>
      </c>
    </row>
    <row r="904" spans="6:6" x14ac:dyDescent="0.25">
      <c r="F904" t="s">
        <v>5795</v>
      </c>
    </row>
    <row r="905" spans="6:6" x14ac:dyDescent="0.25">
      <c r="F905" t="s">
        <v>3837</v>
      </c>
    </row>
    <row r="906" spans="6:6" x14ac:dyDescent="0.25">
      <c r="F906" t="s">
        <v>3838</v>
      </c>
    </row>
    <row r="907" spans="6:6" x14ac:dyDescent="0.25">
      <c r="F907" t="s">
        <v>3839</v>
      </c>
    </row>
    <row r="908" spans="6:6" x14ac:dyDescent="0.25">
      <c r="F908" t="s">
        <v>3840</v>
      </c>
    </row>
    <row r="909" spans="6:6" x14ac:dyDescent="0.25">
      <c r="F909" t="s">
        <v>3841</v>
      </c>
    </row>
    <row r="910" spans="6:6" x14ac:dyDescent="0.25">
      <c r="F910" t="s">
        <v>3842</v>
      </c>
    </row>
    <row r="911" spans="6:6" x14ac:dyDescent="0.25">
      <c r="F911" t="s">
        <v>5796</v>
      </c>
    </row>
    <row r="912" spans="6:6" x14ac:dyDescent="0.25">
      <c r="F912" t="s">
        <v>5797</v>
      </c>
    </row>
    <row r="913" spans="6:6" x14ac:dyDescent="0.25">
      <c r="F913" t="s">
        <v>5798</v>
      </c>
    </row>
    <row r="914" spans="6:6" x14ac:dyDescent="0.25">
      <c r="F914" t="s">
        <v>5799</v>
      </c>
    </row>
    <row r="915" spans="6:6" x14ac:dyDescent="0.25">
      <c r="F915" t="s">
        <v>5800</v>
      </c>
    </row>
    <row r="916" spans="6:6" x14ac:dyDescent="0.25">
      <c r="F916" t="s">
        <v>5801</v>
      </c>
    </row>
    <row r="917" spans="6:6" x14ac:dyDescent="0.25">
      <c r="F917" t="s">
        <v>3843</v>
      </c>
    </row>
    <row r="918" spans="6:6" x14ac:dyDescent="0.25">
      <c r="F918" t="s">
        <v>3844</v>
      </c>
    </row>
    <row r="919" spans="6:6" x14ac:dyDescent="0.25">
      <c r="F919" t="s">
        <v>3845</v>
      </c>
    </row>
    <row r="920" spans="6:6" x14ac:dyDescent="0.25">
      <c r="F920" t="s">
        <v>3846</v>
      </c>
    </row>
    <row r="921" spans="6:6" x14ac:dyDescent="0.25">
      <c r="F921" t="s">
        <v>3847</v>
      </c>
    </row>
    <row r="922" spans="6:6" x14ac:dyDescent="0.25">
      <c r="F922" t="s">
        <v>5802</v>
      </c>
    </row>
    <row r="923" spans="6:6" x14ac:dyDescent="0.25">
      <c r="F923" t="s">
        <v>5803</v>
      </c>
    </row>
    <row r="924" spans="6:6" x14ac:dyDescent="0.25">
      <c r="F924" t="s">
        <v>5804</v>
      </c>
    </row>
    <row r="925" spans="6:6" x14ac:dyDescent="0.25">
      <c r="F925" t="s">
        <v>5805</v>
      </c>
    </row>
    <row r="926" spans="6:6" x14ac:dyDescent="0.25">
      <c r="F926" t="s">
        <v>5806</v>
      </c>
    </row>
    <row r="927" spans="6:6" x14ac:dyDescent="0.25">
      <c r="F927" t="s">
        <v>3848</v>
      </c>
    </row>
    <row r="928" spans="6:6" x14ac:dyDescent="0.25">
      <c r="F928" t="s">
        <v>3849</v>
      </c>
    </row>
    <row r="929" spans="6:6" x14ac:dyDescent="0.25">
      <c r="F929" t="s">
        <v>5807</v>
      </c>
    </row>
    <row r="930" spans="6:6" x14ac:dyDescent="0.25">
      <c r="F930" t="s">
        <v>3850</v>
      </c>
    </row>
    <row r="931" spans="6:6" x14ac:dyDescent="0.25">
      <c r="F931" t="s">
        <v>3851</v>
      </c>
    </row>
    <row r="932" spans="6:6" x14ac:dyDescent="0.25">
      <c r="F932" t="s">
        <v>3852</v>
      </c>
    </row>
    <row r="933" spans="6:6" x14ac:dyDescent="0.25">
      <c r="F933" t="s">
        <v>3853</v>
      </c>
    </row>
    <row r="934" spans="6:6" x14ac:dyDescent="0.25">
      <c r="F934" t="s">
        <v>3854</v>
      </c>
    </row>
    <row r="935" spans="6:6" x14ac:dyDescent="0.25">
      <c r="F935" t="s">
        <v>3855</v>
      </c>
    </row>
    <row r="936" spans="6:6" x14ac:dyDescent="0.25">
      <c r="F936" t="s">
        <v>3856</v>
      </c>
    </row>
    <row r="937" spans="6:6" x14ac:dyDescent="0.25">
      <c r="F937" t="s">
        <v>3857</v>
      </c>
    </row>
    <row r="938" spans="6:6" x14ac:dyDescent="0.25">
      <c r="F938" t="s">
        <v>3858</v>
      </c>
    </row>
    <row r="939" spans="6:6" x14ac:dyDescent="0.25">
      <c r="F939" t="s">
        <v>3859</v>
      </c>
    </row>
    <row r="940" spans="6:6" x14ac:dyDescent="0.25">
      <c r="F940" t="s">
        <v>3860</v>
      </c>
    </row>
    <row r="941" spans="6:6" x14ac:dyDescent="0.25">
      <c r="F941" t="s">
        <v>3861</v>
      </c>
    </row>
    <row r="942" spans="6:6" x14ac:dyDescent="0.25">
      <c r="F942" t="s">
        <v>3862</v>
      </c>
    </row>
    <row r="943" spans="6:6" x14ac:dyDescent="0.25">
      <c r="F943" t="s">
        <v>3863</v>
      </c>
    </row>
    <row r="944" spans="6:6" x14ac:dyDescent="0.25">
      <c r="F944" t="s">
        <v>3864</v>
      </c>
    </row>
    <row r="945" spans="6:6" x14ac:dyDescent="0.25">
      <c r="F945" t="s">
        <v>3865</v>
      </c>
    </row>
    <row r="946" spans="6:6" x14ac:dyDescent="0.25">
      <c r="F946" t="s">
        <v>3866</v>
      </c>
    </row>
    <row r="947" spans="6:6" x14ac:dyDescent="0.25">
      <c r="F947" t="s">
        <v>3867</v>
      </c>
    </row>
    <row r="948" spans="6:6" x14ac:dyDescent="0.25">
      <c r="F948" t="s">
        <v>3868</v>
      </c>
    </row>
    <row r="949" spans="6:6" x14ac:dyDescent="0.25">
      <c r="F949" t="s">
        <v>3869</v>
      </c>
    </row>
    <row r="950" spans="6:6" x14ac:dyDescent="0.25">
      <c r="F950" t="s">
        <v>3870</v>
      </c>
    </row>
    <row r="951" spans="6:6" x14ac:dyDescent="0.25">
      <c r="F951" t="s">
        <v>3871</v>
      </c>
    </row>
    <row r="952" spans="6:6" x14ac:dyDescent="0.25">
      <c r="F952" t="s">
        <v>3872</v>
      </c>
    </row>
    <row r="953" spans="6:6" x14ac:dyDescent="0.25">
      <c r="F953" t="s">
        <v>3873</v>
      </c>
    </row>
    <row r="954" spans="6:6" x14ac:dyDescent="0.25">
      <c r="F954" t="s">
        <v>3874</v>
      </c>
    </row>
    <row r="955" spans="6:6" x14ac:dyDescent="0.25">
      <c r="F955" t="s">
        <v>3875</v>
      </c>
    </row>
    <row r="956" spans="6:6" x14ac:dyDescent="0.25">
      <c r="F956" t="s">
        <v>3876</v>
      </c>
    </row>
    <row r="957" spans="6:6" x14ac:dyDescent="0.25">
      <c r="F957" t="s">
        <v>3877</v>
      </c>
    </row>
    <row r="958" spans="6:6" x14ac:dyDescent="0.25">
      <c r="F958" t="s">
        <v>3878</v>
      </c>
    </row>
    <row r="959" spans="6:6" x14ac:dyDescent="0.25">
      <c r="F959" t="s">
        <v>3879</v>
      </c>
    </row>
    <row r="960" spans="6:6" x14ac:dyDescent="0.25">
      <c r="F960" t="s">
        <v>3880</v>
      </c>
    </row>
    <row r="961" spans="6:6" x14ac:dyDescent="0.25">
      <c r="F961" t="s">
        <v>3881</v>
      </c>
    </row>
    <row r="962" spans="6:6" x14ac:dyDescent="0.25">
      <c r="F962" t="s">
        <v>3882</v>
      </c>
    </row>
    <row r="963" spans="6:6" x14ac:dyDescent="0.25">
      <c r="F963" t="s">
        <v>3883</v>
      </c>
    </row>
    <row r="964" spans="6:6" x14ac:dyDescent="0.25">
      <c r="F964" t="s">
        <v>3884</v>
      </c>
    </row>
    <row r="965" spans="6:6" x14ac:dyDescent="0.25">
      <c r="F965" t="s">
        <v>3885</v>
      </c>
    </row>
    <row r="966" spans="6:6" x14ac:dyDescent="0.25">
      <c r="F966" t="s">
        <v>3886</v>
      </c>
    </row>
    <row r="967" spans="6:6" x14ac:dyDescent="0.25">
      <c r="F967" t="s">
        <v>3887</v>
      </c>
    </row>
    <row r="968" spans="6:6" x14ac:dyDescent="0.25">
      <c r="F968" t="s">
        <v>3888</v>
      </c>
    </row>
    <row r="969" spans="6:6" x14ac:dyDescent="0.25">
      <c r="F969" t="s">
        <v>3889</v>
      </c>
    </row>
    <row r="970" spans="6:6" x14ac:dyDescent="0.25">
      <c r="F970" t="s">
        <v>3890</v>
      </c>
    </row>
    <row r="971" spans="6:6" x14ac:dyDescent="0.25">
      <c r="F971" t="s">
        <v>3891</v>
      </c>
    </row>
    <row r="972" spans="6:6" x14ac:dyDescent="0.25">
      <c r="F972" t="s">
        <v>3892</v>
      </c>
    </row>
    <row r="973" spans="6:6" x14ac:dyDescent="0.25">
      <c r="F973" t="s">
        <v>3893</v>
      </c>
    </row>
    <row r="974" spans="6:6" x14ac:dyDescent="0.25">
      <c r="F974" t="s">
        <v>3894</v>
      </c>
    </row>
    <row r="975" spans="6:6" x14ac:dyDescent="0.25">
      <c r="F975" t="s">
        <v>3895</v>
      </c>
    </row>
    <row r="976" spans="6:6" x14ac:dyDescent="0.25">
      <c r="F976" t="s">
        <v>3896</v>
      </c>
    </row>
    <row r="977" spans="6:6" x14ac:dyDescent="0.25">
      <c r="F977" t="s">
        <v>3897</v>
      </c>
    </row>
    <row r="978" spans="6:6" x14ac:dyDescent="0.25">
      <c r="F978" t="s">
        <v>3898</v>
      </c>
    </row>
    <row r="979" spans="6:6" x14ac:dyDescent="0.25">
      <c r="F979" t="s">
        <v>3899</v>
      </c>
    </row>
    <row r="980" spans="6:6" x14ac:dyDescent="0.25">
      <c r="F980" t="s">
        <v>3900</v>
      </c>
    </row>
    <row r="981" spans="6:6" x14ac:dyDescent="0.25">
      <c r="F981" t="s">
        <v>3901</v>
      </c>
    </row>
    <row r="982" spans="6:6" x14ac:dyDescent="0.25">
      <c r="F982" t="s">
        <v>3902</v>
      </c>
    </row>
    <row r="983" spans="6:6" x14ac:dyDescent="0.25">
      <c r="F983" t="s">
        <v>3903</v>
      </c>
    </row>
    <row r="984" spans="6:6" x14ac:dyDescent="0.25">
      <c r="F984" t="s">
        <v>3904</v>
      </c>
    </row>
    <row r="985" spans="6:6" x14ac:dyDescent="0.25">
      <c r="F985" t="s">
        <v>3905</v>
      </c>
    </row>
    <row r="986" spans="6:6" x14ac:dyDescent="0.25">
      <c r="F986" t="s">
        <v>3906</v>
      </c>
    </row>
    <row r="987" spans="6:6" x14ac:dyDescent="0.25">
      <c r="F987" t="s">
        <v>3907</v>
      </c>
    </row>
    <row r="988" spans="6:6" x14ac:dyDescent="0.25">
      <c r="F988" t="s">
        <v>3908</v>
      </c>
    </row>
    <row r="989" spans="6:6" x14ac:dyDescent="0.25">
      <c r="F989" t="s">
        <v>5808</v>
      </c>
    </row>
    <row r="990" spans="6:6" x14ac:dyDescent="0.25">
      <c r="F990" t="s">
        <v>5809</v>
      </c>
    </row>
    <row r="991" spans="6:6" x14ac:dyDescent="0.25">
      <c r="F991" t="s">
        <v>5810</v>
      </c>
    </row>
    <row r="992" spans="6:6" x14ac:dyDescent="0.25">
      <c r="F992" t="s">
        <v>5811</v>
      </c>
    </row>
    <row r="993" spans="6:6" x14ac:dyDescent="0.25">
      <c r="F993" t="s">
        <v>5812</v>
      </c>
    </row>
    <row r="994" spans="6:6" x14ac:dyDescent="0.25">
      <c r="F994" t="s">
        <v>3909</v>
      </c>
    </row>
    <row r="995" spans="6:6" x14ac:dyDescent="0.25">
      <c r="F995" t="s">
        <v>3910</v>
      </c>
    </row>
    <row r="996" spans="6:6" x14ac:dyDescent="0.25">
      <c r="F996" t="s">
        <v>3911</v>
      </c>
    </row>
    <row r="997" spans="6:6" x14ac:dyDescent="0.25">
      <c r="F997" t="s">
        <v>3912</v>
      </c>
    </row>
    <row r="998" spans="6:6" x14ac:dyDescent="0.25">
      <c r="F998" t="s">
        <v>3913</v>
      </c>
    </row>
    <row r="999" spans="6:6" x14ac:dyDescent="0.25">
      <c r="F999" t="s">
        <v>3914</v>
      </c>
    </row>
    <row r="1000" spans="6:6" x14ac:dyDescent="0.25">
      <c r="F1000" t="s">
        <v>3915</v>
      </c>
    </row>
    <row r="1001" spans="6:6" x14ac:dyDescent="0.25">
      <c r="F1001" t="s">
        <v>3916</v>
      </c>
    </row>
    <row r="1002" spans="6:6" x14ac:dyDescent="0.25">
      <c r="F1002" t="s">
        <v>3917</v>
      </c>
    </row>
    <row r="1003" spans="6:6" x14ac:dyDescent="0.25">
      <c r="F1003" t="s">
        <v>5813</v>
      </c>
    </row>
    <row r="1004" spans="6:6" x14ac:dyDescent="0.25">
      <c r="F1004" t="s">
        <v>5814</v>
      </c>
    </row>
    <row r="1005" spans="6:6" x14ac:dyDescent="0.25">
      <c r="F1005" t="s">
        <v>5815</v>
      </c>
    </row>
    <row r="1006" spans="6:6" x14ac:dyDescent="0.25">
      <c r="F1006" t="s">
        <v>5816</v>
      </c>
    </row>
    <row r="1007" spans="6:6" x14ac:dyDescent="0.25">
      <c r="F1007" t="s">
        <v>5817</v>
      </c>
    </row>
    <row r="1008" spans="6:6" x14ac:dyDescent="0.25">
      <c r="F1008" t="s">
        <v>5818</v>
      </c>
    </row>
    <row r="1009" spans="6:6" x14ac:dyDescent="0.25">
      <c r="F1009" t="s">
        <v>3918</v>
      </c>
    </row>
    <row r="1010" spans="6:6" x14ac:dyDescent="0.25">
      <c r="F1010" t="s">
        <v>3919</v>
      </c>
    </row>
    <row r="1011" spans="6:6" x14ac:dyDescent="0.25">
      <c r="F1011" t="s">
        <v>5819</v>
      </c>
    </row>
    <row r="1012" spans="6:6" x14ac:dyDescent="0.25">
      <c r="F1012" t="s">
        <v>3920</v>
      </c>
    </row>
    <row r="1013" spans="6:6" x14ac:dyDescent="0.25">
      <c r="F1013" t="s">
        <v>3921</v>
      </c>
    </row>
    <row r="1014" spans="6:6" x14ac:dyDescent="0.25">
      <c r="F1014" t="s">
        <v>3922</v>
      </c>
    </row>
    <row r="1015" spans="6:6" x14ac:dyDescent="0.25">
      <c r="F1015" t="s">
        <v>3923</v>
      </c>
    </row>
    <row r="1016" spans="6:6" x14ac:dyDescent="0.25">
      <c r="F1016" t="s">
        <v>3924</v>
      </c>
    </row>
    <row r="1017" spans="6:6" x14ac:dyDescent="0.25">
      <c r="F1017" t="s">
        <v>3925</v>
      </c>
    </row>
    <row r="1018" spans="6:6" x14ac:dyDescent="0.25">
      <c r="F1018" t="s">
        <v>3926</v>
      </c>
    </row>
    <row r="1019" spans="6:6" x14ac:dyDescent="0.25">
      <c r="F1019" t="s">
        <v>5820</v>
      </c>
    </row>
    <row r="1020" spans="6:6" x14ac:dyDescent="0.25">
      <c r="F1020" t="s">
        <v>5821</v>
      </c>
    </row>
    <row r="1021" spans="6:6" x14ac:dyDescent="0.25">
      <c r="F1021" t="s">
        <v>5822</v>
      </c>
    </row>
    <row r="1022" spans="6:6" x14ac:dyDescent="0.25">
      <c r="F1022" t="s">
        <v>5823</v>
      </c>
    </row>
    <row r="1023" spans="6:6" x14ac:dyDescent="0.25">
      <c r="F1023" t="s">
        <v>5824</v>
      </c>
    </row>
    <row r="1024" spans="6:6" x14ac:dyDescent="0.25">
      <c r="F1024" t="s">
        <v>3927</v>
      </c>
    </row>
    <row r="1025" spans="6:6" x14ac:dyDescent="0.25">
      <c r="F1025" t="s">
        <v>3928</v>
      </c>
    </row>
    <row r="1026" spans="6:6" x14ac:dyDescent="0.25">
      <c r="F1026" t="s">
        <v>5825</v>
      </c>
    </row>
    <row r="1027" spans="6:6" x14ac:dyDescent="0.25">
      <c r="F1027" t="s">
        <v>5826</v>
      </c>
    </row>
    <row r="1028" spans="6:6" x14ac:dyDescent="0.25">
      <c r="F1028" t="s">
        <v>5827</v>
      </c>
    </row>
    <row r="1029" spans="6:6" x14ac:dyDescent="0.25">
      <c r="F1029" t="s">
        <v>5828</v>
      </c>
    </row>
    <row r="1030" spans="6:6" x14ac:dyDescent="0.25">
      <c r="F1030" t="s">
        <v>5829</v>
      </c>
    </row>
    <row r="1031" spans="6:6" x14ac:dyDescent="0.25">
      <c r="F1031" t="s">
        <v>3929</v>
      </c>
    </row>
    <row r="1032" spans="6:6" x14ac:dyDescent="0.25">
      <c r="F1032" t="s">
        <v>3930</v>
      </c>
    </row>
    <row r="1033" spans="6:6" x14ac:dyDescent="0.25">
      <c r="F1033" t="s">
        <v>5830</v>
      </c>
    </row>
    <row r="1034" spans="6:6" x14ac:dyDescent="0.25">
      <c r="F1034" t="s">
        <v>5831</v>
      </c>
    </row>
    <row r="1035" spans="6:6" x14ac:dyDescent="0.25">
      <c r="F1035" t="s">
        <v>5832</v>
      </c>
    </row>
    <row r="1036" spans="6:6" x14ac:dyDescent="0.25">
      <c r="F1036" t="s">
        <v>5833</v>
      </c>
    </row>
    <row r="1037" spans="6:6" x14ac:dyDescent="0.25">
      <c r="F1037" t="s">
        <v>5834</v>
      </c>
    </row>
    <row r="1038" spans="6:6" x14ac:dyDescent="0.25">
      <c r="F1038" t="s">
        <v>3931</v>
      </c>
    </row>
    <row r="1039" spans="6:6" x14ac:dyDescent="0.25">
      <c r="F1039" t="s">
        <v>3932</v>
      </c>
    </row>
    <row r="1040" spans="6:6" x14ac:dyDescent="0.25">
      <c r="F1040" t="s">
        <v>3933</v>
      </c>
    </row>
    <row r="1041" spans="6:6" x14ac:dyDescent="0.25">
      <c r="F1041" t="s">
        <v>3934</v>
      </c>
    </row>
    <row r="1042" spans="6:6" x14ac:dyDescent="0.25">
      <c r="F1042" t="s">
        <v>3935</v>
      </c>
    </row>
    <row r="1043" spans="6:6" x14ac:dyDescent="0.25">
      <c r="F1043" t="s">
        <v>3936</v>
      </c>
    </row>
    <row r="1044" spans="6:6" x14ac:dyDescent="0.25">
      <c r="F1044" t="s">
        <v>3937</v>
      </c>
    </row>
    <row r="1045" spans="6:6" x14ac:dyDescent="0.25">
      <c r="F1045" t="s">
        <v>3938</v>
      </c>
    </row>
    <row r="1046" spans="6:6" x14ac:dyDescent="0.25">
      <c r="F1046" t="s">
        <v>3939</v>
      </c>
    </row>
    <row r="1047" spans="6:6" x14ac:dyDescent="0.25">
      <c r="F1047" t="s">
        <v>3940</v>
      </c>
    </row>
    <row r="1048" spans="6:6" x14ac:dyDescent="0.25">
      <c r="F1048" t="s">
        <v>3941</v>
      </c>
    </row>
    <row r="1049" spans="6:6" x14ac:dyDescent="0.25">
      <c r="F1049" t="s">
        <v>3942</v>
      </c>
    </row>
    <row r="1050" spans="6:6" x14ac:dyDescent="0.25">
      <c r="F1050" t="s">
        <v>3943</v>
      </c>
    </row>
    <row r="1051" spans="6:6" x14ac:dyDescent="0.25">
      <c r="F1051" t="s">
        <v>3944</v>
      </c>
    </row>
    <row r="1052" spans="6:6" x14ac:dyDescent="0.25">
      <c r="F1052" t="s">
        <v>3945</v>
      </c>
    </row>
    <row r="1053" spans="6:6" x14ac:dyDescent="0.25">
      <c r="F1053" t="s">
        <v>3946</v>
      </c>
    </row>
    <row r="1054" spans="6:6" x14ac:dyDescent="0.25">
      <c r="F1054" t="s">
        <v>3947</v>
      </c>
    </row>
    <row r="1055" spans="6:6" x14ac:dyDescent="0.25">
      <c r="F1055" t="s">
        <v>3948</v>
      </c>
    </row>
    <row r="1056" spans="6:6" x14ac:dyDescent="0.25">
      <c r="F1056" t="s">
        <v>3949</v>
      </c>
    </row>
    <row r="1057" spans="6:6" x14ac:dyDescent="0.25">
      <c r="F1057" t="s">
        <v>3950</v>
      </c>
    </row>
    <row r="1058" spans="6:6" x14ac:dyDescent="0.25">
      <c r="F1058" t="s">
        <v>3951</v>
      </c>
    </row>
    <row r="1059" spans="6:6" x14ac:dyDescent="0.25">
      <c r="F1059" t="s">
        <v>3952</v>
      </c>
    </row>
    <row r="1060" spans="6:6" x14ac:dyDescent="0.25">
      <c r="F1060" t="s">
        <v>3953</v>
      </c>
    </row>
    <row r="1061" spans="6:6" x14ac:dyDescent="0.25">
      <c r="F1061" t="s">
        <v>3954</v>
      </c>
    </row>
    <row r="1062" spans="6:6" x14ac:dyDescent="0.25">
      <c r="F1062" t="s">
        <v>3955</v>
      </c>
    </row>
    <row r="1063" spans="6:6" x14ac:dyDescent="0.25">
      <c r="F1063" t="s">
        <v>3956</v>
      </c>
    </row>
    <row r="1064" spans="6:6" x14ac:dyDescent="0.25">
      <c r="F1064" t="s">
        <v>3957</v>
      </c>
    </row>
    <row r="1065" spans="6:6" x14ac:dyDescent="0.25">
      <c r="F1065" t="s">
        <v>3958</v>
      </c>
    </row>
    <row r="1066" spans="6:6" x14ac:dyDescent="0.25">
      <c r="F1066" t="s">
        <v>5835</v>
      </c>
    </row>
    <row r="1067" spans="6:6" x14ac:dyDescent="0.25">
      <c r="F1067" t="s">
        <v>3959</v>
      </c>
    </row>
    <row r="1068" spans="6:6" x14ac:dyDescent="0.25">
      <c r="F1068" t="s">
        <v>3960</v>
      </c>
    </row>
    <row r="1069" spans="6:6" x14ac:dyDescent="0.25">
      <c r="F1069" t="s">
        <v>3961</v>
      </c>
    </row>
    <row r="1070" spans="6:6" x14ac:dyDescent="0.25">
      <c r="F1070" t="s">
        <v>3962</v>
      </c>
    </row>
    <row r="1071" spans="6:6" x14ac:dyDescent="0.25">
      <c r="F1071" t="s">
        <v>3963</v>
      </c>
    </row>
    <row r="1072" spans="6:6" x14ac:dyDescent="0.25">
      <c r="F1072" t="s">
        <v>3964</v>
      </c>
    </row>
    <row r="1073" spans="6:6" x14ac:dyDescent="0.25">
      <c r="F1073" t="s">
        <v>3965</v>
      </c>
    </row>
    <row r="1074" spans="6:6" x14ac:dyDescent="0.25">
      <c r="F1074" t="s">
        <v>3966</v>
      </c>
    </row>
    <row r="1075" spans="6:6" x14ac:dyDescent="0.25">
      <c r="F1075" t="s">
        <v>3967</v>
      </c>
    </row>
    <row r="1076" spans="6:6" x14ac:dyDescent="0.25">
      <c r="F1076" t="s">
        <v>3968</v>
      </c>
    </row>
    <row r="1077" spans="6:6" x14ac:dyDescent="0.25">
      <c r="F1077" t="s">
        <v>3969</v>
      </c>
    </row>
    <row r="1078" spans="6:6" x14ac:dyDescent="0.25">
      <c r="F1078" t="s">
        <v>3970</v>
      </c>
    </row>
    <row r="1079" spans="6:6" x14ac:dyDescent="0.25">
      <c r="F1079" t="s">
        <v>3971</v>
      </c>
    </row>
    <row r="1080" spans="6:6" x14ac:dyDescent="0.25">
      <c r="F1080" t="s">
        <v>3972</v>
      </c>
    </row>
    <row r="1081" spans="6:6" x14ac:dyDescent="0.25">
      <c r="F1081" t="s">
        <v>3973</v>
      </c>
    </row>
    <row r="1082" spans="6:6" x14ac:dyDescent="0.25">
      <c r="F1082" t="s">
        <v>5836</v>
      </c>
    </row>
    <row r="1083" spans="6:6" x14ac:dyDescent="0.25">
      <c r="F1083" t="s">
        <v>5837</v>
      </c>
    </row>
    <row r="1084" spans="6:6" x14ac:dyDescent="0.25">
      <c r="F1084" t="s">
        <v>5838</v>
      </c>
    </row>
    <row r="1085" spans="6:6" x14ac:dyDescent="0.25">
      <c r="F1085" t="s">
        <v>5839</v>
      </c>
    </row>
    <row r="1086" spans="6:6" x14ac:dyDescent="0.25">
      <c r="F1086" t="s">
        <v>5840</v>
      </c>
    </row>
    <row r="1087" spans="6:6" x14ac:dyDescent="0.25">
      <c r="F1087" t="s">
        <v>5841</v>
      </c>
    </row>
    <row r="1088" spans="6:6" x14ac:dyDescent="0.25">
      <c r="F1088" t="s">
        <v>3974</v>
      </c>
    </row>
    <row r="1089" spans="6:6" x14ac:dyDescent="0.25">
      <c r="F1089" t="s">
        <v>3975</v>
      </c>
    </row>
    <row r="1090" spans="6:6" x14ac:dyDescent="0.25">
      <c r="F1090" t="s">
        <v>3976</v>
      </c>
    </row>
    <row r="1091" spans="6:6" x14ac:dyDescent="0.25">
      <c r="F1091" t="s">
        <v>3977</v>
      </c>
    </row>
    <row r="1092" spans="6:6" x14ac:dyDescent="0.25">
      <c r="F1092" t="s">
        <v>3978</v>
      </c>
    </row>
    <row r="1093" spans="6:6" x14ac:dyDescent="0.25">
      <c r="F1093" t="s">
        <v>3979</v>
      </c>
    </row>
    <row r="1094" spans="6:6" x14ac:dyDescent="0.25">
      <c r="F1094" t="s">
        <v>3980</v>
      </c>
    </row>
    <row r="1095" spans="6:6" x14ac:dyDescent="0.25">
      <c r="F1095" t="s">
        <v>3981</v>
      </c>
    </row>
    <row r="1096" spans="6:6" x14ac:dyDescent="0.25">
      <c r="F1096" t="s">
        <v>3982</v>
      </c>
    </row>
    <row r="1097" spans="6:6" x14ac:dyDescent="0.25">
      <c r="F1097" t="s">
        <v>3983</v>
      </c>
    </row>
    <row r="1098" spans="6:6" x14ac:dyDescent="0.25">
      <c r="F1098" t="s">
        <v>3984</v>
      </c>
    </row>
    <row r="1099" spans="6:6" x14ac:dyDescent="0.25">
      <c r="F1099" t="s">
        <v>3985</v>
      </c>
    </row>
    <row r="1100" spans="6:6" x14ac:dyDescent="0.25">
      <c r="F1100" t="s">
        <v>3986</v>
      </c>
    </row>
    <row r="1101" spans="6:6" x14ac:dyDescent="0.25">
      <c r="F1101" t="s">
        <v>3987</v>
      </c>
    </row>
    <row r="1102" spans="6:6" x14ac:dyDescent="0.25">
      <c r="F1102" t="s">
        <v>3988</v>
      </c>
    </row>
    <row r="1103" spans="6:6" x14ac:dyDescent="0.25">
      <c r="F1103" t="s">
        <v>3989</v>
      </c>
    </row>
    <row r="1104" spans="6:6" x14ac:dyDescent="0.25">
      <c r="F1104" t="s">
        <v>5842</v>
      </c>
    </row>
    <row r="1105" spans="6:6" x14ac:dyDescent="0.25">
      <c r="F1105" t="s">
        <v>3990</v>
      </c>
    </row>
    <row r="1106" spans="6:6" x14ac:dyDescent="0.25">
      <c r="F1106" t="s">
        <v>3991</v>
      </c>
    </row>
    <row r="1107" spans="6:6" x14ac:dyDescent="0.25">
      <c r="F1107" t="s">
        <v>5843</v>
      </c>
    </row>
    <row r="1108" spans="6:6" x14ac:dyDescent="0.25">
      <c r="F1108" t="s">
        <v>3992</v>
      </c>
    </row>
    <row r="1109" spans="6:6" x14ac:dyDescent="0.25">
      <c r="F1109" t="s">
        <v>3993</v>
      </c>
    </row>
    <row r="1110" spans="6:6" x14ac:dyDescent="0.25">
      <c r="F1110" t="s">
        <v>3994</v>
      </c>
    </row>
    <row r="1111" spans="6:6" x14ac:dyDescent="0.25">
      <c r="F1111" t="s">
        <v>3995</v>
      </c>
    </row>
    <row r="1112" spans="6:6" x14ac:dyDescent="0.25">
      <c r="F1112" t="s">
        <v>3996</v>
      </c>
    </row>
    <row r="1113" spans="6:6" x14ac:dyDescent="0.25">
      <c r="F1113" t="s">
        <v>3997</v>
      </c>
    </row>
    <row r="1114" spans="6:6" x14ac:dyDescent="0.25">
      <c r="F1114" t="s">
        <v>3998</v>
      </c>
    </row>
    <row r="1115" spans="6:6" x14ac:dyDescent="0.25">
      <c r="F1115" t="s">
        <v>3999</v>
      </c>
    </row>
    <row r="1116" spans="6:6" x14ac:dyDescent="0.25">
      <c r="F1116" t="s">
        <v>4000</v>
      </c>
    </row>
    <row r="1117" spans="6:6" x14ac:dyDescent="0.25">
      <c r="F1117" t="s">
        <v>4001</v>
      </c>
    </row>
    <row r="1118" spans="6:6" x14ac:dyDescent="0.25">
      <c r="F1118" t="s">
        <v>4002</v>
      </c>
    </row>
    <row r="1119" spans="6:6" x14ac:dyDescent="0.25">
      <c r="F1119" t="s">
        <v>4003</v>
      </c>
    </row>
    <row r="1120" spans="6:6" x14ac:dyDescent="0.25">
      <c r="F1120" t="s">
        <v>4004</v>
      </c>
    </row>
    <row r="1121" spans="6:6" x14ac:dyDescent="0.25">
      <c r="F1121" t="s">
        <v>4005</v>
      </c>
    </row>
    <row r="1122" spans="6:6" x14ac:dyDescent="0.25">
      <c r="F1122" t="s">
        <v>4006</v>
      </c>
    </row>
    <row r="1123" spans="6:6" x14ac:dyDescent="0.25">
      <c r="F1123" t="s">
        <v>5844</v>
      </c>
    </row>
    <row r="1124" spans="6:6" x14ac:dyDescent="0.25">
      <c r="F1124" t="s">
        <v>5845</v>
      </c>
    </row>
    <row r="1125" spans="6:6" x14ac:dyDescent="0.25">
      <c r="F1125" t="s">
        <v>5846</v>
      </c>
    </row>
    <row r="1126" spans="6:6" x14ac:dyDescent="0.25">
      <c r="F1126" t="s">
        <v>5847</v>
      </c>
    </row>
    <row r="1127" spans="6:6" x14ac:dyDescent="0.25">
      <c r="F1127" t="s">
        <v>5848</v>
      </c>
    </row>
    <row r="1128" spans="6:6" x14ac:dyDescent="0.25">
      <c r="F1128" t="s">
        <v>5849</v>
      </c>
    </row>
    <row r="1129" spans="6:6" x14ac:dyDescent="0.25">
      <c r="F1129" t="s">
        <v>5850</v>
      </c>
    </row>
    <row r="1130" spans="6:6" x14ac:dyDescent="0.25">
      <c r="F1130" t="s">
        <v>5851</v>
      </c>
    </row>
    <row r="1131" spans="6:6" x14ac:dyDescent="0.25">
      <c r="F1131" t="s">
        <v>5852</v>
      </c>
    </row>
    <row r="1132" spans="6:6" x14ac:dyDescent="0.25">
      <c r="F1132" t="s">
        <v>5853</v>
      </c>
    </row>
    <row r="1133" spans="6:6" x14ac:dyDescent="0.25">
      <c r="F1133" t="s">
        <v>5854</v>
      </c>
    </row>
    <row r="1134" spans="6:6" x14ac:dyDescent="0.25">
      <c r="F1134" t="s">
        <v>5855</v>
      </c>
    </row>
    <row r="1135" spans="6:6" x14ac:dyDescent="0.25">
      <c r="F1135" t="s">
        <v>5856</v>
      </c>
    </row>
    <row r="1136" spans="6:6" x14ac:dyDescent="0.25">
      <c r="F1136" t="s">
        <v>5857</v>
      </c>
    </row>
    <row r="1137" spans="6:6" x14ac:dyDescent="0.25">
      <c r="F1137" t="s">
        <v>5858</v>
      </c>
    </row>
    <row r="1138" spans="6:6" x14ac:dyDescent="0.25">
      <c r="F1138" t="s">
        <v>5859</v>
      </c>
    </row>
    <row r="1139" spans="6:6" x14ac:dyDescent="0.25">
      <c r="F1139" t="s">
        <v>5860</v>
      </c>
    </row>
    <row r="1140" spans="6:6" x14ac:dyDescent="0.25">
      <c r="F1140" t="s">
        <v>5861</v>
      </c>
    </row>
    <row r="1141" spans="6:6" x14ac:dyDescent="0.25">
      <c r="F1141" t="s">
        <v>5862</v>
      </c>
    </row>
    <row r="1142" spans="6:6" x14ac:dyDescent="0.25">
      <c r="F1142" t="s">
        <v>5863</v>
      </c>
    </row>
    <row r="1143" spans="6:6" x14ac:dyDescent="0.25">
      <c r="F1143" t="s">
        <v>5864</v>
      </c>
    </row>
    <row r="1144" spans="6:6" x14ac:dyDescent="0.25">
      <c r="F1144" t="s">
        <v>5865</v>
      </c>
    </row>
    <row r="1145" spans="6:6" x14ac:dyDescent="0.25">
      <c r="F1145" t="s">
        <v>5866</v>
      </c>
    </row>
    <row r="1146" spans="6:6" x14ac:dyDescent="0.25">
      <c r="F1146" t="s">
        <v>5867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7">
    <tabColor indexed="16"/>
  </sheetPr>
  <dimension ref="A1:I11"/>
  <sheetViews>
    <sheetView workbookViewId="0">
      <selection sqref="A1:I11"/>
    </sheetView>
  </sheetViews>
  <sheetFormatPr baseColWidth="10" defaultColWidth="11.44140625" defaultRowHeight="16.2" x14ac:dyDescent="0.4"/>
  <cols>
    <col min="1" max="2" width="11.44140625" style="60"/>
    <col min="3" max="3" width="6.109375" style="60" customWidth="1"/>
    <col min="4" max="7" width="4.6640625" style="60" customWidth="1"/>
    <col min="8" max="9" width="11.44140625" style="60"/>
    <col min="10" max="16384" width="11.44140625" style="62"/>
  </cols>
  <sheetData>
    <row r="1" spans="1:9" ht="21" x14ac:dyDescent="0.4">
      <c r="A1" s="1480" t="s">
        <v>364</v>
      </c>
      <c r="B1" s="1480"/>
      <c r="C1" s="1480"/>
      <c r="D1" s="1480"/>
      <c r="E1" s="1480"/>
      <c r="F1" s="1480"/>
      <c r="G1" s="1480"/>
      <c r="H1" s="1480"/>
      <c r="I1" s="1480"/>
    </row>
    <row r="2" spans="1:9" ht="5.4" customHeight="1" x14ac:dyDescent="0.25">
      <c r="A2" s="72"/>
      <c r="B2" s="72"/>
      <c r="C2" s="72"/>
      <c r="D2" s="72"/>
      <c r="E2" s="72"/>
      <c r="F2" s="72"/>
      <c r="G2" s="72"/>
      <c r="H2" s="72"/>
      <c r="I2" s="72"/>
    </row>
    <row r="3" spans="1:9" ht="5.4" customHeight="1" x14ac:dyDescent="0.25">
      <c r="A3" s="72"/>
      <c r="B3" s="72"/>
      <c r="C3" s="72"/>
      <c r="D3" s="72"/>
      <c r="E3" s="72"/>
      <c r="F3" s="72"/>
      <c r="G3" s="72"/>
      <c r="H3" s="72"/>
      <c r="I3" s="72"/>
    </row>
    <row r="4" spans="1:9" ht="15.6" x14ac:dyDescent="0.3">
      <c r="A4" s="72"/>
      <c r="B4" s="72"/>
      <c r="C4" s="73" t="s">
        <v>365</v>
      </c>
      <c r="D4" s="72"/>
      <c r="E4" s="72"/>
      <c r="F4" s="72"/>
      <c r="G4" s="72"/>
      <c r="H4" s="72"/>
      <c r="I4" s="72"/>
    </row>
    <row r="5" spans="1:9" ht="6.75" customHeight="1" x14ac:dyDescent="0.3">
      <c r="A5" s="72"/>
      <c r="B5" s="72"/>
      <c r="C5" s="73"/>
      <c r="D5" s="72"/>
      <c r="E5" s="72"/>
      <c r="F5" s="72"/>
      <c r="G5" s="72"/>
      <c r="H5" s="72"/>
      <c r="I5" s="72"/>
    </row>
    <row r="6" spans="1:9" ht="18" customHeight="1" x14ac:dyDescent="0.3">
      <c r="A6" s="72"/>
      <c r="B6" s="72"/>
      <c r="C6" s="74">
        <v>4</v>
      </c>
      <c r="D6" s="58">
        <v>2</v>
      </c>
      <c r="E6" s="77">
        <v>3</v>
      </c>
      <c r="F6" s="76">
        <v>4</v>
      </c>
      <c r="G6" s="76">
        <v>4</v>
      </c>
      <c r="H6" s="72"/>
      <c r="I6" s="72"/>
    </row>
    <row r="7" spans="1:9" ht="18" customHeight="1" x14ac:dyDescent="0.3">
      <c r="A7" s="72"/>
      <c r="B7" s="72"/>
      <c r="C7" s="74">
        <v>3</v>
      </c>
      <c r="D7" s="58">
        <v>2</v>
      </c>
      <c r="E7" s="77">
        <v>3</v>
      </c>
      <c r="F7" s="77">
        <v>3</v>
      </c>
      <c r="G7" s="76">
        <v>4</v>
      </c>
      <c r="H7" s="72"/>
      <c r="I7" s="72"/>
    </row>
    <row r="8" spans="1:9" ht="18" customHeight="1" x14ac:dyDescent="0.3">
      <c r="A8" s="72"/>
      <c r="B8" s="72"/>
      <c r="C8" s="74">
        <v>2</v>
      </c>
      <c r="D8" s="75">
        <v>1</v>
      </c>
      <c r="E8" s="58">
        <v>2</v>
      </c>
      <c r="F8" s="58">
        <v>2</v>
      </c>
      <c r="G8" s="77">
        <v>3</v>
      </c>
      <c r="H8" s="72"/>
      <c r="I8" s="72"/>
    </row>
    <row r="9" spans="1:9" ht="18" customHeight="1" x14ac:dyDescent="0.3">
      <c r="A9" s="72"/>
      <c r="B9" s="72"/>
      <c r="C9" s="74">
        <v>1</v>
      </c>
      <c r="D9" s="75">
        <v>1</v>
      </c>
      <c r="E9" s="75">
        <v>1</v>
      </c>
      <c r="F9" s="75">
        <v>1</v>
      </c>
      <c r="G9" s="58">
        <v>2</v>
      </c>
      <c r="H9" s="72"/>
      <c r="I9" s="72"/>
    </row>
    <row r="10" spans="1:9" ht="20.25" customHeight="1" x14ac:dyDescent="0.3">
      <c r="A10" s="72"/>
      <c r="B10" s="72"/>
      <c r="C10" s="72"/>
      <c r="D10" s="74">
        <v>1</v>
      </c>
      <c r="E10" s="74">
        <v>2</v>
      </c>
      <c r="F10" s="74">
        <v>3</v>
      </c>
      <c r="G10" s="74">
        <v>4</v>
      </c>
      <c r="H10" s="72"/>
      <c r="I10" s="72"/>
    </row>
    <row r="11" spans="1:9" ht="15.6" x14ac:dyDescent="0.3">
      <c r="A11" s="72"/>
      <c r="B11" s="72"/>
      <c r="C11" s="72"/>
      <c r="D11" s="1479" t="s">
        <v>366</v>
      </c>
      <c r="E11" s="1479"/>
      <c r="F11" s="1479"/>
      <c r="G11" s="1479"/>
      <c r="H11" s="72"/>
      <c r="I11" s="72"/>
    </row>
  </sheetData>
  <mergeCells count="2">
    <mergeCell ref="D11:G11"/>
    <mergeCell ref="A1:I1"/>
  </mergeCells>
  <phoneticPr fontId="20" type="noConversion"/>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7"/>
  <dimension ref="A1:BF82"/>
  <sheetViews>
    <sheetView workbookViewId="0">
      <selection sqref="A1:AD12"/>
    </sheetView>
  </sheetViews>
  <sheetFormatPr baseColWidth="10" defaultColWidth="11.44140625" defaultRowHeight="16.2" x14ac:dyDescent="0.4"/>
  <cols>
    <col min="1" max="1" width="3.6640625" style="60" customWidth="1"/>
    <col min="2" max="2" width="2.88671875" style="60" customWidth="1"/>
    <col min="3" max="7" width="2.88671875" style="61" customWidth="1"/>
    <col min="8" max="8" width="5.6640625" style="60" customWidth="1"/>
    <col min="9" max="14" width="2.6640625" style="60" customWidth="1"/>
    <col min="15" max="15" width="5.6640625" style="60" customWidth="1"/>
    <col min="16" max="21" width="2.6640625" style="60" customWidth="1"/>
    <col min="22" max="22" width="5.6640625" style="60" customWidth="1"/>
    <col min="23" max="28" width="2.6640625" style="60" customWidth="1"/>
    <col min="29" max="29" width="5.6640625" style="60" customWidth="1"/>
    <col min="30" max="31" width="11.44140625" style="62"/>
    <col min="32" max="37" width="2.88671875" style="62" customWidth="1"/>
    <col min="38" max="38" width="4.88671875" style="62" customWidth="1"/>
    <col min="39" max="44" width="3.44140625" style="62" customWidth="1"/>
    <col min="45" max="45" width="3.33203125" style="62" customWidth="1"/>
    <col min="46" max="51" width="3.109375" style="62" customWidth="1"/>
    <col min="52" max="52" width="4.5546875" style="62" customWidth="1"/>
    <col min="53" max="58" width="3.33203125" style="62" customWidth="1"/>
    <col min="59" max="16384" width="11.44140625" style="62"/>
  </cols>
  <sheetData>
    <row r="1" spans="1:58" ht="21" x14ac:dyDescent="0.5">
      <c r="A1" s="59" t="s">
        <v>563</v>
      </c>
    </row>
    <row r="2" spans="1:58" ht="16.8" x14ac:dyDescent="0.45">
      <c r="A2" s="63"/>
      <c r="J2" s="61"/>
      <c r="K2" s="61"/>
      <c r="L2" s="61"/>
      <c r="M2" s="61"/>
      <c r="N2" s="61"/>
      <c r="Q2" s="61"/>
      <c r="R2" s="61"/>
      <c r="S2" s="61"/>
      <c r="T2" s="61"/>
      <c r="U2" s="61"/>
      <c r="X2" s="61"/>
      <c r="Y2" s="61"/>
      <c r="Z2" s="61"/>
      <c r="AA2" s="61"/>
      <c r="AB2" s="61"/>
    </row>
    <row r="3" spans="1:58" ht="17.25" customHeight="1" x14ac:dyDescent="0.5">
      <c r="A3" s="64" t="s">
        <v>564</v>
      </c>
    </row>
    <row r="4" spans="1:58" ht="3" customHeight="1" x14ac:dyDescent="0.4"/>
    <row r="5" spans="1:58" ht="14.4" x14ac:dyDescent="0.35">
      <c r="A5" s="65"/>
      <c r="B5" s="65"/>
      <c r="C5" s="1481" t="s">
        <v>565</v>
      </c>
      <c r="D5" s="1481"/>
      <c r="E5" s="1481"/>
      <c r="F5" s="1481"/>
      <c r="G5" s="1481"/>
      <c r="H5" s="65"/>
      <c r="I5" s="65"/>
      <c r="J5" s="1481" t="s">
        <v>566</v>
      </c>
      <c r="K5" s="1481"/>
      <c r="L5" s="1481"/>
      <c r="M5" s="1481"/>
      <c r="N5" s="1481"/>
      <c r="O5" s="65"/>
      <c r="P5" s="65"/>
      <c r="Q5" s="1481" t="s">
        <v>567</v>
      </c>
      <c r="R5" s="1481"/>
      <c r="S5" s="1481"/>
      <c r="T5" s="1481"/>
      <c r="U5" s="1481"/>
      <c r="V5" s="65"/>
      <c r="W5" s="65"/>
      <c r="X5" s="1481" t="s">
        <v>568</v>
      </c>
      <c r="Y5" s="1481"/>
      <c r="Z5" s="1481"/>
      <c r="AA5" s="1481"/>
      <c r="AB5" s="1481"/>
      <c r="AC5" s="65"/>
    </row>
    <row r="6" spans="1:58" ht="3.75" customHeight="1" x14ac:dyDescent="0.4">
      <c r="J6" s="61"/>
      <c r="K6" s="61"/>
      <c r="L6" s="61"/>
      <c r="M6" s="61"/>
      <c r="N6" s="61"/>
      <c r="Q6" s="61"/>
      <c r="R6" s="61"/>
      <c r="S6" s="61"/>
      <c r="T6" s="61"/>
      <c r="U6" s="61"/>
      <c r="X6" s="61"/>
      <c r="Y6" s="61"/>
      <c r="Z6" s="61"/>
      <c r="AA6" s="61"/>
      <c r="AB6" s="61"/>
    </row>
    <row r="7" spans="1:58" ht="14.4" x14ac:dyDescent="0.35">
      <c r="A7" s="65"/>
      <c r="B7" s="67" t="s">
        <v>309</v>
      </c>
      <c r="C7" s="66">
        <v>4</v>
      </c>
      <c r="D7" s="68">
        <v>1</v>
      </c>
      <c r="E7" s="68">
        <v>1</v>
      </c>
      <c r="F7" s="68">
        <v>1</v>
      </c>
      <c r="G7" s="68">
        <v>1</v>
      </c>
      <c r="H7" s="65"/>
      <c r="I7" s="67" t="s">
        <v>309</v>
      </c>
      <c r="J7" s="66">
        <v>4</v>
      </c>
      <c r="K7" s="68">
        <v>2</v>
      </c>
      <c r="L7" s="68">
        <v>2</v>
      </c>
      <c r="M7" s="68">
        <v>1</v>
      </c>
      <c r="N7" s="68">
        <v>1</v>
      </c>
      <c r="O7" s="65"/>
      <c r="P7" s="67" t="s">
        <v>309</v>
      </c>
      <c r="Q7" s="66">
        <v>4</v>
      </c>
      <c r="R7" s="68">
        <v>2</v>
      </c>
      <c r="S7" s="68">
        <v>2</v>
      </c>
      <c r="T7" s="68">
        <v>1</v>
      </c>
      <c r="U7" s="68">
        <v>1</v>
      </c>
      <c r="V7" s="65"/>
      <c r="W7" s="67" t="s">
        <v>309</v>
      </c>
      <c r="X7" s="66">
        <v>4</v>
      </c>
      <c r="Y7" s="68">
        <v>2</v>
      </c>
      <c r="Z7" s="68">
        <v>2</v>
      </c>
      <c r="AA7" s="68">
        <v>2</v>
      </c>
      <c r="AB7" s="68">
        <v>1</v>
      </c>
      <c r="AC7" s="65"/>
    </row>
    <row r="8" spans="1:58" ht="14.4" x14ac:dyDescent="0.35">
      <c r="A8" s="65"/>
      <c r="B8" s="67" t="s">
        <v>571</v>
      </c>
      <c r="C8" s="66">
        <v>3</v>
      </c>
      <c r="D8" s="68">
        <v>1</v>
      </c>
      <c r="E8" s="68">
        <v>1</v>
      </c>
      <c r="F8" s="68">
        <v>1</v>
      </c>
      <c r="G8" s="68">
        <v>1</v>
      </c>
      <c r="H8" s="65"/>
      <c r="I8" s="67" t="s">
        <v>571</v>
      </c>
      <c r="J8" s="66">
        <v>3</v>
      </c>
      <c r="K8" s="68">
        <v>2</v>
      </c>
      <c r="L8" s="68">
        <v>2</v>
      </c>
      <c r="M8" s="68">
        <v>1</v>
      </c>
      <c r="N8" s="68">
        <v>1</v>
      </c>
      <c r="O8" s="65"/>
      <c r="P8" s="67" t="s">
        <v>571</v>
      </c>
      <c r="Q8" s="66">
        <v>3</v>
      </c>
      <c r="R8" s="68">
        <v>3</v>
      </c>
      <c r="S8" s="68">
        <v>2</v>
      </c>
      <c r="T8" s="68">
        <v>2</v>
      </c>
      <c r="U8" s="68">
        <v>1</v>
      </c>
      <c r="V8" s="65"/>
      <c r="W8" s="67" t="s">
        <v>571</v>
      </c>
      <c r="X8" s="66">
        <v>3</v>
      </c>
      <c r="Y8" s="68">
        <v>3</v>
      </c>
      <c r="Z8" s="68">
        <v>3</v>
      </c>
      <c r="AA8" s="68">
        <v>2</v>
      </c>
      <c r="AB8" s="68">
        <v>1</v>
      </c>
      <c r="AC8" s="65"/>
    </row>
    <row r="9" spans="1:58" ht="14.4" x14ac:dyDescent="0.35">
      <c r="A9" s="65"/>
      <c r="B9" s="67" t="s">
        <v>248</v>
      </c>
      <c r="C9" s="66">
        <v>2</v>
      </c>
      <c r="D9" s="68">
        <v>1</v>
      </c>
      <c r="E9" s="68">
        <v>1</v>
      </c>
      <c r="F9" s="68">
        <v>1</v>
      </c>
      <c r="G9" s="68">
        <v>1</v>
      </c>
      <c r="H9" s="65"/>
      <c r="I9" s="67" t="s">
        <v>248</v>
      </c>
      <c r="J9" s="66">
        <v>2</v>
      </c>
      <c r="K9" s="68">
        <v>2</v>
      </c>
      <c r="L9" s="68">
        <v>2</v>
      </c>
      <c r="M9" s="68">
        <v>2</v>
      </c>
      <c r="N9" s="68">
        <v>1</v>
      </c>
      <c r="O9" s="65"/>
      <c r="P9" s="67" t="s">
        <v>248</v>
      </c>
      <c r="Q9" s="66">
        <v>2</v>
      </c>
      <c r="R9" s="68">
        <v>3</v>
      </c>
      <c r="S9" s="68">
        <v>3</v>
      </c>
      <c r="T9" s="68">
        <v>2</v>
      </c>
      <c r="U9" s="68">
        <v>1</v>
      </c>
      <c r="V9" s="65"/>
      <c r="W9" s="67" t="s">
        <v>248</v>
      </c>
      <c r="X9" s="66">
        <v>2</v>
      </c>
      <c r="Y9" s="68">
        <v>4</v>
      </c>
      <c r="Z9" s="68">
        <v>3</v>
      </c>
      <c r="AA9" s="68">
        <v>2</v>
      </c>
      <c r="AB9" s="68">
        <v>1</v>
      </c>
      <c r="AC9" s="65"/>
    </row>
    <row r="10" spans="1:58" ht="14.4" x14ac:dyDescent="0.35">
      <c r="A10" s="65"/>
      <c r="B10" s="67" t="s">
        <v>421</v>
      </c>
      <c r="C10" s="66">
        <v>1</v>
      </c>
      <c r="D10" s="68">
        <v>1</v>
      </c>
      <c r="E10" s="68">
        <v>1</v>
      </c>
      <c r="F10" s="68">
        <v>1</v>
      </c>
      <c r="G10" s="68">
        <v>1</v>
      </c>
      <c r="H10" s="65"/>
      <c r="I10" s="67" t="s">
        <v>421</v>
      </c>
      <c r="J10" s="66">
        <v>1</v>
      </c>
      <c r="K10" s="68">
        <v>2</v>
      </c>
      <c r="L10" s="68">
        <v>2</v>
      </c>
      <c r="M10" s="68">
        <v>2</v>
      </c>
      <c r="N10" s="68">
        <v>1</v>
      </c>
      <c r="O10" s="65"/>
      <c r="P10" s="67" t="s">
        <v>421</v>
      </c>
      <c r="Q10" s="66">
        <v>1</v>
      </c>
      <c r="R10" s="68">
        <v>3</v>
      </c>
      <c r="S10" s="68">
        <v>3</v>
      </c>
      <c r="T10" s="68">
        <v>2</v>
      </c>
      <c r="U10" s="68">
        <v>1</v>
      </c>
      <c r="V10" s="65"/>
      <c r="W10" s="67" t="s">
        <v>421</v>
      </c>
      <c r="X10" s="66">
        <v>1</v>
      </c>
      <c r="Y10" s="68">
        <v>4</v>
      </c>
      <c r="Z10" s="68">
        <v>3</v>
      </c>
      <c r="AA10" s="68">
        <v>2</v>
      </c>
      <c r="AB10" s="68">
        <v>1</v>
      </c>
      <c r="AC10" s="65"/>
    </row>
    <row r="11" spans="1:58" ht="14.4" x14ac:dyDescent="0.35">
      <c r="A11" s="65"/>
      <c r="B11" s="67"/>
      <c r="C11" s="69"/>
      <c r="D11" s="66">
        <v>1</v>
      </c>
      <c r="E11" s="66">
        <v>2</v>
      </c>
      <c r="F11" s="66">
        <v>3</v>
      </c>
      <c r="G11" s="66">
        <v>4</v>
      </c>
      <c r="H11" s="65"/>
      <c r="I11" s="67"/>
      <c r="J11" s="69"/>
      <c r="K11" s="66">
        <v>1</v>
      </c>
      <c r="L11" s="66">
        <v>2</v>
      </c>
      <c r="M11" s="66">
        <v>3</v>
      </c>
      <c r="N11" s="66">
        <v>4</v>
      </c>
      <c r="O11" s="65"/>
      <c r="P11" s="67"/>
      <c r="Q11" s="69"/>
      <c r="R11" s="66">
        <v>1</v>
      </c>
      <c r="S11" s="66">
        <v>2</v>
      </c>
      <c r="T11" s="66">
        <v>3</v>
      </c>
      <c r="U11" s="66">
        <v>4</v>
      </c>
      <c r="V11" s="65"/>
      <c r="W11" s="67"/>
      <c r="X11" s="69"/>
      <c r="Y11" s="66">
        <v>1</v>
      </c>
      <c r="Z11" s="66">
        <v>2</v>
      </c>
      <c r="AA11" s="66">
        <v>3</v>
      </c>
      <c r="AB11" s="66">
        <v>4</v>
      </c>
      <c r="AC11" s="65"/>
    </row>
    <row r="12" spans="1:58" ht="14.4" x14ac:dyDescent="0.35">
      <c r="A12" s="65"/>
      <c r="B12" s="65"/>
      <c r="C12" s="69"/>
      <c r="D12" s="66" t="s">
        <v>569</v>
      </c>
      <c r="E12" s="66" t="s">
        <v>572</v>
      </c>
      <c r="F12" s="66" t="s">
        <v>573</v>
      </c>
      <c r="G12" s="66" t="s">
        <v>573</v>
      </c>
      <c r="H12" s="65"/>
      <c r="I12" s="65"/>
      <c r="J12" s="69"/>
      <c r="K12" s="66" t="s">
        <v>569</v>
      </c>
      <c r="L12" s="66" t="s">
        <v>572</v>
      </c>
      <c r="M12" s="66" t="s">
        <v>573</v>
      </c>
      <c r="N12" s="66" t="s">
        <v>573</v>
      </c>
      <c r="O12" s="65"/>
      <c r="P12" s="65"/>
      <c r="Q12" s="69"/>
      <c r="R12" s="66" t="s">
        <v>569</v>
      </c>
      <c r="S12" s="66" t="s">
        <v>572</v>
      </c>
      <c r="T12" s="66" t="s">
        <v>573</v>
      </c>
      <c r="U12" s="66" t="s">
        <v>573</v>
      </c>
      <c r="V12" s="65"/>
      <c r="W12" s="65"/>
      <c r="X12" s="69"/>
      <c r="Y12" s="66" t="s">
        <v>569</v>
      </c>
      <c r="Z12" s="66" t="s">
        <v>572</v>
      </c>
      <c r="AA12" s="66" t="s">
        <v>573</v>
      </c>
      <c r="AB12" s="66" t="s">
        <v>573</v>
      </c>
      <c r="AC12" s="65"/>
    </row>
    <row r="14" spans="1:58" ht="19.8" x14ac:dyDescent="0.5">
      <c r="A14" s="64" t="s">
        <v>574</v>
      </c>
    </row>
    <row r="15" spans="1:58" ht="3" customHeight="1" x14ac:dyDescent="0.4"/>
    <row r="16" spans="1:58" ht="14.4" x14ac:dyDescent="0.35">
      <c r="A16" s="65"/>
      <c r="B16" s="65"/>
      <c r="C16" s="1481" t="s">
        <v>565</v>
      </c>
      <c r="D16" s="1481"/>
      <c r="E16" s="1481"/>
      <c r="F16" s="1481"/>
      <c r="G16" s="1481"/>
      <c r="H16" s="65"/>
      <c r="I16" s="65"/>
      <c r="J16" s="1481" t="s">
        <v>566</v>
      </c>
      <c r="K16" s="1481"/>
      <c r="L16" s="1481"/>
      <c r="M16" s="1481"/>
      <c r="N16" s="1481"/>
      <c r="O16" s="65"/>
      <c r="P16" s="65"/>
      <c r="Q16" s="1481" t="s">
        <v>567</v>
      </c>
      <c r="R16" s="1481"/>
      <c r="S16" s="1481"/>
      <c r="T16" s="1481"/>
      <c r="U16" s="1481"/>
      <c r="V16" s="65"/>
      <c r="W16" s="65"/>
      <c r="X16" s="1481" t="s">
        <v>568</v>
      </c>
      <c r="Y16" s="1481"/>
      <c r="Z16" s="1481"/>
      <c r="AA16" s="1481"/>
      <c r="AB16" s="1481"/>
      <c r="AC16" s="65"/>
      <c r="AF16" s="65"/>
      <c r="AG16" s="1481"/>
      <c r="AH16" s="1481"/>
      <c r="AI16" s="1481"/>
      <c r="AJ16" s="1481"/>
      <c r="AK16" s="1481"/>
      <c r="AL16" s="65"/>
      <c r="AM16" s="65"/>
      <c r="AN16" s="1481"/>
      <c r="AO16" s="1481"/>
      <c r="AP16" s="1481"/>
      <c r="AQ16" s="1481"/>
      <c r="AR16" s="1481"/>
      <c r="AS16" s="65"/>
      <c r="AT16" s="65"/>
      <c r="AU16" s="1481"/>
      <c r="AV16" s="1481"/>
      <c r="AW16" s="1481"/>
      <c r="AX16" s="1481"/>
      <c r="AY16" s="1481"/>
      <c r="AZ16" s="65"/>
      <c r="BA16" s="65"/>
      <c r="BB16" s="1481"/>
      <c r="BC16" s="1481"/>
      <c r="BD16" s="1481"/>
      <c r="BE16" s="1481"/>
      <c r="BF16" s="1481"/>
    </row>
    <row r="17" spans="1:58" ht="3.75" customHeight="1" x14ac:dyDescent="0.4">
      <c r="J17" s="61"/>
      <c r="K17" s="61"/>
      <c r="L17" s="61"/>
      <c r="M17" s="61"/>
      <c r="N17" s="61"/>
      <c r="Q17" s="61"/>
      <c r="R17" s="61"/>
      <c r="S17" s="61"/>
      <c r="T17" s="61"/>
      <c r="U17" s="61"/>
      <c r="X17" s="61"/>
      <c r="Y17" s="61"/>
      <c r="Z17" s="61"/>
      <c r="AA17" s="61"/>
      <c r="AB17" s="61"/>
      <c r="AF17" s="60"/>
      <c r="AG17" s="61"/>
      <c r="AH17" s="61"/>
      <c r="AI17" s="61"/>
      <c r="AJ17" s="61"/>
      <c r="AK17" s="61"/>
      <c r="AL17" s="60"/>
      <c r="AM17" s="60"/>
      <c r="AN17" s="61"/>
      <c r="AO17" s="61"/>
      <c r="AP17" s="61"/>
      <c r="AQ17" s="61"/>
      <c r="AR17" s="61"/>
      <c r="AS17" s="60"/>
      <c r="AT17" s="60"/>
      <c r="AU17" s="61"/>
      <c r="AV17" s="61"/>
      <c r="AW17" s="61"/>
      <c r="AX17" s="61"/>
      <c r="AY17" s="61"/>
      <c r="AZ17" s="60"/>
      <c r="BA17" s="60"/>
      <c r="BB17" s="61"/>
      <c r="BC17" s="61"/>
      <c r="BD17" s="61"/>
      <c r="BE17" s="61"/>
      <c r="BF17" s="61"/>
    </row>
    <row r="18" spans="1:58" ht="14.4" x14ac:dyDescent="0.35">
      <c r="A18" s="65"/>
      <c r="B18" s="67" t="s">
        <v>309</v>
      </c>
      <c r="C18" s="66">
        <v>4</v>
      </c>
      <c r="D18" s="68">
        <v>1</v>
      </c>
      <c r="E18" s="68">
        <v>1</v>
      </c>
      <c r="F18" s="68">
        <v>1</v>
      </c>
      <c r="G18" s="68">
        <v>1</v>
      </c>
      <c r="H18" s="65"/>
      <c r="I18" s="67" t="s">
        <v>309</v>
      </c>
      <c r="J18" s="66">
        <v>4</v>
      </c>
      <c r="K18" s="68">
        <v>1</v>
      </c>
      <c r="L18" s="68">
        <v>1</v>
      </c>
      <c r="M18" s="68">
        <v>1</v>
      </c>
      <c r="N18" s="68">
        <v>1</v>
      </c>
      <c r="O18" s="65"/>
      <c r="P18" s="67" t="s">
        <v>309</v>
      </c>
      <c r="Q18" s="66">
        <v>4</v>
      </c>
      <c r="R18" s="68">
        <v>1</v>
      </c>
      <c r="S18" s="68">
        <v>1</v>
      </c>
      <c r="T18" s="68">
        <v>1</v>
      </c>
      <c r="U18" s="68">
        <v>1</v>
      </c>
      <c r="V18" s="65"/>
      <c r="W18" s="67" t="s">
        <v>309</v>
      </c>
      <c r="X18" s="66">
        <v>4</v>
      </c>
      <c r="Y18" s="68">
        <v>1</v>
      </c>
      <c r="Z18" s="68">
        <v>1</v>
      </c>
      <c r="AA18" s="68">
        <v>1</v>
      </c>
      <c r="AB18" s="68">
        <v>1</v>
      </c>
      <c r="AC18" s="65"/>
      <c r="AD18" s="186"/>
      <c r="AF18" s="67"/>
      <c r="AG18" s="69"/>
      <c r="AH18" s="66"/>
      <c r="AI18" s="66"/>
      <c r="AJ18" s="66"/>
      <c r="AK18" s="66"/>
      <c r="AL18" s="65"/>
      <c r="AM18" s="67"/>
      <c r="AN18" s="69"/>
      <c r="AO18" s="66"/>
      <c r="AP18" s="66"/>
      <c r="AQ18" s="66"/>
      <c r="AR18" s="66"/>
      <c r="AS18" s="65"/>
      <c r="AT18" s="67"/>
      <c r="AU18" s="69"/>
      <c r="AV18" s="66"/>
      <c r="AW18" s="66"/>
      <c r="AX18" s="66"/>
      <c r="AY18" s="66"/>
      <c r="AZ18" s="65"/>
      <c r="BA18" s="67"/>
      <c r="BB18" s="69"/>
      <c r="BC18" s="66"/>
      <c r="BD18" s="66"/>
      <c r="BE18" s="66"/>
      <c r="BF18" s="66"/>
    </row>
    <row r="19" spans="1:58" ht="14.4" x14ac:dyDescent="0.35">
      <c r="A19" s="65"/>
      <c r="B19" s="67" t="s">
        <v>571</v>
      </c>
      <c r="C19" s="66">
        <v>3</v>
      </c>
      <c r="D19" s="68">
        <v>1</v>
      </c>
      <c r="E19" s="68">
        <v>1</v>
      </c>
      <c r="F19" s="68">
        <v>1</v>
      </c>
      <c r="G19" s="68">
        <v>1</v>
      </c>
      <c r="H19" s="65"/>
      <c r="I19" s="67" t="s">
        <v>571</v>
      </c>
      <c r="J19" s="66">
        <v>3</v>
      </c>
      <c r="K19" s="68">
        <v>2</v>
      </c>
      <c r="L19" s="68">
        <v>2</v>
      </c>
      <c r="M19" s="68">
        <v>1</v>
      </c>
      <c r="N19" s="68">
        <v>1</v>
      </c>
      <c r="O19" s="65"/>
      <c r="P19" s="67" t="s">
        <v>571</v>
      </c>
      <c r="Q19" s="66">
        <v>3</v>
      </c>
      <c r="R19" s="68">
        <v>2</v>
      </c>
      <c r="S19" s="68">
        <v>2</v>
      </c>
      <c r="T19" s="68">
        <v>1</v>
      </c>
      <c r="U19" s="68">
        <v>1</v>
      </c>
      <c r="V19" s="65"/>
      <c r="W19" s="67" t="s">
        <v>571</v>
      </c>
      <c r="X19" s="66">
        <v>3</v>
      </c>
      <c r="Y19" s="68">
        <v>2</v>
      </c>
      <c r="Z19" s="68">
        <v>2</v>
      </c>
      <c r="AA19" s="68">
        <v>2</v>
      </c>
      <c r="AB19" s="68">
        <v>1</v>
      </c>
      <c r="AC19" s="65"/>
      <c r="AF19" s="67"/>
      <c r="AG19" s="69"/>
      <c r="AH19" s="66"/>
      <c r="AI19" s="66"/>
      <c r="AJ19" s="66"/>
      <c r="AK19" s="66"/>
      <c r="AL19" s="65"/>
      <c r="AM19" s="67"/>
      <c r="AN19" s="69"/>
      <c r="AO19" s="66"/>
      <c r="AP19" s="66"/>
      <c r="AQ19" s="66"/>
      <c r="AR19" s="66"/>
      <c r="AS19" s="65"/>
      <c r="AT19" s="67"/>
      <c r="AU19" s="69"/>
      <c r="AV19" s="66"/>
      <c r="AW19" s="66"/>
      <c r="AX19" s="66"/>
      <c r="AY19" s="66"/>
      <c r="AZ19" s="65"/>
      <c r="BA19" s="67"/>
      <c r="BB19" s="69"/>
      <c r="BC19" s="66"/>
      <c r="BD19" s="66"/>
      <c r="BE19" s="66"/>
      <c r="BF19" s="66"/>
    </row>
    <row r="20" spans="1:58" ht="14.4" x14ac:dyDescent="0.35">
      <c r="A20" s="65"/>
      <c r="B20" s="67" t="s">
        <v>248</v>
      </c>
      <c r="C20" s="66">
        <v>2</v>
      </c>
      <c r="D20" s="68">
        <v>1</v>
      </c>
      <c r="E20" s="68">
        <v>1</v>
      </c>
      <c r="F20" s="68">
        <v>1</v>
      </c>
      <c r="G20" s="68">
        <v>1</v>
      </c>
      <c r="H20" s="65"/>
      <c r="I20" s="67" t="s">
        <v>248</v>
      </c>
      <c r="J20" s="66">
        <v>2</v>
      </c>
      <c r="K20" s="68">
        <v>2</v>
      </c>
      <c r="L20" s="68">
        <v>2</v>
      </c>
      <c r="M20" s="68">
        <v>2</v>
      </c>
      <c r="N20" s="68">
        <v>1</v>
      </c>
      <c r="O20" s="65"/>
      <c r="P20" s="67" t="s">
        <v>248</v>
      </c>
      <c r="Q20" s="66">
        <v>2</v>
      </c>
      <c r="R20" s="68">
        <v>3</v>
      </c>
      <c r="S20" s="68">
        <v>3</v>
      </c>
      <c r="T20" s="68">
        <v>2</v>
      </c>
      <c r="U20" s="68">
        <v>1</v>
      </c>
      <c r="V20" s="65"/>
      <c r="W20" s="67" t="s">
        <v>248</v>
      </c>
      <c r="X20" s="66">
        <v>2</v>
      </c>
      <c r="Y20" s="68">
        <v>3</v>
      </c>
      <c r="Z20" s="68">
        <v>3</v>
      </c>
      <c r="AA20" s="68">
        <v>2</v>
      </c>
      <c r="AB20" s="68">
        <v>1</v>
      </c>
      <c r="AC20" s="65"/>
      <c r="AF20" s="67"/>
      <c r="AG20" s="69"/>
      <c r="AH20" s="66"/>
      <c r="AI20" s="66"/>
      <c r="AJ20" s="66"/>
      <c r="AK20" s="66"/>
      <c r="AL20" s="65"/>
      <c r="AM20" s="67"/>
      <c r="AN20" s="69"/>
      <c r="AO20" s="66"/>
      <c r="AP20" s="66"/>
      <c r="AQ20" s="66"/>
      <c r="AR20" s="66"/>
      <c r="AS20" s="65"/>
      <c r="AT20" s="67"/>
      <c r="AU20" s="69"/>
      <c r="AV20" s="66"/>
      <c r="AW20" s="66"/>
      <c r="AX20" s="66"/>
      <c r="AY20" s="66"/>
      <c r="AZ20" s="65"/>
      <c r="BA20" s="67"/>
      <c r="BB20" s="69"/>
      <c r="BC20" s="66"/>
      <c r="BD20" s="66"/>
      <c r="BE20" s="66"/>
      <c r="BF20" s="66"/>
    </row>
    <row r="21" spans="1:58" ht="14.4" x14ac:dyDescent="0.35">
      <c r="A21" s="65"/>
      <c r="B21" s="67" t="s">
        <v>421</v>
      </c>
      <c r="C21" s="66">
        <v>1</v>
      </c>
      <c r="D21" s="68">
        <v>1</v>
      </c>
      <c r="E21" s="68">
        <v>1</v>
      </c>
      <c r="F21" s="68">
        <v>1</v>
      </c>
      <c r="G21" s="68">
        <v>1</v>
      </c>
      <c r="H21" s="65"/>
      <c r="I21" s="67" t="s">
        <v>421</v>
      </c>
      <c r="J21" s="66">
        <v>1</v>
      </c>
      <c r="K21" s="68">
        <v>2</v>
      </c>
      <c r="L21" s="68">
        <v>2</v>
      </c>
      <c r="M21" s="68">
        <v>2</v>
      </c>
      <c r="N21" s="68">
        <v>1</v>
      </c>
      <c r="O21" s="65"/>
      <c r="P21" s="67" t="s">
        <v>421</v>
      </c>
      <c r="Q21" s="66">
        <v>1</v>
      </c>
      <c r="R21" s="68">
        <v>3</v>
      </c>
      <c r="S21" s="68">
        <v>3</v>
      </c>
      <c r="T21" s="68">
        <v>2</v>
      </c>
      <c r="U21" s="68">
        <v>1</v>
      </c>
      <c r="V21" s="65"/>
      <c r="W21" s="67" t="s">
        <v>421</v>
      </c>
      <c r="X21" s="66">
        <v>1</v>
      </c>
      <c r="Y21" s="68">
        <v>4</v>
      </c>
      <c r="Z21" s="68">
        <v>3</v>
      </c>
      <c r="AA21" s="68">
        <v>2</v>
      </c>
      <c r="AB21" s="68">
        <v>1</v>
      </c>
      <c r="AC21" s="65"/>
      <c r="AF21" s="67"/>
      <c r="AG21" s="69"/>
      <c r="AH21" s="66"/>
      <c r="AI21" s="66"/>
      <c r="AJ21" s="66"/>
      <c r="AK21" s="66"/>
      <c r="AL21" s="65"/>
      <c r="AM21" s="67"/>
      <c r="AN21" s="69"/>
      <c r="AO21" s="66"/>
      <c r="AP21" s="66"/>
      <c r="AQ21" s="66"/>
      <c r="AR21" s="66"/>
      <c r="AS21" s="65"/>
      <c r="AT21" s="67"/>
      <c r="AU21" s="69"/>
      <c r="AV21" s="66"/>
      <c r="AW21" s="66"/>
      <c r="AX21" s="66"/>
      <c r="AY21" s="66"/>
      <c r="AZ21" s="65"/>
      <c r="BA21" s="67"/>
      <c r="BB21" s="69"/>
      <c r="BC21" s="66"/>
      <c r="BD21" s="66"/>
      <c r="BE21" s="66"/>
      <c r="BF21" s="66"/>
    </row>
    <row r="22" spans="1:58" ht="14.4" x14ac:dyDescent="0.35">
      <c r="A22" s="65"/>
      <c r="B22" s="67"/>
      <c r="C22" s="69"/>
      <c r="D22" s="66">
        <v>1</v>
      </c>
      <c r="E22" s="66">
        <v>2</v>
      </c>
      <c r="F22" s="66">
        <v>3</v>
      </c>
      <c r="G22" s="66">
        <v>4</v>
      </c>
      <c r="H22" s="65"/>
      <c r="I22" s="67"/>
      <c r="J22" s="69"/>
      <c r="K22" s="66">
        <v>1</v>
      </c>
      <c r="L22" s="66">
        <v>2</v>
      </c>
      <c r="M22" s="66">
        <v>3</v>
      </c>
      <c r="N22" s="66">
        <v>4</v>
      </c>
      <c r="O22" s="65"/>
      <c r="P22" s="67"/>
      <c r="Q22" s="69"/>
      <c r="R22" s="66">
        <v>1</v>
      </c>
      <c r="S22" s="66">
        <v>2</v>
      </c>
      <c r="T22" s="66">
        <v>3</v>
      </c>
      <c r="U22" s="66">
        <v>4</v>
      </c>
      <c r="V22" s="65"/>
      <c r="W22" s="67"/>
      <c r="X22" s="69"/>
      <c r="Y22" s="66">
        <v>1</v>
      </c>
      <c r="Z22" s="66">
        <v>2</v>
      </c>
      <c r="AA22" s="66">
        <v>3</v>
      </c>
      <c r="AB22" s="66">
        <v>4</v>
      </c>
      <c r="AC22" s="65"/>
      <c r="AF22" s="67"/>
      <c r="AG22" s="69"/>
      <c r="AH22" s="66"/>
      <c r="AI22" s="66"/>
      <c r="AJ22" s="66"/>
      <c r="AK22" s="66"/>
      <c r="AL22" s="65"/>
      <c r="AM22" s="67"/>
      <c r="AN22" s="69"/>
      <c r="AO22" s="66"/>
      <c r="AP22" s="66"/>
      <c r="AQ22" s="66"/>
      <c r="AR22" s="66"/>
      <c r="AS22" s="65"/>
      <c r="AT22" s="67"/>
      <c r="AU22" s="69"/>
      <c r="AV22" s="66"/>
      <c r="AW22" s="66"/>
      <c r="AX22" s="66"/>
      <c r="AY22" s="66"/>
      <c r="AZ22" s="65"/>
      <c r="BA22" s="67"/>
      <c r="BB22" s="69"/>
      <c r="BC22" s="66"/>
      <c r="BD22" s="66"/>
      <c r="BE22" s="66"/>
      <c r="BF22" s="66"/>
    </row>
    <row r="23" spans="1:58" ht="14.4" x14ac:dyDescent="0.35">
      <c r="A23" s="65"/>
      <c r="B23" s="65"/>
      <c r="C23" s="69"/>
      <c r="D23" s="66" t="s">
        <v>569</v>
      </c>
      <c r="E23" s="66" t="s">
        <v>572</v>
      </c>
      <c r="F23" s="66" t="s">
        <v>573</v>
      </c>
      <c r="G23" s="66" t="s">
        <v>573</v>
      </c>
      <c r="H23" s="65"/>
      <c r="I23" s="65"/>
      <c r="J23" s="69"/>
      <c r="K23" s="66" t="s">
        <v>569</v>
      </c>
      <c r="L23" s="66" t="s">
        <v>572</v>
      </c>
      <c r="M23" s="66" t="s">
        <v>573</v>
      </c>
      <c r="N23" s="66" t="s">
        <v>573</v>
      </c>
      <c r="O23" s="65"/>
      <c r="P23" s="65"/>
      <c r="Q23" s="69"/>
      <c r="R23" s="66" t="s">
        <v>569</v>
      </c>
      <c r="S23" s="66" t="s">
        <v>572</v>
      </c>
      <c r="T23" s="66" t="s">
        <v>573</v>
      </c>
      <c r="U23" s="66" t="s">
        <v>573</v>
      </c>
      <c r="V23" s="65"/>
      <c r="W23" s="65"/>
      <c r="X23" s="69"/>
      <c r="Y23" s="66" t="s">
        <v>569</v>
      </c>
      <c r="Z23" s="66" t="s">
        <v>572</v>
      </c>
      <c r="AA23" s="66" t="s">
        <v>573</v>
      </c>
      <c r="AB23" s="66" t="s">
        <v>573</v>
      </c>
      <c r="AC23" s="65"/>
      <c r="AF23" s="65"/>
      <c r="AG23" s="69"/>
      <c r="AH23" s="66"/>
      <c r="AI23" s="66"/>
      <c r="AJ23" s="66"/>
      <c r="AK23" s="66"/>
      <c r="AL23" s="65"/>
      <c r="AM23" s="65"/>
      <c r="AN23" s="69"/>
      <c r="AO23" s="66"/>
      <c r="AP23" s="66"/>
      <c r="AQ23" s="66"/>
      <c r="AR23" s="66"/>
      <c r="AS23" s="65"/>
      <c r="AT23" s="65"/>
      <c r="AU23" s="69"/>
      <c r="AV23" s="66"/>
      <c r="AW23" s="66"/>
      <c r="AX23" s="66"/>
      <c r="AY23" s="66"/>
      <c r="AZ23" s="65"/>
      <c r="BA23" s="65"/>
      <c r="BB23" s="69"/>
      <c r="BC23" s="66"/>
      <c r="BD23" s="66"/>
      <c r="BE23" s="66"/>
      <c r="BF23" s="66"/>
    </row>
    <row r="25" spans="1:58" ht="19.8" x14ac:dyDescent="0.5">
      <c r="A25" s="64" t="s">
        <v>575</v>
      </c>
    </row>
    <row r="26" spans="1:58" ht="3" customHeight="1" x14ac:dyDescent="0.4"/>
    <row r="27" spans="1:58" ht="14.4" x14ac:dyDescent="0.35">
      <c r="A27" s="65"/>
      <c r="B27" s="65"/>
      <c r="C27" s="1481" t="s">
        <v>565</v>
      </c>
      <c r="D27" s="1481"/>
      <c r="E27" s="1481"/>
      <c r="F27" s="1481"/>
      <c r="G27" s="1481"/>
      <c r="H27" s="65"/>
      <c r="I27" s="65"/>
      <c r="J27" s="1481" t="s">
        <v>566</v>
      </c>
      <c r="K27" s="1481"/>
      <c r="L27" s="1481"/>
      <c r="M27" s="1481"/>
      <c r="N27" s="1481"/>
      <c r="O27" s="65"/>
      <c r="P27" s="65"/>
      <c r="Q27" s="1481" t="s">
        <v>567</v>
      </c>
      <c r="R27" s="1481"/>
      <c r="S27" s="1481"/>
      <c r="T27" s="1481"/>
      <c r="U27" s="1481"/>
      <c r="V27" s="65"/>
      <c r="W27" s="65"/>
      <c r="X27" s="1481" t="s">
        <v>568</v>
      </c>
      <c r="Y27" s="1481"/>
      <c r="Z27" s="1481"/>
      <c r="AA27" s="1481"/>
      <c r="AB27" s="1481"/>
      <c r="AC27" s="65"/>
    </row>
    <row r="28" spans="1:58" ht="2.25" customHeight="1" x14ac:dyDescent="0.4">
      <c r="J28" s="61"/>
      <c r="K28" s="61"/>
      <c r="L28" s="61"/>
      <c r="M28" s="61"/>
      <c r="N28" s="61"/>
      <c r="Q28" s="61"/>
      <c r="R28" s="61"/>
      <c r="S28" s="61"/>
      <c r="T28" s="61"/>
      <c r="U28" s="61"/>
      <c r="X28" s="61"/>
      <c r="Y28" s="61"/>
      <c r="Z28" s="61"/>
      <c r="AA28" s="61"/>
      <c r="AB28" s="61"/>
    </row>
    <row r="29" spans="1:58" ht="14.4" x14ac:dyDescent="0.35">
      <c r="A29" s="65"/>
      <c r="B29" s="67" t="s">
        <v>309</v>
      </c>
      <c r="C29" s="66">
        <v>4</v>
      </c>
      <c r="D29" s="68">
        <v>1</v>
      </c>
      <c r="E29" s="68"/>
      <c r="F29" s="68"/>
      <c r="G29" s="68"/>
      <c r="H29" s="65"/>
      <c r="I29" s="67" t="s">
        <v>309</v>
      </c>
      <c r="J29" s="66">
        <v>4</v>
      </c>
      <c r="K29" s="68">
        <v>2</v>
      </c>
      <c r="L29" s="68"/>
      <c r="M29" s="68"/>
      <c r="N29" s="68"/>
      <c r="O29" s="65"/>
      <c r="P29" s="67" t="s">
        <v>309</v>
      </c>
      <c r="Q29" s="66">
        <v>4</v>
      </c>
      <c r="R29" s="68">
        <v>2</v>
      </c>
      <c r="S29" s="68"/>
      <c r="T29" s="68"/>
      <c r="U29" s="68"/>
      <c r="V29" s="65"/>
      <c r="W29" s="67" t="s">
        <v>309</v>
      </c>
      <c r="X29" s="66">
        <v>4</v>
      </c>
      <c r="Y29" s="68">
        <v>2</v>
      </c>
      <c r="Z29" s="68"/>
      <c r="AA29" s="68"/>
      <c r="AB29" s="68"/>
      <c r="AC29" s="65"/>
    </row>
    <row r="30" spans="1:58" ht="14.4" x14ac:dyDescent="0.35">
      <c r="A30" s="65"/>
      <c r="B30" s="67" t="s">
        <v>571</v>
      </c>
      <c r="C30" s="66">
        <v>3</v>
      </c>
      <c r="D30" s="68">
        <v>1</v>
      </c>
      <c r="E30" s="68"/>
      <c r="F30" s="68"/>
      <c r="G30" s="68"/>
      <c r="H30" s="65"/>
      <c r="I30" s="67" t="s">
        <v>571</v>
      </c>
      <c r="J30" s="66">
        <v>3</v>
      </c>
      <c r="K30" s="68">
        <v>2</v>
      </c>
      <c r="L30" s="68"/>
      <c r="M30" s="68"/>
      <c r="N30" s="68"/>
      <c r="O30" s="65"/>
      <c r="P30" s="67" t="s">
        <v>571</v>
      </c>
      <c r="Q30" s="66">
        <v>3</v>
      </c>
      <c r="R30" s="68">
        <v>2</v>
      </c>
      <c r="S30" s="68"/>
      <c r="T30" s="68"/>
      <c r="U30" s="68"/>
      <c r="V30" s="65"/>
      <c r="W30" s="67" t="s">
        <v>571</v>
      </c>
      <c r="X30" s="66">
        <v>3</v>
      </c>
      <c r="Y30" s="68">
        <v>2</v>
      </c>
      <c r="Z30" s="68"/>
      <c r="AA30" s="68"/>
      <c r="AB30" s="68"/>
      <c r="AC30" s="65"/>
    </row>
    <row r="31" spans="1:58" ht="14.4" x14ac:dyDescent="0.35">
      <c r="A31" s="65"/>
      <c r="B31" s="67" t="s">
        <v>248</v>
      </c>
      <c r="C31" s="66">
        <v>2</v>
      </c>
      <c r="D31" s="68">
        <v>1</v>
      </c>
      <c r="E31" s="68"/>
      <c r="F31" s="68"/>
      <c r="G31" s="68"/>
      <c r="H31" s="65"/>
      <c r="I31" s="67" t="s">
        <v>248</v>
      </c>
      <c r="J31" s="66">
        <v>2</v>
      </c>
      <c r="K31" s="68">
        <v>2</v>
      </c>
      <c r="L31" s="68"/>
      <c r="M31" s="68"/>
      <c r="N31" s="68"/>
      <c r="O31" s="65"/>
      <c r="P31" s="67" t="s">
        <v>248</v>
      </c>
      <c r="Q31" s="66">
        <v>2</v>
      </c>
      <c r="R31" s="68">
        <v>3</v>
      </c>
      <c r="S31" s="68"/>
      <c r="T31" s="68"/>
      <c r="U31" s="68"/>
      <c r="V31" s="65"/>
      <c r="W31" s="67" t="s">
        <v>248</v>
      </c>
      <c r="X31" s="66">
        <v>2</v>
      </c>
      <c r="Y31" s="68">
        <v>3</v>
      </c>
      <c r="Z31" s="68"/>
      <c r="AA31" s="68"/>
      <c r="AB31" s="68"/>
      <c r="AC31" s="65"/>
    </row>
    <row r="32" spans="1:58" ht="14.4" x14ac:dyDescent="0.35">
      <c r="A32" s="65"/>
      <c r="B32" s="67" t="s">
        <v>421</v>
      </c>
      <c r="C32" s="66">
        <v>1</v>
      </c>
      <c r="D32" s="68">
        <v>1</v>
      </c>
      <c r="E32" s="68"/>
      <c r="F32" s="68"/>
      <c r="G32" s="68"/>
      <c r="H32" s="65"/>
      <c r="I32" s="67" t="s">
        <v>421</v>
      </c>
      <c r="J32" s="66">
        <v>1</v>
      </c>
      <c r="K32" s="68">
        <v>2</v>
      </c>
      <c r="L32" s="68"/>
      <c r="M32" s="68"/>
      <c r="N32" s="68"/>
      <c r="O32" s="65"/>
      <c r="P32" s="67" t="s">
        <v>421</v>
      </c>
      <c r="Q32" s="66">
        <v>1</v>
      </c>
      <c r="R32" s="68">
        <v>3</v>
      </c>
      <c r="S32" s="68"/>
      <c r="T32" s="68"/>
      <c r="U32" s="68"/>
      <c r="V32" s="65"/>
      <c r="W32" s="67" t="s">
        <v>421</v>
      </c>
      <c r="X32" s="66">
        <v>1</v>
      </c>
      <c r="Y32" s="68">
        <v>4</v>
      </c>
      <c r="Z32" s="68"/>
      <c r="AA32" s="68"/>
      <c r="AB32" s="68"/>
      <c r="AC32" s="65"/>
    </row>
    <row r="33" spans="1:43" ht="14.4" x14ac:dyDescent="0.35">
      <c r="A33" s="65"/>
      <c r="B33" s="67"/>
      <c r="C33" s="69"/>
      <c r="D33" s="66">
        <v>1</v>
      </c>
      <c r="E33" s="66"/>
      <c r="F33" s="66"/>
      <c r="G33" s="66"/>
      <c r="H33" s="65"/>
      <c r="I33" s="67"/>
      <c r="J33" s="69"/>
      <c r="K33" s="66">
        <v>1</v>
      </c>
      <c r="L33" s="66"/>
      <c r="M33" s="66"/>
      <c r="N33" s="66"/>
      <c r="O33" s="65"/>
      <c r="P33" s="67"/>
      <c r="Q33" s="69"/>
      <c r="R33" s="66">
        <v>1</v>
      </c>
      <c r="S33" s="66"/>
      <c r="T33" s="66"/>
      <c r="U33" s="66"/>
      <c r="V33" s="65"/>
      <c r="W33" s="67"/>
      <c r="X33" s="69"/>
      <c r="Y33" s="66">
        <v>1</v>
      </c>
      <c r="Z33" s="66"/>
      <c r="AA33" s="66"/>
      <c r="AB33" s="66"/>
      <c r="AC33" s="65"/>
    </row>
    <row r="34" spans="1:43" ht="14.4" x14ac:dyDescent="0.35">
      <c r="A34" s="65"/>
      <c r="B34" s="65"/>
      <c r="C34" s="69"/>
      <c r="D34" s="66" t="s">
        <v>569</v>
      </c>
      <c r="E34" s="66" t="s">
        <v>572</v>
      </c>
      <c r="F34" s="66" t="s">
        <v>573</v>
      </c>
      <c r="G34" s="66" t="s">
        <v>573</v>
      </c>
      <c r="H34" s="65"/>
      <c r="I34" s="65"/>
      <c r="J34" s="69"/>
      <c r="K34" s="66" t="s">
        <v>569</v>
      </c>
      <c r="L34" s="66" t="s">
        <v>572</v>
      </c>
      <c r="M34" s="66" t="s">
        <v>573</v>
      </c>
      <c r="N34" s="66" t="s">
        <v>573</v>
      </c>
      <c r="O34" s="65"/>
      <c r="P34" s="65"/>
      <c r="Q34" s="69"/>
      <c r="R34" s="66" t="s">
        <v>569</v>
      </c>
      <c r="S34" s="66" t="s">
        <v>572</v>
      </c>
      <c r="T34" s="66" t="s">
        <v>573</v>
      </c>
      <c r="U34" s="66" t="s">
        <v>573</v>
      </c>
      <c r="V34" s="65"/>
      <c r="W34" s="65"/>
      <c r="X34" s="69"/>
      <c r="Y34" s="66" t="s">
        <v>569</v>
      </c>
      <c r="Z34" s="66" t="s">
        <v>572</v>
      </c>
      <c r="AA34" s="66" t="s">
        <v>573</v>
      </c>
      <c r="AB34" s="66" t="s">
        <v>573</v>
      </c>
      <c r="AC34" s="65"/>
    </row>
    <row r="35" spans="1:43" ht="8.25" customHeight="1" x14ac:dyDescent="0.4"/>
    <row r="36" spans="1:43" s="71" customFormat="1" ht="15" customHeight="1" x14ac:dyDescent="0.25">
      <c r="A36" s="78" t="s">
        <v>2289</v>
      </c>
      <c r="B36" s="70"/>
      <c r="C36" s="79"/>
      <c r="D36" s="79"/>
      <c r="E36" s="79"/>
      <c r="F36" s="79"/>
      <c r="G36" s="79"/>
      <c r="H36" s="70"/>
      <c r="I36" s="70"/>
      <c r="J36" s="70"/>
      <c r="K36" s="70"/>
      <c r="L36" s="70"/>
      <c r="M36" s="70"/>
      <c r="N36" s="70"/>
      <c r="O36" s="70"/>
      <c r="P36" s="70"/>
      <c r="Q36" s="70"/>
      <c r="R36" s="70"/>
      <c r="S36" s="70"/>
      <c r="T36" s="70"/>
      <c r="U36" s="70"/>
      <c r="V36" s="70"/>
      <c r="W36" s="70"/>
      <c r="X36" s="70"/>
      <c r="Y36" s="70"/>
      <c r="Z36" s="70"/>
      <c r="AA36" s="70"/>
      <c r="AB36" s="70"/>
      <c r="AC36" s="70"/>
    </row>
    <row r="37" spans="1:43" ht="3" customHeight="1" x14ac:dyDescent="0.4"/>
    <row r="38" spans="1:43" ht="12" customHeight="1" x14ac:dyDescent="0.35">
      <c r="A38" s="65"/>
      <c r="B38" s="65"/>
      <c r="C38" s="1481" t="s">
        <v>565</v>
      </c>
      <c r="D38" s="1481"/>
      <c r="E38" s="1481"/>
      <c r="F38" s="1481"/>
      <c r="G38" s="1481"/>
      <c r="H38" s="65"/>
      <c r="I38" s="65"/>
      <c r="J38" s="1481" t="s">
        <v>566</v>
      </c>
      <c r="K38" s="1481"/>
      <c r="L38" s="1481"/>
      <c r="M38" s="1481"/>
      <c r="N38" s="1481"/>
      <c r="O38" s="65"/>
      <c r="P38" s="65"/>
      <c r="Q38" s="1481" t="s">
        <v>567</v>
      </c>
      <c r="R38" s="1481"/>
      <c r="S38" s="1481"/>
      <c r="T38" s="1481"/>
      <c r="U38" s="1481"/>
      <c r="V38" s="65"/>
      <c r="W38" s="65"/>
      <c r="X38" s="1481" t="s">
        <v>568</v>
      </c>
      <c r="Y38" s="1481"/>
      <c r="Z38" s="1481"/>
      <c r="AA38" s="1481"/>
      <c r="AB38" s="1481"/>
      <c r="AC38" s="65"/>
    </row>
    <row r="39" spans="1:43" ht="3.75" hidden="1" customHeight="1" x14ac:dyDescent="0.4">
      <c r="J39" s="61"/>
      <c r="K39" s="61"/>
      <c r="L39" s="61"/>
      <c r="M39" s="61"/>
      <c r="N39" s="61"/>
      <c r="Q39" s="61"/>
      <c r="R39" s="61"/>
      <c r="S39" s="61"/>
      <c r="T39" s="61"/>
      <c r="U39" s="61"/>
      <c r="X39" s="61"/>
      <c r="Y39" s="61"/>
      <c r="Z39" s="61"/>
      <c r="AA39" s="61"/>
      <c r="AB39" s="61"/>
    </row>
    <row r="40" spans="1:43" ht="14.4" x14ac:dyDescent="0.35">
      <c r="A40" s="65"/>
      <c r="B40" s="67" t="s">
        <v>309</v>
      </c>
      <c r="C40" s="66">
        <v>4</v>
      </c>
      <c r="D40" s="68">
        <v>1</v>
      </c>
      <c r="E40" s="68">
        <v>1</v>
      </c>
      <c r="F40" s="68">
        <v>1</v>
      </c>
      <c r="G40" s="68">
        <v>1</v>
      </c>
      <c r="H40" s="65"/>
      <c r="I40" s="67" t="s">
        <v>309</v>
      </c>
      <c r="J40" s="66">
        <v>4</v>
      </c>
      <c r="K40" s="68">
        <v>1</v>
      </c>
      <c r="L40" s="68">
        <v>1</v>
      </c>
      <c r="M40" s="68">
        <v>1</v>
      </c>
      <c r="N40" s="68">
        <v>1</v>
      </c>
      <c r="O40" s="65"/>
      <c r="P40" s="67" t="s">
        <v>309</v>
      </c>
      <c r="Q40" s="66">
        <v>4</v>
      </c>
      <c r="R40" s="68">
        <v>1</v>
      </c>
      <c r="S40" s="68">
        <v>1</v>
      </c>
      <c r="T40" s="68">
        <v>1</v>
      </c>
      <c r="U40" s="68">
        <v>1</v>
      </c>
      <c r="V40" s="65"/>
      <c r="W40" s="67" t="s">
        <v>309</v>
      </c>
      <c r="X40" s="66">
        <v>4</v>
      </c>
      <c r="Y40" s="68">
        <v>1</v>
      </c>
      <c r="Z40" s="68">
        <v>1</v>
      </c>
      <c r="AA40" s="68">
        <v>1</v>
      </c>
      <c r="AB40" s="68">
        <v>1</v>
      </c>
      <c r="AC40" s="65"/>
    </row>
    <row r="41" spans="1:43" ht="14.4" x14ac:dyDescent="0.35">
      <c r="A41" s="65"/>
      <c r="B41" s="67" t="s">
        <v>571</v>
      </c>
      <c r="C41" s="66">
        <v>3</v>
      </c>
      <c r="D41" s="68">
        <v>1</v>
      </c>
      <c r="E41" s="68">
        <v>1</v>
      </c>
      <c r="F41" s="68">
        <v>1</v>
      </c>
      <c r="G41" s="68">
        <v>1</v>
      </c>
      <c r="H41" s="65"/>
      <c r="I41" s="67" t="s">
        <v>571</v>
      </c>
      <c r="J41" s="66">
        <v>3</v>
      </c>
      <c r="K41" s="68">
        <v>2</v>
      </c>
      <c r="L41" s="68">
        <v>2</v>
      </c>
      <c r="M41" s="68">
        <v>1</v>
      </c>
      <c r="N41" s="68">
        <v>1</v>
      </c>
      <c r="O41" s="65"/>
      <c r="P41" s="67" t="s">
        <v>571</v>
      </c>
      <c r="Q41" s="66">
        <v>3</v>
      </c>
      <c r="R41" s="68">
        <v>2</v>
      </c>
      <c r="S41" s="68">
        <v>2</v>
      </c>
      <c r="T41" s="68">
        <v>1</v>
      </c>
      <c r="U41" s="68">
        <v>1</v>
      </c>
      <c r="V41" s="65"/>
      <c r="W41" s="67" t="s">
        <v>571</v>
      </c>
      <c r="X41" s="66">
        <v>3</v>
      </c>
      <c r="Y41" s="68">
        <v>2</v>
      </c>
      <c r="Z41" s="68">
        <v>2</v>
      </c>
      <c r="AA41" s="68">
        <v>2</v>
      </c>
      <c r="AB41" s="68">
        <v>1</v>
      </c>
      <c r="AC41" s="65"/>
    </row>
    <row r="42" spans="1:43" ht="14.4" x14ac:dyDescent="0.35">
      <c r="A42" s="65"/>
      <c r="B42" s="67" t="s">
        <v>248</v>
      </c>
      <c r="C42" s="66">
        <v>2</v>
      </c>
      <c r="D42" s="68">
        <v>1</v>
      </c>
      <c r="E42" s="68">
        <v>1</v>
      </c>
      <c r="F42" s="68">
        <v>1</v>
      </c>
      <c r="G42" s="68">
        <v>1</v>
      </c>
      <c r="H42" s="65"/>
      <c r="I42" s="67" t="s">
        <v>248</v>
      </c>
      <c r="J42" s="66">
        <v>2</v>
      </c>
      <c r="K42" s="68">
        <v>2</v>
      </c>
      <c r="L42" s="68">
        <v>2</v>
      </c>
      <c r="M42" s="68">
        <v>2</v>
      </c>
      <c r="N42" s="68">
        <v>1</v>
      </c>
      <c r="O42" s="65"/>
      <c r="P42" s="67" t="s">
        <v>248</v>
      </c>
      <c r="Q42" s="66">
        <v>2</v>
      </c>
      <c r="R42" s="68">
        <v>3</v>
      </c>
      <c r="S42" s="68">
        <v>3</v>
      </c>
      <c r="T42" s="68">
        <v>2</v>
      </c>
      <c r="U42" s="68">
        <v>1</v>
      </c>
      <c r="V42" s="65"/>
      <c r="W42" s="67" t="s">
        <v>248</v>
      </c>
      <c r="X42" s="66">
        <v>2</v>
      </c>
      <c r="Y42" s="68">
        <v>3</v>
      </c>
      <c r="Z42" s="68">
        <v>3</v>
      </c>
      <c r="AA42" s="68">
        <v>2</v>
      </c>
      <c r="AB42" s="68">
        <v>1</v>
      </c>
      <c r="AC42" s="65"/>
    </row>
    <row r="43" spans="1:43" ht="14.4" x14ac:dyDescent="0.35">
      <c r="A43" s="65"/>
      <c r="B43" s="67" t="s">
        <v>421</v>
      </c>
      <c r="C43" s="66">
        <v>1</v>
      </c>
      <c r="D43" s="68">
        <v>1</v>
      </c>
      <c r="E43" s="68">
        <v>1</v>
      </c>
      <c r="F43" s="68">
        <v>1</v>
      </c>
      <c r="G43" s="68">
        <v>1</v>
      </c>
      <c r="H43" s="65"/>
      <c r="I43" s="67" t="s">
        <v>421</v>
      </c>
      <c r="J43" s="66">
        <v>1</v>
      </c>
      <c r="K43" s="68">
        <v>2</v>
      </c>
      <c r="L43" s="68">
        <v>2</v>
      </c>
      <c r="M43" s="68">
        <v>2</v>
      </c>
      <c r="N43" s="68">
        <v>1</v>
      </c>
      <c r="O43" s="65"/>
      <c r="P43" s="67" t="s">
        <v>421</v>
      </c>
      <c r="Q43" s="66">
        <v>1</v>
      </c>
      <c r="R43" s="68">
        <v>3</v>
      </c>
      <c r="S43" s="68">
        <v>3</v>
      </c>
      <c r="T43" s="68">
        <v>2</v>
      </c>
      <c r="U43" s="68">
        <v>1</v>
      </c>
      <c r="V43" s="65"/>
      <c r="W43" s="67" t="s">
        <v>421</v>
      </c>
      <c r="X43" s="66">
        <v>1</v>
      </c>
      <c r="Y43" s="68">
        <v>4</v>
      </c>
      <c r="Z43" s="68">
        <v>3</v>
      </c>
      <c r="AA43" s="68">
        <v>2</v>
      </c>
      <c r="AB43" s="68">
        <v>1</v>
      </c>
      <c r="AC43" s="65"/>
    </row>
    <row r="44" spans="1:43" ht="14.4" x14ac:dyDescent="0.35">
      <c r="A44" s="65"/>
      <c r="B44" s="67"/>
      <c r="C44" s="69"/>
      <c r="D44" s="66">
        <v>1</v>
      </c>
      <c r="E44" s="66">
        <v>2</v>
      </c>
      <c r="F44" s="66">
        <v>3</v>
      </c>
      <c r="G44" s="66">
        <v>4</v>
      </c>
      <c r="H44" s="65"/>
      <c r="I44" s="67"/>
      <c r="J44" s="69"/>
      <c r="K44" s="66">
        <v>1</v>
      </c>
      <c r="L44" s="66">
        <v>2</v>
      </c>
      <c r="M44" s="66">
        <v>3</v>
      </c>
      <c r="N44" s="66">
        <v>4</v>
      </c>
      <c r="O44" s="65"/>
      <c r="P44" s="67"/>
      <c r="Q44" s="69"/>
      <c r="R44" s="66">
        <v>1</v>
      </c>
      <c r="S44" s="66">
        <v>2</v>
      </c>
      <c r="T44" s="66">
        <v>3</v>
      </c>
      <c r="U44" s="66">
        <v>4</v>
      </c>
      <c r="V44" s="65"/>
      <c r="W44" s="67"/>
      <c r="X44" s="69"/>
      <c r="Y44" s="66">
        <v>1</v>
      </c>
      <c r="Z44" s="66">
        <v>2</v>
      </c>
      <c r="AA44" s="66">
        <v>3</v>
      </c>
      <c r="AB44" s="66">
        <v>4</v>
      </c>
      <c r="AC44" s="65"/>
    </row>
    <row r="45" spans="1:43" ht="12" customHeight="1" x14ac:dyDescent="0.35">
      <c r="A45" s="65"/>
      <c r="B45" s="65"/>
      <c r="C45" s="69"/>
      <c r="D45" s="66" t="s">
        <v>569</v>
      </c>
      <c r="E45" s="66" t="s">
        <v>572</v>
      </c>
      <c r="F45" s="66" t="s">
        <v>573</v>
      </c>
      <c r="G45" s="66" t="s">
        <v>573</v>
      </c>
      <c r="H45" s="65"/>
      <c r="I45" s="65"/>
      <c r="J45" s="69"/>
      <c r="K45" s="66" t="s">
        <v>569</v>
      </c>
      <c r="L45" s="66" t="s">
        <v>572</v>
      </c>
      <c r="M45" s="66" t="s">
        <v>573</v>
      </c>
      <c r="N45" s="66" t="s">
        <v>573</v>
      </c>
      <c r="O45" s="65"/>
      <c r="P45" s="65"/>
      <c r="Q45" s="69"/>
      <c r="R45" s="66" t="s">
        <v>569</v>
      </c>
      <c r="S45" s="66" t="s">
        <v>572</v>
      </c>
      <c r="T45" s="66" t="s">
        <v>573</v>
      </c>
      <c r="U45" s="66" t="s">
        <v>573</v>
      </c>
      <c r="V45" s="65"/>
      <c r="W45" s="65"/>
      <c r="X45" s="69"/>
      <c r="Y45" s="66" t="s">
        <v>569</v>
      </c>
      <c r="Z45" s="66" t="s">
        <v>572</v>
      </c>
      <c r="AA45" s="66" t="s">
        <v>573</v>
      </c>
      <c r="AB45" s="66" t="s">
        <v>573</v>
      </c>
      <c r="AC45" s="65"/>
      <c r="AE45" s="1482"/>
      <c r="AF45" s="1482"/>
      <c r="AG45" s="1482"/>
      <c r="AH45" s="1482"/>
    </row>
    <row r="46" spans="1:43" ht="8.25" customHeight="1" x14ac:dyDescent="0.4">
      <c r="AE46" s="187"/>
      <c r="AF46" s="187"/>
      <c r="AG46" s="187"/>
      <c r="AH46" s="188"/>
    </row>
    <row r="47" spans="1:43" ht="1.5" customHeight="1" x14ac:dyDescent="0.4">
      <c r="AE47" s="187"/>
      <c r="AF47" s="187"/>
      <c r="AG47" s="187"/>
      <c r="AH47" s="188"/>
      <c r="AI47" s="71"/>
      <c r="AJ47" s="71"/>
      <c r="AK47" s="71"/>
      <c r="AL47" s="71"/>
      <c r="AM47" s="71"/>
      <c r="AN47" s="71"/>
      <c r="AO47" s="71"/>
      <c r="AP47" s="71"/>
      <c r="AQ47" s="71"/>
    </row>
    <row r="48" spans="1:43" ht="21" x14ac:dyDescent="0.5">
      <c r="A48" s="59" t="s">
        <v>238</v>
      </c>
      <c r="B48" s="61"/>
      <c r="AE48" s="187"/>
      <c r="AF48" s="187"/>
      <c r="AG48" s="187"/>
      <c r="AH48" s="188"/>
    </row>
    <row r="49" spans="1:34" x14ac:dyDescent="0.4">
      <c r="B49" s="61"/>
      <c r="AE49" s="187"/>
      <c r="AF49" s="187"/>
      <c r="AG49" s="187"/>
      <c r="AH49" s="188"/>
    </row>
    <row r="50" spans="1:34" ht="19.8" x14ac:dyDescent="0.5">
      <c r="A50" s="64" t="s">
        <v>239</v>
      </c>
      <c r="B50" s="61"/>
      <c r="AE50" s="187"/>
      <c r="AF50" s="187"/>
      <c r="AG50" s="187"/>
      <c r="AH50" s="188"/>
    </row>
    <row r="51" spans="1:34" ht="3" customHeight="1" x14ac:dyDescent="0.4">
      <c r="B51" s="61"/>
      <c r="AE51" s="187"/>
      <c r="AF51" s="187"/>
      <c r="AG51" s="187"/>
      <c r="AH51" s="188"/>
    </row>
    <row r="52" spans="1:34" ht="14.4" x14ac:dyDescent="0.35">
      <c r="A52" s="65"/>
      <c r="B52" s="69"/>
      <c r="C52" s="1481" t="s">
        <v>240</v>
      </c>
      <c r="D52" s="1481"/>
      <c r="E52" s="1481"/>
      <c r="F52" s="1481"/>
      <c r="G52" s="1481"/>
      <c r="H52" s="65"/>
      <c r="I52" s="65"/>
      <c r="J52" s="1481" t="s">
        <v>241</v>
      </c>
      <c r="K52" s="1481"/>
      <c r="L52" s="1481"/>
      <c r="M52" s="1481"/>
      <c r="N52" s="1481"/>
      <c r="O52" s="65"/>
      <c r="P52" s="65"/>
      <c r="Q52" s="1481" t="s">
        <v>242</v>
      </c>
      <c r="R52" s="1481"/>
      <c r="S52" s="1481"/>
      <c r="T52" s="1481"/>
      <c r="U52" s="1481"/>
      <c r="V52" s="65"/>
      <c r="W52" s="65"/>
      <c r="X52" s="1481" t="s">
        <v>243</v>
      </c>
      <c r="Y52" s="1481"/>
      <c r="Z52" s="1481"/>
      <c r="AA52" s="1481"/>
      <c r="AB52" s="1481"/>
      <c r="AC52" s="65"/>
      <c r="AE52" s="187"/>
      <c r="AF52" s="187"/>
      <c r="AG52" s="187"/>
      <c r="AH52" s="188"/>
    </row>
    <row r="53" spans="1:34" ht="3" customHeight="1" x14ac:dyDescent="0.4">
      <c r="B53" s="61"/>
      <c r="J53" s="61"/>
      <c r="K53" s="61"/>
      <c r="L53" s="61"/>
      <c r="M53" s="61"/>
      <c r="N53" s="61"/>
      <c r="Q53" s="61"/>
      <c r="R53" s="61"/>
      <c r="S53" s="61"/>
      <c r="T53" s="61"/>
      <c r="U53" s="61"/>
      <c r="X53" s="61"/>
      <c r="Y53" s="61"/>
      <c r="Z53" s="61"/>
      <c r="AA53" s="61"/>
      <c r="AB53" s="61"/>
      <c r="AE53" s="187"/>
      <c r="AF53" s="187"/>
      <c r="AG53" s="187"/>
      <c r="AH53" s="188"/>
    </row>
    <row r="54" spans="1:34" ht="14.4" x14ac:dyDescent="0.35">
      <c r="A54" s="65"/>
      <c r="B54" s="66" t="s">
        <v>539</v>
      </c>
      <c r="C54" s="66"/>
      <c r="D54" s="68"/>
      <c r="E54" s="68"/>
      <c r="F54" s="68"/>
      <c r="G54" s="68"/>
      <c r="H54" s="65"/>
      <c r="I54" s="66" t="s">
        <v>539</v>
      </c>
      <c r="J54" s="66"/>
      <c r="K54" s="68"/>
      <c r="L54" s="68"/>
      <c r="M54" s="68"/>
      <c r="N54" s="68"/>
      <c r="O54" s="65"/>
      <c r="P54" s="66" t="s">
        <v>539</v>
      </c>
      <c r="Q54" s="66"/>
      <c r="R54" s="68"/>
      <c r="S54" s="68"/>
      <c r="T54" s="68"/>
      <c r="U54" s="68"/>
      <c r="V54" s="65"/>
      <c r="W54" s="66" t="s">
        <v>539</v>
      </c>
      <c r="X54" s="66"/>
      <c r="Y54" s="68"/>
      <c r="Z54" s="68"/>
      <c r="AA54" s="68"/>
      <c r="AB54" s="68"/>
      <c r="AC54" s="65"/>
      <c r="AE54" s="187"/>
      <c r="AF54" s="187"/>
      <c r="AG54" s="187"/>
      <c r="AH54" s="188"/>
    </row>
    <row r="55" spans="1:34" ht="14.4" x14ac:dyDescent="0.35">
      <c r="A55" s="65"/>
      <c r="B55" s="66" t="s">
        <v>268</v>
      </c>
      <c r="C55" s="66"/>
      <c r="D55" s="68"/>
      <c r="E55" s="68"/>
      <c r="F55" s="68"/>
      <c r="G55" s="68"/>
      <c r="H55" s="65"/>
      <c r="I55" s="66" t="s">
        <v>268</v>
      </c>
      <c r="J55" s="66"/>
      <c r="K55" s="68"/>
      <c r="L55" s="68"/>
      <c r="M55" s="68"/>
      <c r="N55" s="68"/>
      <c r="O55" s="65"/>
      <c r="P55" s="66" t="s">
        <v>268</v>
      </c>
      <c r="Q55" s="66"/>
      <c r="R55" s="68"/>
      <c r="S55" s="68"/>
      <c r="T55" s="68"/>
      <c r="U55" s="68"/>
      <c r="V55" s="65"/>
      <c r="W55" s="66" t="s">
        <v>268</v>
      </c>
      <c r="X55" s="66"/>
      <c r="Y55" s="68"/>
      <c r="Z55" s="68"/>
      <c r="AA55" s="68"/>
      <c r="AB55" s="68"/>
      <c r="AC55" s="65"/>
      <c r="AE55" s="187"/>
      <c r="AF55" s="187"/>
      <c r="AG55" s="187"/>
      <c r="AH55" s="188"/>
    </row>
    <row r="56" spans="1:34" ht="14.4" x14ac:dyDescent="0.35">
      <c r="A56" s="65"/>
      <c r="B56" s="66" t="s">
        <v>244</v>
      </c>
      <c r="C56" s="66"/>
      <c r="D56" s="68"/>
      <c r="E56" s="68"/>
      <c r="F56" s="68"/>
      <c r="G56" s="68"/>
      <c r="H56" s="65"/>
      <c r="I56" s="66" t="s">
        <v>244</v>
      </c>
      <c r="J56" s="66"/>
      <c r="K56" s="68"/>
      <c r="L56" s="68"/>
      <c r="M56" s="68"/>
      <c r="N56" s="68"/>
      <c r="O56" s="65"/>
      <c r="P56" s="66" t="s">
        <v>244</v>
      </c>
      <c r="Q56" s="66"/>
      <c r="R56" s="68"/>
      <c r="S56" s="68"/>
      <c r="T56" s="68"/>
      <c r="U56" s="68"/>
      <c r="V56" s="65"/>
      <c r="W56" s="66" t="s">
        <v>244</v>
      </c>
      <c r="X56" s="66"/>
      <c r="Y56" s="68"/>
      <c r="Z56" s="68"/>
      <c r="AA56" s="68"/>
      <c r="AB56" s="68"/>
      <c r="AC56" s="65"/>
      <c r="AE56" s="187"/>
      <c r="AF56" s="187"/>
      <c r="AG56" s="187"/>
      <c r="AH56" s="188"/>
    </row>
    <row r="57" spans="1:34" ht="14.4" x14ac:dyDescent="0.35">
      <c r="A57" s="65"/>
      <c r="B57" s="66" t="s">
        <v>244</v>
      </c>
      <c r="C57" s="66">
        <v>1</v>
      </c>
      <c r="D57" s="68">
        <v>1</v>
      </c>
      <c r="E57" s="68">
        <v>1</v>
      </c>
      <c r="F57" s="68">
        <v>1</v>
      </c>
      <c r="G57" s="68">
        <v>1</v>
      </c>
      <c r="H57" s="65"/>
      <c r="I57" s="66" t="s">
        <v>244</v>
      </c>
      <c r="J57" s="66">
        <v>1</v>
      </c>
      <c r="K57" s="68">
        <v>2</v>
      </c>
      <c r="L57" s="68">
        <v>2</v>
      </c>
      <c r="M57" s="68">
        <v>2</v>
      </c>
      <c r="N57" s="68">
        <v>1</v>
      </c>
      <c r="O57" s="65"/>
      <c r="P57" s="66" t="s">
        <v>244</v>
      </c>
      <c r="Q57" s="66">
        <v>1</v>
      </c>
      <c r="R57" s="68">
        <v>3</v>
      </c>
      <c r="S57" s="68">
        <v>3</v>
      </c>
      <c r="T57" s="68">
        <v>2</v>
      </c>
      <c r="U57" s="68">
        <v>1</v>
      </c>
      <c r="V57" s="65"/>
      <c r="W57" s="66" t="s">
        <v>244</v>
      </c>
      <c r="X57" s="66">
        <v>1</v>
      </c>
      <c r="Y57" s="68">
        <v>4</v>
      </c>
      <c r="Z57" s="68">
        <v>4</v>
      </c>
      <c r="AA57" s="68">
        <v>2</v>
      </c>
      <c r="AB57" s="68">
        <v>1</v>
      </c>
      <c r="AC57" s="65"/>
      <c r="AE57" s="187"/>
      <c r="AF57" s="187"/>
      <c r="AG57" s="187"/>
      <c r="AH57" s="169"/>
    </row>
    <row r="58" spans="1:34" ht="14.4" x14ac:dyDescent="0.35">
      <c r="A58" s="65"/>
      <c r="B58" s="69"/>
      <c r="C58" s="69"/>
      <c r="D58" s="66">
        <v>1</v>
      </c>
      <c r="E58" s="66">
        <v>2</v>
      </c>
      <c r="F58" s="66">
        <v>3</v>
      </c>
      <c r="G58" s="66">
        <v>4</v>
      </c>
      <c r="H58" s="65"/>
      <c r="I58" s="65"/>
      <c r="J58" s="69"/>
      <c r="K58" s="66">
        <v>1</v>
      </c>
      <c r="L58" s="66">
        <v>2</v>
      </c>
      <c r="M58" s="66">
        <v>3</v>
      </c>
      <c r="N58" s="66">
        <v>4</v>
      </c>
      <c r="O58" s="65"/>
      <c r="P58" s="65"/>
      <c r="Q58" s="69"/>
      <c r="R58" s="66">
        <v>1</v>
      </c>
      <c r="S58" s="66">
        <v>2</v>
      </c>
      <c r="T58" s="66">
        <v>3</v>
      </c>
      <c r="U58" s="66">
        <v>4</v>
      </c>
      <c r="V58" s="65"/>
      <c r="W58" s="65"/>
      <c r="X58" s="69"/>
      <c r="Y58" s="66">
        <v>1</v>
      </c>
      <c r="Z58" s="66">
        <v>2</v>
      </c>
      <c r="AA58" s="66">
        <v>3</v>
      </c>
      <c r="AB58" s="66">
        <v>4</v>
      </c>
      <c r="AC58" s="65"/>
      <c r="AE58" s="187"/>
      <c r="AF58" s="187"/>
      <c r="AG58" s="187"/>
      <c r="AH58" s="169"/>
    </row>
    <row r="59" spans="1:34" ht="14.4" x14ac:dyDescent="0.35">
      <c r="A59" s="65"/>
      <c r="B59" s="69"/>
      <c r="C59" s="69"/>
      <c r="D59" s="66" t="s">
        <v>569</v>
      </c>
      <c r="E59" s="66" t="s">
        <v>570</v>
      </c>
      <c r="F59" s="66" t="s">
        <v>357</v>
      </c>
      <c r="G59" s="66" t="s">
        <v>245</v>
      </c>
      <c r="H59" s="65"/>
      <c r="I59" s="65"/>
      <c r="J59" s="69"/>
      <c r="K59" s="66" t="s">
        <v>569</v>
      </c>
      <c r="L59" s="66" t="s">
        <v>570</v>
      </c>
      <c r="M59" s="66" t="s">
        <v>357</v>
      </c>
      <c r="N59" s="66" t="s">
        <v>245</v>
      </c>
      <c r="O59" s="65"/>
      <c r="P59" s="65"/>
      <c r="Q59" s="69"/>
      <c r="R59" s="66" t="s">
        <v>569</v>
      </c>
      <c r="S59" s="66" t="s">
        <v>570</v>
      </c>
      <c r="T59" s="66" t="s">
        <v>357</v>
      </c>
      <c r="U59" s="66" t="s">
        <v>245</v>
      </c>
      <c r="V59" s="65"/>
      <c r="W59" s="65"/>
      <c r="X59" s="69"/>
      <c r="Y59" s="66" t="s">
        <v>569</v>
      </c>
      <c r="Z59" s="66" t="s">
        <v>570</v>
      </c>
      <c r="AA59" s="66" t="s">
        <v>357</v>
      </c>
      <c r="AB59" s="66" t="s">
        <v>245</v>
      </c>
      <c r="AC59" s="65"/>
      <c r="AE59" s="187"/>
      <c r="AF59" s="187"/>
      <c r="AG59" s="187"/>
      <c r="AH59" s="169"/>
    </row>
    <row r="60" spans="1:34" x14ac:dyDescent="0.4">
      <c r="B60" s="61"/>
      <c r="AE60" s="187"/>
      <c r="AF60" s="187"/>
      <c r="AG60" s="187"/>
      <c r="AH60" s="169"/>
    </row>
    <row r="61" spans="1:34" ht="19.8" x14ac:dyDescent="0.5">
      <c r="A61" s="64" t="s">
        <v>246</v>
      </c>
      <c r="B61" s="61"/>
      <c r="AE61" s="187"/>
      <c r="AF61" s="187"/>
      <c r="AG61" s="187"/>
      <c r="AH61" s="169"/>
    </row>
    <row r="62" spans="1:34" ht="3" customHeight="1" x14ac:dyDescent="0.4">
      <c r="B62" s="61"/>
      <c r="AE62" s="187"/>
      <c r="AF62" s="187"/>
      <c r="AG62" s="187"/>
      <c r="AH62" s="188"/>
    </row>
    <row r="63" spans="1:34" ht="14.4" x14ac:dyDescent="0.35">
      <c r="A63" s="65"/>
      <c r="B63" s="69"/>
      <c r="C63" s="1481" t="s">
        <v>240</v>
      </c>
      <c r="D63" s="1481"/>
      <c r="E63" s="1481"/>
      <c r="F63" s="1481"/>
      <c r="G63" s="1481"/>
      <c r="H63" s="65"/>
      <c r="I63" s="65"/>
      <c r="J63" s="1481" t="s">
        <v>241</v>
      </c>
      <c r="K63" s="1481"/>
      <c r="L63" s="1481"/>
      <c r="M63" s="1481"/>
      <c r="N63" s="1481"/>
      <c r="O63" s="65"/>
      <c r="P63" s="65"/>
      <c r="Q63" s="1481" t="s">
        <v>242</v>
      </c>
      <c r="R63" s="1481"/>
      <c r="S63" s="1481"/>
      <c r="T63" s="1481"/>
      <c r="U63" s="1481"/>
      <c r="V63" s="65"/>
      <c r="W63" s="65"/>
      <c r="X63" s="1481" t="s">
        <v>243</v>
      </c>
      <c r="Y63" s="1481"/>
      <c r="Z63" s="1481"/>
      <c r="AA63" s="1481"/>
      <c r="AB63" s="1481"/>
      <c r="AC63" s="65"/>
      <c r="AE63" s="187"/>
      <c r="AF63" s="187"/>
      <c r="AG63" s="187"/>
      <c r="AH63" s="188"/>
    </row>
    <row r="64" spans="1:34" ht="3" customHeight="1" x14ac:dyDescent="0.4">
      <c r="B64" s="61"/>
      <c r="J64" s="61"/>
      <c r="K64" s="61"/>
      <c r="L64" s="61"/>
      <c r="M64" s="61"/>
      <c r="N64" s="61"/>
      <c r="Q64" s="61"/>
      <c r="R64" s="61"/>
      <c r="S64" s="61"/>
      <c r="T64" s="61"/>
      <c r="U64" s="61"/>
      <c r="X64" s="61"/>
      <c r="Y64" s="61"/>
      <c r="Z64" s="61"/>
      <c r="AA64" s="61"/>
      <c r="AB64" s="61"/>
      <c r="AE64" s="187"/>
      <c r="AF64" s="187"/>
      <c r="AG64" s="187"/>
      <c r="AH64" s="169"/>
    </row>
    <row r="65" spans="1:34" ht="14.4" x14ac:dyDescent="0.35">
      <c r="A65" s="65"/>
      <c r="B65" s="66" t="s">
        <v>539</v>
      </c>
      <c r="C65" s="66"/>
      <c r="D65" s="68"/>
      <c r="E65" s="68"/>
      <c r="F65" s="68"/>
      <c r="G65" s="68"/>
      <c r="H65" s="65"/>
      <c r="I65" s="66" t="s">
        <v>539</v>
      </c>
      <c r="J65" s="66"/>
      <c r="K65" s="68"/>
      <c r="L65" s="68"/>
      <c r="M65" s="68"/>
      <c r="N65" s="68"/>
      <c r="O65" s="65"/>
      <c r="P65" s="66" t="s">
        <v>539</v>
      </c>
      <c r="Q65" s="66"/>
      <c r="R65" s="68"/>
      <c r="S65" s="68"/>
      <c r="T65" s="68"/>
      <c r="U65" s="68"/>
      <c r="V65" s="65"/>
      <c r="W65" s="66" t="s">
        <v>539</v>
      </c>
      <c r="X65" s="66"/>
      <c r="Y65" s="68"/>
      <c r="Z65" s="68"/>
      <c r="AA65" s="68"/>
      <c r="AB65" s="68"/>
      <c r="AC65" s="65"/>
      <c r="AE65" s="187"/>
      <c r="AF65" s="187"/>
      <c r="AG65" s="187"/>
      <c r="AH65" s="169"/>
    </row>
    <row r="66" spans="1:34" ht="14.4" x14ac:dyDescent="0.35">
      <c r="A66" s="65"/>
      <c r="B66" s="66" t="s">
        <v>268</v>
      </c>
      <c r="C66" s="66"/>
      <c r="D66" s="68"/>
      <c r="E66" s="68"/>
      <c r="F66" s="68"/>
      <c r="G66" s="68"/>
      <c r="H66" s="65"/>
      <c r="I66" s="66" t="s">
        <v>268</v>
      </c>
      <c r="J66" s="66"/>
      <c r="K66" s="68"/>
      <c r="L66" s="68"/>
      <c r="M66" s="68"/>
      <c r="N66" s="68"/>
      <c r="O66" s="65"/>
      <c r="P66" s="66" t="s">
        <v>268</v>
      </c>
      <c r="Q66" s="66"/>
      <c r="R66" s="68"/>
      <c r="S66" s="68"/>
      <c r="T66" s="68"/>
      <c r="U66" s="68"/>
      <c r="V66" s="65"/>
      <c r="W66" s="66" t="s">
        <v>268</v>
      </c>
      <c r="X66" s="66"/>
      <c r="Y66" s="68"/>
      <c r="Z66" s="68"/>
      <c r="AA66" s="68"/>
      <c r="AB66" s="68"/>
      <c r="AC66" s="65"/>
      <c r="AE66" s="187"/>
      <c r="AF66" s="187"/>
      <c r="AG66" s="187"/>
      <c r="AH66" s="188"/>
    </row>
    <row r="67" spans="1:34" ht="14.4" x14ac:dyDescent="0.35">
      <c r="A67" s="65"/>
      <c r="B67" s="66" t="s">
        <v>244</v>
      </c>
      <c r="C67" s="66"/>
      <c r="D67" s="68"/>
      <c r="E67" s="68"/>
      <c r="F67" s="68"/>
      <c r="G67" s="68"/>
      <c r="H67" s="65"/>
      <c r="I67" s="66" t="s">
        <v>244</v>
      </c>
      <c r="J67" s="66"/>
      <c r="K67" s="68"/>
      <c r="L67" s="68"/>
      <c r="M67" s="68"/>
      <c r="N67" s="68"/>
      <c r="O67" s="65"/>
      <c r="P67" s="66" t="s">
        <v>244</v>
      </c>
      <c r="Q67" s="66"/>
      <c r="R67" s="68"/>
      <c r="S67" s="68"/>
      <c r="T67" s="68"/>
      <c r="U67" s="68"/>
      <c r="V67" s="65"/>
      <c r="W67" s="66" t="s">
        <v>244</v>
      </c>
      <c r="X67" s="66"/>
      <c r="Y67" s="68"/>
      <c r="Z67" s="68"/>
      <c r="AA67" s="68"/>
      <c r="AB67" s="68"/>
      <c r="AC67" s="65"/>
      <c r="AE67" s="187"/>
      <c r="AF67" s="187"/>
      <c r="AG67" s="187"/>
      <c r="AH67" s="188"/>
    </row>
    <row r="68" spans="1:34" ht="14.4" x14ac:dyDescent="0.35">
      <c r="A68" s="65"/>
      <c r="B68" s="66" t="s">
        <v>244</v>
      </c>
      <c r="C68" s="66">
        <v>1</v>
      </c>
      <c r="D68" s="68">
        <v>1</v>
      </c>
      <c r="E68" s="68">
        <v>1</v>
      </c>
      <c r="F68" s="68">
        <v>1</v>
      </c>
      <c r="G68" s="68">
        <v>1</v>
      </c>
      <c r="H68" s="65"/>
      <c r="I68" s="66" t="s">
        <v>244</v>
      </c>
      <c r="J68" s="66">
        <v>1</v>
      </c>
      <c r="K68" s="68">
        <v>2</v>
      </c>
      <c r="L68" s="68">
        <v>2</v>
      </c>
      <c r="M68" s="68">
        <v>2</v>
      </c>
      <c r="N68" s="68">
        <v>1</v>
      </c>
      <c r="O68" s="65"/>
      <c r="P68" s="66" t="s">
        <v>244</v>
      </c>
      <c r="Q68" s="66">
        <v>1</v>
      </c>
      <c r="R68" s="68">
        <v>3</v>
      </c>
      <c r="S68" s="68">
        <v>3</v>
      </c>
      <c r="T68" s="68">
        <v>2</v>
      </c>
      <c r="U68" s="68">
        <v>1</v>
      </c>
      <c r="V68" s="65"/>
      <c r="W68" s="66" t="s">
        <v>244</v>
      </c>
      <c r="X68" s="66">
        <v>1</v>
      </c>
      <c r="Y68" s="68">
        <v>4</v>
      </c>
      <c r="Z68" s="68">
        <v>4</v>
      </c>
      <c r="AA68" s="68">
        <v>2</v>
      </c>
      <c r="AB68" s="68">
        <v>1</v>
      </c>
      <c r="AC68" s="65"/>
      <c r="AE68" s="187"/>
      <c r="AF68" s="187"/>
      <c r="AG68" s="187"/>
      <c r="AH68" s="169"/>
    </row>
    <row r="69" spans="1:34" ht="14.4" x14ac:dyDescent="0.35">
      <c r="A69" s="65"/>
      <c r="B69" s="69"/>
      <c r="C69" s="69"/>
      <c r="D69" s="66">
        <v>1</v>
      </c>
      <c r="E69" s="66">
        <v>2</v>
      </c>
      <c r="F69" s="66">
        <v>3</v>
      </c>
      <c r="G69" s="66">
        <v>4</v>
      </c>
      <c r="H69" s="65"/>
      <c r="I69" s="65"/>
      <c r="J69" s="69"/>
      <c r="K69" s="66">
        <v>1</v>
      </c>
      <c r="L69" s="66">
        <v>2</v>
      </c>
      <c r="M69" s="66">
        <v>3</v>
      </c>
      <c r="N69" s="66">
        <v>4</v>
      </c>
      <c r="O69" s="65"/>
      <c r="P69" s="65"/>
      <c r="Q69" s="69"/>
      <c r="R69" s="66">
        <v>1</v>
      </c>
      <c r="S69" s="66">
        <v>2</v>
      </c>
      <c r="T69" s="66">
        <v>3</v>
      </c>
      <c r="U69" s="66">
        <v>4</v>
      </c>
      <c r="V69" s="65"/>
      <c r="W69" s="65"/>
      <c r="X69" s="69"/>
      <c r="Y69" s="66">
        <v>1</v>
      </c>
      <c r="Z69" s="66">
        <v>2</v>
      </c>
      <c r="AA69" s="66">
        <v>3</v>
      </c>
      <c r="AB69" s="66">
        <v>4</v>
      </c>
      <c r="AC69" s="65"/>
      <c r="AE69" s="187"/>
      <c r="AF69" s="187"/>
      <c r="AG69" s="187"/>
      <c r="AH69" s="169"/>
    </row>
    <row r="70" spans="1:34" ht="14.4" x14ac:dyDescent="0.35">
      <c r="A70" s="65"/>
      <c r="B70" s="69"/>
      <c r="C70" s="69"/>
      <c r="D70" s="66" t="s">
        <v>569</v>
      </c>
      <c r="E70" s="66" t="s">
        <v>570</v>
      </c>
      <c r="F70" s="66" t="s">
        <v>357</v>
      </c>
      <c r="G70" s="66" t="s">
        <v>245</v>
      </c>
      <c r="H70" s="65"/>
      <c r="I70" s="65"/>
      <c r="J70" s="69"/>
      <c r="K70" s="66" t="s">
        <v>569</v>
      </c>
      <c r="L70" s="66" t="s">
        <v>570</v>
      </c>
      <c r="M70" s="66" t="s">
        <v>357</v>
      </c>
      <c r="N70" s="66" t="s">
        <v>245</v>
      </c>
      <c r="O70" s="65"/>
      <c r="P70" s="65"/>
      <c r="Q70" s="69"/>
      <c r="R70" s="66" t="s">
        <v>569</v>
      </c>
      <c r="S70" s="66" t="s">
        <v>570</v>
      </c>
      <c r="T70" s="66" t="s">
        <v>357</v>
      </c>
      <c r="U70" s="66" t="s">
        <v>245</v>
      </c>
      <c r="V70" s="65"/>
      <c r="W70" s="65"/>
      <c r="X70" s="69"/>
      <c r="Y70" s="66" t="s">
        <v>569</v>
      </c>
      <c r="Z70" s="66" t="s">
        <v>570</v>
      </c>
      <c r="AA70" s="66" t="s">
        <v>357</v>
      </c>
      <c r="AB70" s="66" t="s">
        <v>245</v>
      </c>
      <c r="AC70" s="65"/>
      <c r="AE70" s="187"/>
      <c r="AF70" s="187"/>
      <c r="AG70" s="187"/>
      <c r="AH70" s="169"/>
    </row>
    <row r="71" spans="1:34" x14ac:dyDescent="0.4">
      <c r="B71" s="61"/>
      <c r="AE71" s="187"/>
      <c r="AF71" s="187"/>
      <c r="AG71" s="187"/>
      <c r="AH71" s="169"/>
    </row>
    <row r="72" spans="1:34" ht="19.8" x14ac:dyDescent="0.5">
      <c r="A72" s="64" t="s">
        <v>247</v>
      </c>
      <c r="B72" s="61"/>
      <c r="AE72" s="187"/>
      <c r="AF72" s="187"/>
      <c r="AG72" s="187"/>
      <c r="AH72" s="169"/>
    </row>
    <row r="73" spans="1:34" ht="2.25" customHeight="1" x14ac:dyDescent="0.4">
      <c r="B73" s="61"/>
      <c r="AE73" s="187"/>
      <c r="AF73" s="187"/>
      <c r="AG73" s="187"/>
      <c r="AH73" s="169"/>
    </row>
    <row r="74" spans="1:34" ht="14.4" x14ac:dyDescent="0.35">
      <c r="A74" s="65"/>
      <c r="B74" s="69"/>
      <c r="C74" s="1481" t="s">
        <v>240</v>
      </c>
      <c r="D74" s="1481"/>
      <c r="E74" s="1481"/>
      <c r="F74" s="1481"/>
      <c r="G74" s="1481"/>
      <c r="H74" s="65"/>
      <c r="I74" s="65"/>
      <c r="J74" s="1481" t="s">
        <v>241</v>
      </c>
      <c r="K74" s="1481"/>
      <c r="L74" s="1481"/>
      <c r="M74" s="1481"/>
      <c r="N74" s="1481"/>
      <c r="O74" s="65"/>
      <c r="P74" s="65"/>
      <c r="Q74" s="1481" t="s">
        <v>242</v>
      </c>
      <c r="R74" s="1481"/>
      <c r="S74" s="1481"/>
      <c r="T74" s="1481"/>
      <c r="U74" s="1481"/>
      <c r="V74" s="65"/>
      <c r="W74" s="65"/>
      <c r="X74" s="1481" t="s">
        <v>243</v>
      </c>
      <c r="Y74" s="1481"/>
      <c r="Z74" s="1481"/>
      <c r="AA74" s="1481"/>
      <c r="AB74" s="1481"/>
      <c r="AC74" s="65"/>
      <c r="AE74" s="187"/>
      <c r="AF74" s="187"/>
      <c r="AG74" s="187"/>
      <c r="AH74" s="169"/>
    </row>
    <row r="75" spans="1:34" ht="3.75" customHeight="1" x14ac:dyDescent="0.4">
      <c r="B75" s="61"/>
      <c r="J75" s="61"/>
      <c r="K75" s="61"/>
      <c r="L75" s="61"/>
      <c r="M75" s="61"/>
      <c r="N75" s="61"/>
      <c r="Q75" s="61"/>
      <c r="R75" s="61"/>
      <c r="S75" s="61"/>
      <c r="T75" s="61"/>
      <c r="U75" s="61"/>
      <c r="X75" s="61"/>
      <c r="Y75" s="61"/>
      <c r="Z75" s="61"/>
      <c r="AA75" s="61"/>
      <c r="AB75" s="61"/>
      <c r="AE75" s="187"/>
      <c r="AF75" s="187"/>
      <c r="AG75" s="187"/>
      <c r="AH75" s="169"/>
    </row>
    <row r="76" spans="1:34" ht="14.4" x14ac:dyDescent="0.35">
      <c r="A76" s="65"/>
      <c r="B76" s="66" t="s">
        <v>539</v>
      </c>
      <c r="C76" s="66">
        <v>4</v>
      </c>
      <c r="D76" s="68">
        <v>1</v>
      </c>
      <c r="E76" s="68">
        <v>1</v>
      </c>
      <c r="F76" s="68">
        <v>1</v>
      </c>
      <c r="G76" s="68">
        <v>1</v>
      </c>
      <c r="H76" s="65"/>
      <c r="I76" s="66" t="s">
        <v>539</v>
      </c>
      <c r="J76" s="66">
        <v>4</v>
      </c>
      <c r="K76" s="68">
        <v>1</v>
      </c>
      <c r="L76" s="68">
        <v>1</v>
      </c>
      <c r="M76" s="68">
        <v>1</v>
      </c>
      <c r="N76" s="68">
        <v>1</v>
      </c>
      <c r="O76" s="65"/>
      <c r="P76" s="66" t="s">
        <v>539</v>
      </c>
      <c r="Q76" s="66">
        <v>4</v>
      </c>
      <c r="R76" s="68">
        <v>2</v>
      </c>
      <c r="S76" s="68">
        <v>2</v>
      </c>
      <c r="T76" s="68">
        <v>1</v>
      </c>
      <c r="U76" s="68">
        <v>1</v>
      </c>
      <c r="V76" s="65"/>
      <c r="W76" s="66" t="s">
        <v>539</v>
      </c>
      <c r="X76" s="66">
        <v>4</v>
      </c>
      <c r="Y76" s="68">
        <v>2</v>
      </c>
      <c r="Z76" s="68">
        <v>2</v>
      </c>
      <c r="AA76" s="68">
        <v>2</v>
      </c>
      <c r="AB76" s="68">
        <v>1</v>
      </c>
      <c r="AC76" s="65"/>
      <c r="AE76" s="187"/>
      <c r="AF76" s="187"/>
      <c r="AG76" s="187"/>
      <c r="AH76" s="169"/>
    </row>
    <row r="77" spans="1:34" ht="14.4" x14ac:dyDescent="0.35">
      <c r="A77" s="65"/>
      <c r="B77" s="66" t="s">
        <v>268</v>
      </c>
      <c r="C77" s="66">
        <v>3</v>
      </c>
      <c r="D77" s="68">
        <v>1</v>
      </c>
      <c r="E77" s="68">
        <v>1</v>
      </c>
      <c r="F77" s="68">
        <v>1</v>
      </c>
      <c r="G77" s="68">
        <v>1</v>
      </c>
      <c r="H77" s="65"/>
      <c r="I77" s="66" t="s">
        <v>268</v>
      </c>
      <c r="J77" s="66">
        <v>3</v>
      </c>
      <c r="K77" s="68">
        <v>2</v>
      </c>
      <c r="L77" s="68">
        <v>2</v>
      </c>
      <c r="M77" s="68">
        <v>1</v>
      </c>
      <c r="N77" s="68">
        <v>1</v>
      </c>
      <c r="O77" s="65"/>
      <c r="P77" s="66" t="s">
        <v>268</v>
      </c>
      <c r="Q77" s="66">
        <v>3</v>
      </c>
      <c r="R77" s="68">
        <v>2</v>
      </c>
      <c r="S77" s="68">
        <v>2</v>
      </c>
      <c r="T77" s="68">
        <v>1</v>
      </c>
      <c r="U77" s="68">
        <v>1</v>
      </c>
      <c r="V77" s="65"/>
      <c r="W77" s="66" t="s">
        <v>268</v>
      </c>
      <c r="X77" s="66">
        <v>3</v>
      </c>
      <c r="Y77" s="68">
        <v>3</v>
      </c>
      <c r="Z77" s="68">
        <v>3</v>
      </c>
      <c r="AA77" s="68">
        <v>2</v>
      </c>
      <c r="AB77" s="68">
        <v>2</v>
      </c>
      <c r="AC77" s="65"/>
      <c r="AE77" s="187"/>
      <c r="AF77" s="187"/>
      <c r="AG77" s="187"/>
      <c r="AH77" s="169"/>
    </row>
    <row r="78" spans="1:34" ht="14.4" x14ac:dyDescent="0.35">
      <c r="A78" s="65"/>
      <c r="B78" s="66" t="s">
        <v>244</v>
      </c>
      <c r="C78" s="66">
        <v>2</v>
      </c>
      <c r="D78" s="68">
        <v>1</v>
      </c>
      <c r="E78" s="68">
        <v>1</v>
      </c>
      <c r="F78" s="68">
        <v>1</v>
      </c>
      <c r="G78" s="68">
        <v>1</v>
      </c>
      <c r="H78" s="65"/>
      <c r="I78" s="66" t="s">
        <v>244</v>
      </c>
      <c r="J78" s="66">
        <v>2</v>
      </c>
      <c r="K78" s="68">
        <v>2</v>
      </c>
      <c r="L78" s="68">
        <v>2</v>
      </c>
      <c r="M78" s="68">
        <v>2</v>
      </c>
      <c r="N78" s="68">
        <v>1</v>
      </c>
      <c r="O78" s="65"/>
      <c r="P78" s="66" t="s">
        <v>244</v>
      </c>
      <c r="Q78" s="66">
        <v>2</v>
      </c>
      <c r="R78" s="68">
        <v>3</v>
      </c>
      <c r="S78" s="68">
        <v>3</v>
      </c>
      <c r="T78" s="68">
        <v>2</v>
      </c>
      <c r="U78" s="68">
        <v>1</v>
      </c>
      <c r="V78" s="65"/>
      <c r="W78" s="66" t="s">
        <v>244</v>
      </c>
      <c r="X78" s="66">
        <v>2</v>
      </c>
      <c r="Y78" s="68">
        <v>4</v>
      </c>
      <c r="Z78" s="68">
        <v>4</v>
      </c>
      <c r="AA78" s="68">
        <v>3</v>
      </c>
      <c r="AB78" s="68">
        <v>2</v>
      </c>
      <c r="AC78" s="65"/>
    </row>
    <row r="79" spans="1:34" ht="14.4" x14ac:dyDescent="0.35">
      <c r="A79" s="65"/>
      <c r="B79" s="66" t="s">
        <v>244</v>
      </c>
      <c r="C79" s="66">
        <v>1</v>
      </c>
      <c r="D79" s="68">
        <v>1</v>
      </c>
      <c r="E79" s="68">
        <v>1</v>
      </c>
      <c r="F79" s="68">
        <v>1</v>
      </c>
      <c r="G79" s="68">
        <v>1</v>
      </c>
      <c r="H79" s="65"/>
      <c r="I79" s="66" t="s">
        <v>244</v>
      </c>
      <c r="J79" s="66">
        <v>1</v>
      </c>
      <c r="K79" s="68">
        <v>2</v>
      </c>
      <c r="L79" s="68">
        <v>2</v>
      </c>
      <c r="M79" s="68">
        <v>2</v>
      </c>
      <c r="N79" s="68">
        <v>1</v>
      </c>
      <c r="O79" s="65"/>
      <c r="P79" s="66" t="s">
        <v>244</v>
      </c>
      <c r="Q79" s="66">
        <v>1</v>
      </c>
      <c r="R79" s="68">
        <v>3</v>
      </c>
      <c r="S79" s="68">
        <v>3</v>
      </c>
      <c r="T79" s="68">
        <v>2</v>
      </c>
      <c r="U79" s="68">
        <v>1</v>
      </c>
      <c r="V79" s="65"/>
      <c r="W79" s="66" t="s">
        <v>244</v>
      </c>
      <c r="X79" s="66">
        <v>1</v>
      </c>
      <c r="Y79" s="68">
        <v>4</v>
      </c>
      <c r="Z79" s="68">
        <v>4</v>
      </c>
      <c r="AA79" s="68">
        <v>3</v>
      </c>
      <c r="AB79" s="68">
        <v>2</v>
      </c>
      <c r="AC79" s="65"/>
    </row>
    <row r="80" spans="1:34" ht="14.4" x14ac:dyDescent="0.35">
      <c r="A80" s="65"/>
      <c r="B80" s="69"/>
      <c r="C80" s="69"/>
      <c r="D80" s="66">
        <v>1</v>
      </c>
      <c r="E80" s="66">
        <v>2</v>
      </c>
      <c r="F80" s="66">
        <v>3</v>
      </c>
      <c r="G80" s="66">
        <v>4</v>
      </c>
      <c r="H80" s="65"/>
      <c r="I80" s="65"/>
      <c r="J80" s="69"/>
      <c r="K80" s="66">
        <v>1</v>
      </c>
      <c r="L80" s="66">
        <v>2</v>
      </c>
      <c r="M80" s="66">
        <v>3</v>
      </c>
      <c r="N80" s="66">
        <v>4</v>
      </c>
      <c r="O80" s="65"/>
      <c r="P80" s="65"/>
      <c r="Q80" s="69"/>
      <c r="R80" s="66">
        <v>1</v>
      </c>
      <c r="S80" s="66">
        <v>2</v>
      </c>
      <c r="T80" s="66">
        <v>3</v>
      </c>
      <c r="U80" s="66">
        <v>4</v>
      </c>
      <c r="V80" s="65"/>
      <c r="W80" s="65"/>
      <c r="X80" s="69"/>
      <c r="Y80" s="66">
        <v>1</v>
      </c>
      <c r="Z80" s="66">
        <v>2</v>
      </c>
      <c r="AA80" s="66">
        <v>3</v>
      </c>
      <c r="AB80" s="66">
        <v>4</v>
      </c>
      <c r="AC80" s="65"/>
    </row>
    <row r="81" spans="1:29" ht="14.4" x14ac:dyDescent="0.35">
      <c r="A81" s="65"/>
      <c r="B81" s="69"/>
      <c r="C81" s="69"/>
      <c r="D81" s="66" t="s">
        <v>569</v>
      </c>
      <c r="E81" s="66" t="s">
        <v>570</v>
      </c>
      <c r="F81" s="66" t="s">
        <v>357</v>
      </c>
      <c r="G81" s="66" t="s">
        <v>245</v>
      </c>
      <c r="H81" s="65"/>
      <c r="I81" s="65"/>
      <c r="J81" s="69"/>
      <c r="K81" s="66" t="s">
        <v>569</v>
      </c>
      <c r="L81" s="66" t="s">
        <v>570</v>
      </c>
      <c r="M81" s="66" t="s">
        <v>357</v>
      </c>
      <c r="N81" s="66" t="s">
        <v>245</v>
      </c>
      <c r="O81" s="65"/>
      <c r="P81" s="65"/>
      <c r="Q81" s="69"/>
      <c r="R81" s="66" t="s">
        <v>569</v>
      </c>
      <c r="S81" s="66" t="s">
        <v>570</v>
      </c>
      <c r="T81" s="66" t="s">
        <v>357</v>
      </c>
      <c r="U81" s="66" t="s">
        <v>245</v>
      </c>
      <c r="V81" s="65"/>
      <c r="W81" s="65"/>
      <c r="X81" s="69"/>
      <c r="Y81" s="66" t="s">
        <v>569</v>
      </c>
      <c r="Z81" s="66" t="s">
        <v>570</v>
      </c>
      <c r="AA81" s="66" t="s">
        <v>357</v>
      </c>
      <c r="AB81" s="66" t="s">
        <v>245</v>
      </c>
      <c r="AC81" s="65"/>
    </row>
    <row r="82" spans="1:29" x14ac:dyDescent="0.4">
      <c r="B82" s="61"/>
    </row>
  </sheetData>
  <sheetProtection sheet="1" objects="1" scenarios="1"/>
  <mergeCells count="33">
    <mergeCell ref="C63:G63"/>
    <mergeCell ref="J63:N63"/>
    <mergeCell ref="Q63:U63"/>
    <mergeCell ref="X63:AB63"/>
    <mergeCell ref="C52:G52"/>
    <mergeCell ref="J52:N52"/>
    <mergeCell ref="Q52:U52"/>
    <mergeCell ref="X52:AB52"/>
    <mergeCell ref="C74:G74"/>
    <mergeCell ref="J74:N74"/>
    <mergeCell ref="Q74:U74"/>
    <mergeCell ref="X74:AB74"/>
    <mergeCell ref="C5:G5"/>
    <mergeCell ref="J5:N5"/>
    <mergeCell ref="Q5:U5"/>
    <mergeCell ref="X5:AB5"/>
    <mergeCell ref="C16:G16"/>
    <mergeCell ref="J16:N16"/>
    <mergeCell ref="Q16:U16"/>
    <mergeCell ref="X16:AB16"/>
    <mergeCell ref="C27:G27"/>
    <mergeCell ref="J27:N27"/>
    <mergeCell ref="Q27:U27"/>
    <mergeCell ref="X27:AB27"/>
    <mergeCell ref="C38:G38"/>
    <mergeCell ref="BB16:BF16"/>
    <mergeCell ref="AE45:AH45"/>
    <mergeCell ref="AG16:AK16"/>
    <mergeCell ref="AN16:AR16"/>
    <mergeCell ref="AU16:AY16"/>
    <mergeCell ref="J38:N38"/>
    <mergeCell ref="Q38:U38"/>
    <mergeCell ref="X38:AB38"/>
  </mergeCells>
  <phoneticPr fontId="20" type="noConversion"/>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341</vt:i4>
      </vt:variant>
    </vt:vector>
  </HeadingPairs>
  <TitlesOfParts>
    <vt:vector size="374" baseType="lpstr">
      <vt:lpstr>Intro</vt:lpstr>
      <vt:lpstr>Licence</vt:lpstr>
      <vt:lpstr>Présentation</vt:lpstr>
      <vt:lpstr>T1</vt:lpstr>
      <vt:lpstr>T2</vt:lpstr>
      <vt:lpstr>Classif</vt:lpstr>
      <vt:lpstr>Param</vt:lpstr>
      <vt:lpstr>1 Org</vt:lpstr>
      <vt:lpstr>2 Phy</vt:lpstr>
      <vt:lpstr>3 Sys</vt:lpstr>
      <vt:lpstr>4 Ope</vt:lpstr>
      <vt:lpstr>5 App</vt:lpstr>
      <vt:lpstr>6 Mic</vt:lpstr>
      <vt:lpstr>7 Dev</vt:lpstr>
      <vt:lpstr>8 Cex</vt:lpstr>
      <vt:lpstr>Obj_Projets</vt:lpstr>
      <vt:lpstr>Services</vt:lpstr>
      <vt:lpstr>Score ISO</vt:lpstr>
      <vt:lpstr>Expo</vt:lpstr>
      <vt:lpstr>Scénarios</vt:lpstr>
      <vt:lpstr>Actifs_support</vt:lpstr>
      <vt:lpstr>Dommages</vt:lpstr>
      <vt:lpstr>Risk%actif</vt:lpstr>
      <vt:lpstr>Risk%event</vt:lpstr>
      <vt:lpstr>Plans_action</vt:lpstr>
      <vt:lpstr>Projets</vt:lpstr>
      <vt:lpstr>Corr_Services</vt:lpstr>
      <vt:lpstr>Des_Projets</vt:lpstr>
      <vt:lpstr>Sel_Projets</vt:lpstr>
      <vt:lpstr>Tbord</vt:lpstr>
      <vt:lpstr>Delta</vt:lpstr>
      <vt:lpstr>Gravité</vt:lpstr>
      <vt:lpstr>Grilles_IP</vt:lpstr>
      <vt:lpstr>Altd</vt:lpstr>
      <vt:lpstr>Altf</vt:lpstr>
      <vt:lpstr>base_g</vt:lpstr>
      <vt:lpstr>base_i</vt:lpstr>
      <vt:lpstr>base_p</vt:lpstr>
      <vt:lpstr>Cfg</vt:lpstr>
      <vt:lpstr>code_Acteur</vt:lpstr>
      <vt:lpstr>code_Lieu</vt:lpstr>
      <vt:lpstr>code_Process</vt:lpstr>
      <vt:lpstr>code_Temps</vt:lpstr>
      <vt:lpstr>Coe</vt:lpstr>
      <vt:lpstr>Cop</vt:lpstr>
      <vt:lpstr>Crfx</vt:lpstr>
      <vt:lpstr>dateanal</vt:lpstr>
      <vt:lpstr>Det</vt:lpstr>
      <vt:lpstr>Disp</vt:lpstr>
      <vt:lpstr>Dive</vt:lpstr>
      <vt:lpstr>Doc</vt:lpstr>
      <vt:lpstr>Endl</vt:lpstr>
      <vt:lpstr>Endp</vt:lpstr>
      <vt:lpstr>Env</vt:lpstr>
      <vt:lpstr>Equ</vt:lpstr>
      <vt:lpstr>ES1A01</vt:lpstr>
      <vt:lpstr>ES1A02</vt:lpstr>
      <vt:lpstr>ES1B01</vt:lpstr>
      <vt:lpstr>ES1B02</vt:lpstr>
      <vt:lpstr>ES1B03</vt:lpstr>
      <vt:lpstr>ES1B04</vt:lpstr>
      <vt:lpstr>ES1B05</vt:lpstr>
      <vt:lpstr>ES1B06</vt:lpstr>
      <vt:lpstr>ES1B07</vt:lpstr>
      <vt:lpstr>ES1B08</vt:lpstr>
      <vt:lpstr>ES1B09</vt:lpstr>
      <vt:lpstr>ES1C01</vt:lpstr>
      <vt:lpstr>ES1C02</vt:lpstr>
      <vt:lpstr>ES1C03</vt:lpstr>
      <vt:lpstr>ES1C04</vt:lpstr>
      <vt:lpstr>ES1C05</vt:lpstr>
      <vt:lpstr>ES1C06</vt:lpstr>
      <vt:lpstr>ES1D01</vt:lpstr>
      <vt:lpstr>ES1D02</vt:lpstr>
      <vt:lpstr>ES1E01</vt:lpstr>
      <vt:lpstr>ES1E02</vt:lpstr>
      <vt:lpstr>ES1E03</vt:lpstr>
      <vt:lpstr>ES1F01</vt:lpstr>
      <vt:lpstr>ES1F02</vt:lpstr>
      <vt:lpstr>ES1F03</vt:lpstr>
      <vt:lpstr>ES1F04</vt:lpstr>
      <vt:lpstr>ES2A01</vt:lpstr>
      <vt:lpstr>ES2A02</vt:lpstr>
      <vt:lpstr>ES2A03</vt:lpstr>
      <vt:lpstr>ES2B01</vt:lpstr>
      <vt:lpstr>ES2B02</vt:lpstr>
      <vt:lpstr>ES2B03</vt:lpstr>
      <vt:lpstr>ES2B04</vt:lpstr>
      <vt:lpstr>ES2B05</vt:lpstr>
      <vt:lpstr>ES2C01</vt:lpstr>
      <vt:lpstr>ES2C02</vt:lpstr>
      <vt:lpstr>ES2C03</vt:lpstr>
      <vt:lpstr>ES2C04</vt:lpstr>
      <vt:lpstr>ES2C05</vt:lpstr>
      <vt:lpstr>ES2D01</vt:lpstr>
      <vt:lpstr>ES2D02</vt:lpstr>
      <vt:lpstr>ES2D03</vt:lpstr>
      <vt:lpstr>ES2D04</vt:lpstr>
      <vt:lpstr>ES2D05</vt:lpstr>
      <vt:lpstr>ES2E01</vt:lpstr>
      <vt:lpstr>ES2E02</vt:lpstr>
      <vt:lpstr>ES2E03</vt:lpstr>
      <vt:lpstr>ES2E04</vt:lpstr>
      <vt:lpstr>ES2E05</vt:lpstr>
      <vt:lpstr>ES3A01</vt:lpstr>
      <vt:lpstr>ES3A02</vt:lpstr>
      <vt:lpstr>ES3A03</vt:lpstr>
      <vt:lpstr>ES3A04</vt:lpstr>
      <vt:lpstr>ES3A05</vt:lpstr>
      <vt:lpstr>ES3A06</vt:lpstr>
      <vt:lpstr>ES3A07</vt:lpstr>
      <vt:lpstr>ES3A08</vt:lpstr>
      <vt:lpstr>ES3A09</vt:lpstr>
      <vt:lpstr>ES3B01</vt:lpstr>
      <vt:lpstr>ES3C01</vt:lpstr>
      <vt:lpstr>ES4A01</vt:lpstr>
      <vt:lpstr>ES4A02</vt:lpstr>
      <vt:lpstr>ES4A03</vt:lpstr>
      <vt:lpstr>ES4A04</vt:lpstr>
      <vt:lpstr>ES4A05</vt:lpstr>
      <vt:lpstr>ES4A06</vt:lpstr>
      <vt:lpstr>ES4A07</vt:lpstr>
      <vt:lpstr>ES4A08</vt:lpstr>
      <vt:lpstr>ES4A09</vt:lpstr>
      <vt:lpstr>ES4A10</vt:lpstr>
      <vt:lpstr>ES4A11</vt:lpstr>
      <vt:lpstr>ES4A12</vt:lpstr>
      <vt:lpstr>ES4A13</vt:lpstr>
      <vt:lpstr>ES4A14</vt:lpstr>
      <vt:lpstr>ES4B01</vt:lpstr>
      <vt:lpstr>ES4C01</vt:lpstr>
      <vt:lpstr>ES4C02</vt:lpstr>
      <vt:lpstr>ES4C03</vt:lpstr>
      <vt:lpstr>ES4C04</vt:lpstr>
      <vt:lpstr>ES4C05</vt:lpstr>
      <vt:lpstr>ES4C06</vt:lpstr>
      <vt:lpstr>ES4D01</vt:lpstr>
      <vt:lpstr>ES4D02</vt:lpstr>
      <vt:lpstr>ES4E01</vt:lpstr>
      <vt:lpstr>ES4E02</vt:lpstr>
      <vt:lpstr>ES4E03</vt:lpstr>
      <vt:lpstr>ES4E04</vt:lpstr>
      <vt:lpstr>ES4E05</vt:lpstr>
      <vt:lpstr>ES4F01</vt:lpstr>
      <vt:lpstr>ES4F02</vt:lpstr>
      <vt:lpstr>ES4F03</vt:lpstr>
      <vt:lpstr>ES5A01</vt:lpstr>
      <vt:lpstr>ES5A02</vt:lpstr>
      <vt:lpstr>ES5A03</vt:lpstr>
      <vt:lpstr>ES5A04</vt:lpstr>
      <vt:lpstr>ES5A05</vt:lpstr>
      <vt:lpstr>ES5A06</vt:lpstr>
      <vt:lpstr>ES5B01</vt:lpstr>
      <vt:lpstr>ES5B02</vt:lpstr>
      <vt:lpstr>ES5C01</vt:lpstr>
      <vt:lpstr>ES5C02</vt:lpstr>
      <vt:lpstr>ES5C03</vt:lpstr>
      <vt:lpstr>ES5D01</vt:lpstr>
      <vt:lpstr>ES5D02</vt:lpstr>
      <vt:lpstr>ES5D03</vt:lpstr>
      <vt:lpstr>ES5D04</vt:lpstr>
      <vt:lpstr>ES5E01</vt:lpstr>
      <vt:lpstr>ES5E02</vt:lpstr>
      <vt:lpstr>ES5E03</vt:lpstr>
      <vt:lpstr>ES5E04</vt:lpstr>
      <vt:lpstr>ES5F01</vt:lpstr>
      <vt:lpstr>ES5F02</vt:lpstr>
      <vt:lpstr>ES5F03</vt:lpstr>
      <vt:lpstr>ES5G01</vt:lpstr>
      <vt:lpstr>ES5G02</vt:lpstr>
      <vt:lpstr>ES6A01</vt:lpstr>
      <vt:lpstr>ES6A02</vt:lpstr>
      <vt:lpstr>ES6A03</vt:lpstr>
      <vt:lpstr>ES6B01</vt:lpstr>
      <vt:lpstr>ES6B02</vt:lpstr>
      <vt:lpstr>ES6B03</vt:lpstr>
      <vt:lpstr>ES6B04</vt:lpstr>
      <vt:lpstr>ES6B05</vt:lpstr>
      <vt:lpstr>ES6B06</vt:lpstr>
      <vt:lpstr>ES6B07</vt:lpstr>
      <vt:lpstr>ES6C01</vt:lpstr>
      <vt:lpstr>ES6C02</vt:lpstr>
      <vt:lpstr>ES7A01</vt:lpstr>
      <vt:lpstr>ES7A02</vt:lpstr>
      <vt:lpstr>ES7A03</vt:lpstr>
      <vt:lpstr>ES7B01</vt:lpstr>
      <vt:lpstr>ES7B02</vt:lpstr>
      <vt:lpstr>ES7B03</vt:lpstr>
      <vt:lpstr>ES7B04</vt:lpstr>
      <vt:lpstr>ES7B05</vt:lpstr>
      <vt:lpstr>ES7B06</vt:lpstr>
      <vt:lpstr>ES7B07</vt:lpstr>
      <vt:lpstr>ES7B08</vt:lpstr>
      <vt:lpstr>ES7B09</vt:lpstr>
      <vt:lpstr>ES7B10</vt:lpstr>
      <vt:lpstr>ES8A01</vt:lpstr>
      <vt:lpstr>ES8A02</vt:lpstr>
      <vt:lpstr>ES8A03</vt:lpstr>
      <vt:lpstr>ES8B01</vt:lpstr>
      <vt:lpstr>ES8B02</vt:lpstr>
      <vt:lpstr>ES8B03</vt:lpstr>
      <vt:lpstr>ES8C01</vt:lpstr>
      <vt:lpstr>ES8C02</vt:lpstr>
      <vt:lpstr>Fic</vt:lpstr>
      <vt:lpstr>Iml</vt:lpstr>
      <vt:lpstr>Inac</vt:lpstr>
      <vt:lpstr>Inco</vt:lpstr>
      <vt:lpstr>IndG</vt:lpstr>
      <vt:lpstr>Inex</vt:lpstr>
      <vt:lpstr>Inop</vt:lpstr>
      <vt:lpstr>Med</vt:lpstr>
      <vt:lpstr>Mes</vt:lpstr>
      <vt:lpstr>Msa</vt:lpstr>
      <vt:lpstr>Msl</vt:lpstr>
      <vt:lpstr>Napp</vt:lpstr>
      <vt:lpstr>Pro</vt:lpstr>
      <vt:lpstr>S1A01</vt:lpstr>
      <vt:lpstr>S1A02</vt:lpstr>
      <vt:lpstr>S1B01</vt:lpstr>
      <vt:lpstr>S1B02</vt:lpstr>
      <vt:lpstr>S1B03</vt:lpstr>
      <vt:lpstr>S1B04</vt:lpstr>
      <vt:lpstr>S1B05</vt:lpstr>
      <vt:lpstr>S1B06</vt:lpstr>
      <vt:lpstr>S1B07</vt:lpstr>
      <vt:lpstr>S1B08</vt:lpstr>
      <vt:lpstr>S1B09</vt:lpstr>
      <vt:lpstr>S1C01</vt:lpstr>
      <vt:lpstr>S1C02</vt:lpstr>
      <vt:lpstr>S1C03</vt:lpstr>
      <vt:lpstr>S1C04</vt:lpstr>
      <vt:lpstr>S1C05</vt:lpstr>
      <vt:lpstr>S1C06</vt:lpstr>
      <vt:lpstr>S1D01</vt:lpstr>
      <vt:lpstr>S1D02</vt:lpstr>
      <vt:lpstr>S1E01</vt:lpstr>
      <vt:lpstr>S1E02</vt:lpstr>
      <vt:lpstr>S1E03</vt:lpstr>
      <vt:lpstr>S1F01</vt:lpstr>
      <vt:lpstr>S1F02</vt:lpstr>
      <vt:lpstr>S1F03</vt:lpstr>
      <vt:lpstr>S1F04</vt:lpstr>
      <vt:lpstr>S2A01</vt:lpstr>
      <vt:lpstr>S2A02</vt:lpstr>
      <vt:lpstr>S2A03</vt:lpstr>
      <vt:lpstr>S2B01</vt:lpstr>
      <vt:lpstr>S2B02</vt:lpstr>
      <vt:lpstr>S2B03</vt:lpstr>
      <vt:lpstr>S2B04</vt:lpstr>
      <vt:lpstr>S2B05</vt:lpstr>
      <vt:lpstr>S2C01</vt:lpstr>
      <vt:lpstr>S2C02</vt:lpstr>
      <vt:lpstr>S2C03</vt:lpstr>
      <vt:lpstr>S2C04</vt:lpstr>
      <vt:lpstr>S2C05</vt:lpstr>
      <vt:lpstr>S2D01</vt:lpstr>
      <vt:lpstr>S2D02</vt:lpstr>
      <vt:lpstr>S2D03</vt:lpstr>
      <vt:lpstr>S2D04</vt:lpstr>
      <vt:lpstr>S2D05</vt:lpstr>
      <vt:lpstr>S2E01</vt:lpstr>
      <vt:lpstr>S2E02</vt:lpstr>
      <vt:lpstr>S2E03</vt:lpstr>
      <vt:lpstr>S2E04</vt:lpstr>
      <vt:lpstr>S2E05</vt:lpstr>
      <vt:lpstr>S3A01</vt:lpstr>
      <vt:lpstr>S3A02</vt:lpstr>
      <vt:lpstr>S3A03</vt:lpstr>
      <vt:lpstr>S3A04</vt:lpstr>
      <vt:lpstr>S3A05</vt:lpstr>
      <vt:lpstr>S3A06</vt:lpstr>
      <vt:lpstr>S3A07</vt:lpstr>
      <vt:lpstr>S3A08</vt:lpstr>
      <vt:lpstr>S3A09</vt:lpstr>
      <vt:lpstr>S3B01</vt:lpstr>
      <vt:lpstr>S3C01</vt:lpstr>
      <vt:lpstr>S4A01</vt:lpstr>
      <vt:lpstr>S4A02</vt:lpstr>
      <vt:lpstr>S4A03</vt:lpstr>
      <vt:lpstr>S4A04</vt:lpstr>
      <vt:lpstr>S4A05</vt:lpstr>
      <vt:lpstr>S4A06</vt:lpstr>
      <vt:lpstr>S4A07</vt:lpstr>
      <vt:lpstr>S4A08</vt:lpstr>
      <vt:lpstr>S4A09</vt:lpstr>
      <vt:lpstr>S4A10</vt:lpstr>
      <vt:lpstr>S4A11</vt:lpstr>
      <vt:lpstr>S4A12</vt:lpstr>
      <vt:lpstr>S4A13</vt:lpstr>
      <vt:lpstr>S4A14</vt:lpstr>
      <vt:lpstr>S4B01</vt:lpstr>
      <vt:lpstr>S4C01</vt:lpstr>
      <vt:lpstr>S4C02</vt:lpstr>
      <vt:lpstr>S4C03</vt:lpstr>
      <vt:lpstr>S4C04</vt:lpstr>
      <vt:lpstr>S4C05</vt:lpstr>
      <vt:lpstr>S4C06</vt:lpstr>
      <vt:lpstr>S4D01</vt:lpstr>
      <vt:lpstr>S4D02</vt:lpstr>
      <vt:lpstr>S4E01</vt:lpstr>
      <vt:lpstr>S4E02</vt:lpstr>
      <vt:lpstr>S4E03</vt:lpstr>
      <vt:lpstr>S4E04</vt:lpstr>
      <vt:lpstr>S4E05</vt:lpstr>
      <vt:lpstr>S4F01</vt:lpstr>
      <vt:lpstr>S4F02</vt:lpstr>
      <vt:lpstr>S4F03</vt:lpstr>
      <vt:lpstr>S5A01</vt:lpstr>
      <vt:lpstr>S5A02</vt:lpstr>
      <vt:lpstr>S5A03</vt:lpstr>
      <vt:lpstr>S5A04</vt:lpstr>
      <vt:lpstr>S5A05</vt:lpstr>
      <vt:lpstr>S5A06</vt:lpstr>
      <vt:lpstr>S5B01</vt:lpstr>
      <vt:lpstr>S5B02</vt:lpstr>
      <vt:lpstr>S5C01</vt:lpstr>
      <vt:lpstr>S5C02</vt:lpstr>
      <vt:lpstr>S5C03</vt:lpstr>
      <vt:lpstr>S5D01</vt:lpstr>
      <vt:lpstr>S5D02</vt:lpstr>
      <vt:lpstr>S5D03</vt:lpstr>
      <vt:lpstr>S5D04</vt:lpstr>
      <vt:lpstr>S5E01</vt:lpstr>
      <vt:lpstr>S5E02</vt:lpstr>
      <vt:lpstr>S5E03</vt:lpstr>
      <vt:lpstr>S5E04</vt:lpstr>
      <vt:lpstr>S5F01</vt:lpstr>
      <vt:lpstr>S5F02</vt:lpstr>
      <vt:lpstr>S5F03</vt:lpstr>
      <vt:lpstr>S5G01</vt:lpstr>
      <vt:lpstr>S5G02</vt:lpstr>
      <vt:lpstr>S6A01</vt:lpstr>
      <vt:lpstr>S6A02</vt:lpstr>
      <vt:lpstr>S6A03</vt:lpstr>
      <vt:lpstr>S6B01</vt:lpstr>
      <vt:lpstr>S6B02</vt:lpstr>
      <vt:lpstr>S6B03</vt:lpstr>
      <vt:lpstr>S6B04</vt:lpstr>
      <vt:lpstr>S6B05</vt:lpstr>
      <vt:lpstr>S6B06</vt:lpstr>
      <vt:lpstr>S6B07</vt:lpstr>
      <vt:lpstr>S6C01</vt:lpstr>
      <vt:lpstr>S6C02</vt:lpstr>
      <vt:lpstr>S7A01</vt:lpstr>
      <vt:lpstr>S7A02</vt:lpstr>
      <vt:lpstr>S7A03</vt:lpstr>
      <vt:lpstr>S7B01</vt:lpstr>
      <vt:lpstr>S7B02</vt:lpstr>
      <vt:lpstr>S7B03</vt:lpstr>
      <vt:lpstr>S7B04</vt:lpstr>
      <vt:lpstr>S7B05</vt:lpstr>
      <vt:lpstr>S7B06</vt:lpstr>
      <vt:lpstr>S7B07</vt:lpstr>
      <vt:lpstr>S7B08</vt:lpstr>
      <vt:lpstr>S7B09</vt:lpstr>
      <vt:lpstr>S7B10</vt:lpstr>
      <vt:lpstr>S8A01</vt:lpstr>
      <vt:lpstr>S8A02</vt:lpstr>
      <vt:lpstr>S8A03</vt:lpstr>
      <vt:lpstr>S8B01</vt:lpstr>
      <vt:lpstr>S8B02</vt:lpstr>
      <vt:lpstr>S8B03</vt:lpstr>
      <vt:lpstr>S8C01</vt:lpstr>
      <vt:lpstr>S8C02</vt:lpstr>
      <vt:lpstr>Tab_actions</vt:lpstr>
      <vt:lpstr>Tab_ActS</vt:lpstr>
      <vt:lpstr>Tab_classif</vt:lpstr>
      <vt:lpstr>'Risk%actif'!Tab_classif_data</vt:lpstr>
      <vt:lpstr>Tab_classif_servIR</vt:lpstr>
      <vt:lpstr>Tab_event</vt:lpstr>
      <vt:lpstr>Tab_SDom</vt:lpstr>
      <vt:lpstr>Tmax</vt:lpstr>
      <vt:lpstr>Tmin</vt:lpstr>
      <vt:lpstr>Tservfonct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Kleiton KITANI</cp:lastModifiedBy>
  <cp:lastPrinted>2021-04-18T09:33:29Z</cp:lastPrinted>
  <dcterms:created xsi:type="dcterms:W3CDTF">2008-05-12T16:19:35Z</dcterms:created>
  <dcterms:modified xsi:type="dcterms:W3CDTF">2026-10-10T16:44:54Z</dcterms:modified>
</cp:coreProperties>
</file>