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02\Downloads\"/>
    </mc:Choice>
  </mc:AlternateContent>
  <xr:revisionPtr revIDLastSave="0" documentId="13_ncr:1_{3BD825A6-774B-4A16-9AE6-0949BACDBD4E}" xr6:coauthVersionLast="47" xr6:coauthVersionMax="47" xr10:uidLastSave="{00000000-0000-0000-0000-000000000000}"/>
  <bookViews>
    <workbookView xWindow="11790" yWindow="285" windowWidth="16350" windowHeight="14670" activeTab="1" xr2:uid="{55C26332-F8AB-4E66-A913-583039C68E3D}"/>
  </bookViews>
  <sheets>
    <sheet name="Sheet1" sheetId="1" r:id="rId1"/>
    <sheet name="Bod" sheetId="2" r:id="rId2"/>
  </sheets>
  <definedNames>
    <definedName name="_Toc342821788" localSheetId="0">Sheet1!$B$24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2" l="1"/>
  <c r="D28" i="2" s="1"/>
  <c r="D27" i="2"/>
  <c r="H24" i="2"/>
  <c r="G18" i="2"/>
  <c r="D18" i="2"/>
  <c r="D14" i="2"/>
  <c r="D8" i="2"/>
  <c r="E28" i="2"/>
  <c r="E27" i="2"/>
  <c r="D9" i="2"/>
  <c r="E9" i="2"/>
  <c r="F9" i="2"/>
  <c r="G9" i="2"/>
  <c r="H9" i="2"/>
  <c r="E10" i="2"/>
  <c r="F10" i="2"/>
  <c r="G10" i="2"/>
  <c r="H10" i="2"/>
  <c r="D10" i="2"/>
  <c r="E8" i="2"/>
  <c r="F8" i="2"/>
  <c r="G8" i="2"/>
  <c r="H8" i="2"/>
  <c r="H15" i="2"/>
  <c r="H16" i="2"/>
  <c r="H17" i="2"/>
  <c r="H14" i="2"/>
  <c r="G15" i="2"/>
  <c r="G16" i="2"/>
  <c r="G17" i="2"/>
  <c r="G14" i="2"/>
  <c r="F15" i="2"/>
  <c r="F16" i="2"/>
  <c r="F17" i="2"/>
  <c r="F14" i="2"/>
  <c r="E17" i="2"/>
  <c r="E16" i="2"/>
  <c r="E15" i="2"/>
  <c r="E14" i="2"/>
  <c r="D15" i="2"/>
  <c r="D16" i="2"/>
  <c r="D17" i="2"/>
  <c r="K27" i="1"/>
  <c r="K28" i="1"/>
  <c r="K29" i="1"/>
  <c r="K30" i="1"/>
  <c r="K31" i="1"/>
  <c r="K26" i="1"/>
  <c r="J29" i="1"/>
  <c r="J27" i="1"/>
  <c r="J28" i="1"/>
  <c r="J30" i="1"/>
  <c r="J31" i="1"/>
  <c r="J26" i="1"/>
  <c r="I29" i="1"/>
  <c r="I26" i="1"/>
  <c r="I27" i="1"/>
  <c r="I28" i="1"/>
  <c r="I30" i="1"/>
  <c r="I31" i="1"/>
  <c r="D32" i="1"/>
  <c r="D33" i="1" s="1"/>
  <c r="E32" i="1"/>
  <c r="C32" i="1"/>
  <c r="C33" i="1" s="1"/>
  <c r="J55" i="1"/>
  <c r="D58" i="1"/>
  <c r="D59" i="1" s="1"/>
  <c r="J52" i="1"/>
  <c r="J50" i="1"/>
  <c r="C58" i="1"/>
  <c r="C59" i="1" s="1"/>
  <c r="H57" i="1"/>
  <c r="M51" i="1"/>
  <c r="M52" i="1"/>
  <c r="M53" i="1"/>
  <c r="M54" i="1"/>
  <c r="M50" i="1"/>
  <c r="L51" i="1"/>
  <c r="L52" i="1"/>
  <c r="L53" i="1"/>
  <c r="L54" i="1"/>
  <c r="L50" i="1"/>
  <c r="K51" i="1"/>
  <c r="K52" i="1"/>
  <c r="K53" i="1"/>
  <c r="K54" i="1"/>
  <c r="K55" i="1"/>
  <c r="K50" i="1"/>
  <c r="J51" i="1"/>
  <c r="J53" i="1"/>
  <c r="J54" i="1"/>
  <c r="J56" i="1"/>
  <c r="I51" i="1"/>
  <c r="I52" i="1"/>
  <c r="I53" i="1"/>
  <c r="I54" i="1"/>
  <c r="I50" i="1"/>
  <c r="E58" i="1"/>
  <c r="E59" i="1" s="1"/>
  <c r="F58" i="1"/>
  <c r="F59" i="1" s="1"/>
  <c r="G58" i="1"/>
  <c r="G59" i="1" s="1"/>
  <c r="D11" i="1"/>
  <c r="D12" i="1" s="1"/>
  <c r="D13" i="1" s="1"/>
  <c r="E11" i="1"/>
  <c r="E12" i="1" s="1"/>
  <c r="E13" i="1" s="1"/>
  <c r="F11" i="1"/>
  <c r="F12" i="1" s="1"/>
  <c r="F13" i="1" s="1"/>
  <c r="G11" i="1"/>
  <c r="G12" i="1" s="1"/>
  <c r="G13" i="1" s="1"/>
  <c r="C11" i="1"/>
  <c r="C12" i="1" s="1"/>
  <c r="C13" i="1" s="1"/>
  <c r="H7" i="1"/>
  <c r="D9" i="1"/>
  <c r="E9" i="1"/>
  <c r="F9" i="1"/>
  <c r="G9" i="1"/>
  <c r="C9" i="1"/>
  <c r="E18" i="2" l="1"/>
  <c r="E29" i="2"/>
  <c r="H23" i="2"/>
  <c r="F18" i="2"/>
  <c r="H18" i="2"/>
  <c r="K35" i="1"/>
  <c r="I35" i="1"/>
  <c r="J35" i="1"/>
  <c r="G32" i="1"/>
  <c r="E33" i="1"/>
  <c r="J61" i="1"/>
  <c r="I61" i="1"/>
  <c r="K61" i="1"/>
  <c r="M61" i="1"/>
  <c r="L61" i="1"/>
  <c r="H60" i="1"/>
  <c r="I63" i="1"/>
  <c r="H9" i="1"/>
  <c r="H10" i="1" s="1"/>
  <c r="H13" i="1"/>
  <c r="H14" i="1" s="1"/>
  <c r="H15" i="1" s="1"/>
  <c r="F29" i="2" l="1"/>
  <c r="G34" i="1"/>
  <c r="I36" i="1"/>
  <c r="I37" i="1"/>
  <c r="I62" i="1"/>
  <c r="H16" i="1"/>
  <c r="F28" i="2" l="1"/>
  <c r="H28" i="2" s="1"/>
  <c r="I38" i="1"/>
  <c r="I39" i="1" s="1"/>
  <c r="I64" i="1"/>
  <c r="I65" i="1" s="1"/>
  <c r="I66" i="1" l="1"/>
  <c r="I67" i="1" s="1"/>
</calcChain>
</file>

<file path=xl/sharedStrings.xml><?xml version="1.0" encoding="utf-8"?>
<sst xmlns="http://schemas.openxmlformats.org/spreadsheetml/2006/main" count="116" uniqueCount="91">
  <si>
    <r>
      <t>Бодлого 1.</t>
    </r>
    <r>
      <rPr>
        <sz val="11"/>
        <color theme="1"/>
        <rFont val="Times New Roman"/>
        <family val="1"/>
      </rPr>
      <t xml:space="preserve"> Дараах үйлдвэрийн газруудын сарын борлуулалтын мэдээнд тулгуурлан борлуулалтын дундаж утга, квадрат дундаж хазайлт, вариацын коэффицентийг тус тус тооцож, утга санааг нь тайлбарла.</t>
    </r>
  </si>
  <si>
    <t>0-4</t>
  </si>
  <si>
    <t>16-20</t>
  </si>
  <si>
    <t>4-8</t>
  </si>
  <si>
    <t>8-12</t>
  </si>
  <si>
    <t>12-16</t>
  </si>
  <si>
    <t>Дисперс</t>
  </si>
  <si>
    <t>Квадрат дундаж</t>
  </si>
  <si>
    <t>Вариацын коэффициент</t>
  </si>
  <si>
    <t>%</t>
  </si>
  <si>
    <t>x_i</t>
  </si>
  <si>
    <t>(x_i - x)^2</t>
  </si>
  <si>
    <t>(x_i - x)^2 * f_i</t>
  </si>
  <si>
    <t>x_i * f_i</t>
  </si>
  <si>
    <r>
      <rPr>
        <b/>
        <sz val="11"/>
        <color theme="1"/>
        <rFont val="Times New Roman"/>
        <family val="1"/>
      </rPr>
      <t>Бодлого 3.</t>
    </r>
    <r>
      <rPr>
        <sz val="11"/>
        <color theme="1"/>
        <rFont val="Times New Roman"/>
        <family val="1"/>
      </rPr>
      <t xml:space="preserve"> 5 үйлдвэрийн газрын ажилчдын өдрийн бүтээмжийн талаар дараах мэдээ өгөгджээ. Уг өгөгдлийг ашиглан: Бүлгүүдийн дундаж дисперс, үйлдвэр тус бүрээр дисперсийг тооц. Бүлэг хоорондын дисперс, ерөнхий дисперс, вариацийн коэффициент, детерминацийн коэффициентийг тооцож, дүгнэлт гарга.</t>
    </r>
  </si>
  <si>
    <t>Ажилчдын дугаар</t>
  </si>
  <si>
    <t>I хэсэг</t>
  </si>
  <si>
    <t>II хэсэг</t>
  </si>
  <si>
    <t>III хэсэг</t>
  </si>
  <si>
    <t>IV хэсэг</t>
  </si>
  <si>
    <t>V хэсэг</t>
  </si>
  <si>
    <t>-</t>
  </si>
  <si>
    <t>Бүлгийн /үйлдвэр бүрийн/ дисперс</t>
  </si>
  <si>
    <t>Бүлгүүдийн дундаж дисперс</t>
  </si>
  <si>
    <t>Бүлэг хоорондын дисперс</t>
  </si>
  <si>
    <t>Ерөнхий дисперс</t>
  </si>
  <si>
    <t>Детерминацийн коэффициент</t>
  </si>
  <si>
    <t>Үйлдэр бүрийн нийт бүтээмж</t>
  </si>
  <si>
    <t>Үйлдвэрүүдийн ерөнхий дундаж бүтээмж</t>
  </si>
  <si>
    <r>
      <t xml:space="preserve">Борлуулалтын орлого /сая.төг/ </t>
    </r>
    <r>
      <rPr>
        <i/>
        <sz val="11"/>
        <color theme="1"/>
        <rFont val="Times New Roman"/>
        <family val="1"/>
      </rPr>
      <t>x_i</t>
    </r>
  </si>
  <si>
    <r>
      <t xml:space="preserve">Үйлдвэрийн газрын тоо </t>
    </r>
    <r>
      <rPr>
        <i/>
        <sz val="11"/>
        <color theme="1"/>
        <rFont val="Times New Roman"/>
        <family val="1"/>
      </rPr>
      <t xml:space="preserve"> f_i</t>
    </r>
  </si>
  <si>
    <r>
      <t xml:space="preserve">Хэлбэлзэл  </t>
    </r>
    <r>
      <rPr>
        <i/>
        <sz val="11"/>
        <color theme="1"/>
        <rFont val="Times New Roman"/>
        <family val="1"/>
      </rPr>
      <t xml:space="preserve">x_i - </t>
    </r>
    <r>
      <rPr>
        <b/>
        <i/>
        <sz val="11"/>
        <color theme="1"/>
        <rFont val="Times New Roman"/>
        <family val="1"/>
      </rPr>
      <t>x</t>
    </r>
  </si>
  <si>
    <r>
      <t xml:space="preserve">Дундаж орлого /сая.төг/ </t>
    </r>
    <r>
      <rPr>
        <b/>
        <i/>
        <sz val="11"/>
        <color theme="1"/>
        <rFont val="Times New Roman"/>
        <family val="1"/>
      </rPr>
      <t>x</t>
    </r>
  </si>
  <si>
    <r>
      <t xml:space="preserve">Хэлбэлзлийн квадрат: </t>
    </r>
    <r>
      <rPr>
        <i/>
        <sz val="11"/>
        <color theme="1"/>
        <rFont val="Times New Roman"/>
        <family val="1"/>
      </rPr>
      <t xml:space="preserve">(x_i - x)^2 </t>
    </r>
  </si>
  <si>
    <r>
      <t xml:space="preserve">Ажилчны нэг өдрийн бүтээмж, ширхэгээр </t>
    </r>
    <r>
      <rPr>
        <b/>
        <i/>
        <sz val="11"/>
        <color theme="1"/>
        <rFont val="Times New Roman"/>
        <family val="1"/>
      </rPr>
      <t>x_i</t>
    </r>
  </si>
  <si>
    <t>Дүн</t>
  </si>
  <si>
    <t>Ажилчдын нас</t>
  </si>
  <si>
    <t>20-24</t>
  </si>
  <si>
    <t>24-28</t>
  </si>
  <si>
    <t>28-32</t>
  </si>
  <si>
    <t>32-36</t>
  </si>
  <si>
    <t>36-40</t>
  </si>
  <si>
    <t>№1</t>
  </si>
  <si>
    <t>№2</t>
  </si>
  <si>
    <t>№3</t>
  </si>
  <si>
    <r>
      <t>Бодлого 2.</t>
    </r>
    <r>
      <rPr>
        <sz val="11"/>
        <color theme="1"/>
        <rFont val="Times New Roman"/>
        <family val="1"/>
      </rPr>
      <t xml:space="preserve"> Гурван ААН-ийн ажилчдын нас болон тооны талаар дараах мэдээ өгөгджээ. Уг өгөгдлийг ашиглан: Бүлгүүдийн дундаж дисперс, Үйлдвэр тус бүрээр дисперсийг тооц.
Бүлэг хоорондын дисперс, Ерөнхий дисперс ба вариацын коэффициентийг тодорхойл.</t>
    </r>
  </si>
  <si>
    <r>
      <t xml:space="preserve">Ажилчдын тоо     </t>
    </r>
    <r>
      <rPr>
        <i/>
        <sz val="11"/>
        <color theme="1"/>
        <rFont val="Times New Roman"/>
        <family val="1"/>
      </rPr>
      <t>f_i</t>
    </r>
  </si>
  <si>
    <r>
      <t xml:space="preserve">Ажилчдын тоо  </t>
    </r>
    <r>
      <rPr>
        <b/>
        <i/>
        <sz val="11"/>
        <color theme="1"/>
        <rFont val="Times New Roman"/>
        <family val="1"/>
      </rPr>
      <t>f</t>
    </r>
  </si>
  <si>
    <r>
      <t xml:space="preserve"> Дундаж бүтээмж   </t>
    </r>
    <r>
      <rPr>
        <b/>
        <i/>
        <sz val="11"/>
        <color theme="1"/>
        <rFont val="Times New Roman"/>
        <family val="1"/>
      </rPr>
      <t>x</t>
    </r>
  </si>
  <si>
    <r>
      <t xml:space="preserve"> Дундаж нас  </t>
    </r>
    <r>
      <rPr>
        <b/>
        <i/>
        <sz val="11"/>
        <color theme="1"/>
        <rFont val="Times New Roman"/>
        <family val="1"/>
      </rPr>
      <t>x</t>
    </r>
  </si>
  <si>
    <t>Нийт ажилчдын тоо</t>
  </si>
  <si>
    <t>Үйлдвэрүүдийн ажилчдын ерөнхий дундаж нас</t>
  </si>
  <si>
    <r>
      <t xml:space="preserve"> </t>
    </r>
    <r>
      <rPr>
        <i/>
        <sz val="11"/>
        <color theme="1"/>
        <rFont val="Times New Roman"/>
        <family val="1"/>
      </rPr>
      <t xml:space="preserve">(x_i - x)^2*f_i </t>
    </r>
  </si>
  <si>
    <t>Бүлгийн /үйлдвэр тус бүрийн/ дисперс</t>
  </si>
  <si>
    <t>Корреляцийн коэффициент</t>
  </si>
  <si>
    <r>
      <rPr>
        <b/>
        <sz val="11"/>
        <color theme="1"/>
        <rFont val="Times New Roman"/>
        <family val="1"/>
      </rPr>
      <t xml:space="preserve">Дүгнэлт: </t>
    </r>
    <r>
      <rPr>
        <sz val="11"/>
        <color theme="1"/>
        <rFont val="Times New Roman"/>
        <family val="1"/>
      </rPr>
      <t>Вариацын коэффициент нь 14.8% гарсан нь 33.3%-иас бага тул үйлдвэрүүдийн ерөнхий дундаж 37.07 нь вариантын утгуудаа төлөөлж чадаж байна.  Детерминацийн коэффициентоос харахад ажилчдын нэг өдрийн бүтээмж нь ажилчдын тооноос 39% хамааралтай байна. Корреляцийн коэффициентоос ажилчдын тоо, нэг өдрийн бүтээмж хоёр хоорондоо 0.62 буюу хүчтэй хамааралтай байна.</t>
    </r>
  </si>
  <si>
    <r>
      <rPr>
        <b/>
        <sz val="11"/>
        <color theme="1"/>
        <rFont val="Times New Roman"/>
        <family val="1"/>
      </rPr>
      <t xml:space="preserve">Дүгнэлт: </t>
    </r>
    <r>
      <rPr>
        <sz val="11"/>
        <color theme="1"/>
        <rFont val="Times New Roman"/>
        <family val="1"/>
      </rPr>
      <t xml:space="preserve"> Вариацын коэффициент нь 43.51% гарч 33.3%-иас их буюу хэлбэлзэл их байна. Өөрөөр хэлбэл, дундаж орлого 11.4 сая нь бусад вариантын утгуудаа төлөөлж чадахгүй байна.</t>
    </r>
  </si>
  <si>
    <r>
      <rPr>
        <b/>
        <sz val="11"/>
        <color theme="1"/>
        <rFont val="Times New Roman"/>
        <family val="1"/>
      </rPr>
      <t>Дүгнэлт:</t>
    </r>
    <r>
      <rPr>
        <sz val="11"/>
        <color theme="1"/>
        <rFont val="Times New Roman"/>
        <family val="1"/>
      </rPr>
      <t xml:space="preserve">  Вариацын коэффициент нь 16.81% гарч 33.3%-иас бага буюу хэлбэлзэл бага байгаа нь  дундаж нас 30.1 нь бусад вариантын утгуудаа төлөөлж чадаж байна.</t>
    </r>
  </si>
  <si>
    <t>Давталт 1</t>
  </si>
  <si>
    <t>Давталт 2</t>
  </si>
  <si>
    <t>Давталт 3</t>
  </si>
  <si>
    <t>Давталт 4</t>
  </si>
  <si>
    <t>Давталтын тоо</t>
  </si>
  <si>
    <t>Давталт/Хувилбар</t>
  </si>
  <si>
    <t>Бордоогүй</t>
  </si>
  <si>
    <t>P_90K_90</t>
  </si>
  <si>
    <t>P_90K_90N_60</t>
  </si>
  <si>
    <t>P_90K_90N_90</t>
  </si>
  <si>
    <t>P_90K_90N_120</t>
  </si>
  <si>
    <r>
      <t xml:space="preserve"> Дундаж  </t>
    </r>
    <r>
      <rPr>
        <b/>
        <i/>
        <sz val="11"/>
        <color theme="1"/>
        <rFont val="Times New Roman"/>
        <family val="1"/>
      </rPr>
      <t>x</t>
    </r>
  </si>
  <si>
    <t>Кв дундаж хазайлт</t>
  </si>
  <si>
    <t>Бүлгийн</t>
  </si>
  <si>
    <t>Үлдэгдэл</t>
  </si>
  <si>
    <t>Хэлбэлзлийн квадратын нийлбэр</t>
  </si>
  <si>
    <t>Чөлөөт гишүүдийн тоо</t>
  </si>
  <si>
    <t>Дисперсүүд</t>
  </si>
  <si>
    <t>Нийт объектийн тоо N</t>
  </si>
  <si>
    <t>Хувилбарын тоо k</t>
  </si>
  <si>
    <t>Ерөнхий</t>
  </si>
  <si>
    <t>Дисперсүүдийн харьцаа          (F test)</t>
  </si>
  <si>
    <t>F_1 =Бүл/Үл</t>
  </si>
  <si>
    <r>
      <t>Бордоогүй (</t>
    </r>
    <r>
      <rPr>
        <i/>
        <sz val="11"/>
        <color theme="1"/>
        <rFont val="Times New Roman"/>
        <family val="1"/>
      </rPr>
      <t>x_i</t>
    </r>
    <r>
      <rPr>
        <sz val="11"/>
        <color theme="1"/>
        <rFont val="Times New Roman"/>
        <family val="1"/>
      </rPr>
      <t>)</t>
    </r>
  </si>
  <si>
    <r>
      <t xml:space="preserve">Кв нийлбэр ∑ </t>
    </r>
    <r>
      <rPr>
        <b/>
        <i/>
        <sz val="11"/>
        <color theme="1"/>
        <rFont val="Times New Roman"/>
        <family val="1"/>
      </rPr>
      <t>x_i</t>
    </r>
    <r>
      <rPr>
        <b/>
        <sz val="11"/>
        <color theme="1"/>
        <rFont val="Times New Roman"/>
        <family val="1"/>
      </rPr>
      <t>^2</t>
    </r>
  </si>
  <si>
    <r>
      <t xml:space="preserve">Нийт объектийн нийлбэр  ∑ </t>
    </r>
    <r>
      <rPr>
        <b/>
        <i/>
        <sz val="11"/>
        <color theme="1"/>
        <rFont val="Times New Roman"/>
        <family val="1"/>
      </rPr>
      <t>x</t>
    </r>
    <r>
      <rPr>
        <b/>
        <sz val="11"/>
        <color theme="1"/>
        <rFont val="Times New Roman"/>
        <family val="1"/>
      </rPr>
      <t xml:space="preserve"> </t>
    </r>
  </si>
  <si>
    <r>
      <t xml:space="preserve">Нийт объектийн кв-ын нийлбэр ∑ </t>
    </r>
    <r>
      <rPr>
        <b/>
        <i/>
        <sz val="11"/>
        <color theme="1"/>
        <rFont val="Times New Roman"/>
        <family val="1"/>
      </rPr>
      <t>x</t>
    </r>
    <r>
      <rPr>
        <b/>
        <sz val="11"/>
        <color theme="1"/>
        <rFont val="Times New Roman"/>
        <family val="1"/>
      </rPr>
      <t>^2</t>
    </r>
  </si>
  <si>
    <t>Нийлбэр ∑ x_i</t>
  </si>
  <si>
    <t>F_1 = 6.53</t>
  </si>
  <si>
    <t>F test(4,15)=3.0556</t>
  </si>
  <si>
    <t>6.53 &gt; 3.0556</t>
  </si>
  <si>
    <t>Га-ын ургацад бордооны тун мэдэгдэхүйц нөлөөтэй</t>
  </si>
  <si>
    <r>
      <t xml:space="preserve"> Хувилбар тус бүрийн кв хазайлт </t>
    </r>
    <r>
      <rPr>
        <b/>
        <i/>
        <sz val="11"/>
        <color theme="1"/>
        <rFont val="Times New Roman"/>
        <family val="1"/>
      </rPr>
      <t>(x_i - x)^2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</si>
</sst>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rgb="FF002060"/>
      <name val="Times New Roman"/>
      <family val="1"/>
    </font>
    <font>
      <b/>
      <sz val="11"/>
      <color theme="9" tint="-0.249977111117893"/>
      <name val="Times New Roman"/>
      <family val="1"/>
    </font>
    <font>
      <b/>
      <sz val="11"/>
      <color rgb="FF7030A0"/>
      <name val="Times New Roman"/>
      <family val="1"/>
    </font>
    <font>
      <sz val="11"/>
      <color rgb="FF7030A0"/>
      <name val="Times New Roman"/>
      <family val="1"/>
    </font>
    <font>
      <sz val="11"/>
      <color theme="9" tint="-0.249977111117893"/>
      <name val="Times New Roman"/>
      <family val="1"/>
    </font>
    <font>
      <sz val="11"/>
      <color rgb="FF002060"/>
      <name val="Times New Roman"/>
      <family val="1"/>
    </font>
    <font>
      <b/>
      <sz val="11"/>
      <color theme="9" tint="-0.499984740745262"/>
      <name val="Times New Roman"/>
      <family val="1"/>
    </font>
    <font>
      <sz val="11"/>
      <color theme="9" tint="-0.499984740745262"/>
      <name val="Times New Roman"/>
      <family val="1"/>
    </font>
    <font>
      <b/>
      <sz val="11"/>
      <color theme="5"/>
      <name val="Times New Roman"/>
      <family val="1"/>
    </font>
    <font>
      <sz val="11"/>
      <color theme="5"/>
      <name val="Times New Roman"/>
      <family val="1"/>
    </font>
    <font>
      <b/>
      <sz val="11"/>
      <color rgb="FFC00000"/>
      <name val="Times New Roman"/>
      <family val="1"/>
    </font>
    <font>
      <sz val="11"/>
      <color rgb="FFC00000"/>
      <name val="Times New Roman"/>
      <family val="1"/>
    </font>
    <font>
      <sz val="8"/>
      <name val="Calibri"/>
      <family val="2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2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/>
    <xf numFmtId="2" fontId="3" fillId="0" borderId="1" xfId="0" applyNumberFormat="1" applyFont="1" applyBorder="1"/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2" fontId="3" fillId="2" borderId="1" xfId="0" applyNumberFormat="1" applyFont="1" applyFill="1" applyBorder="1"/>
    <xf numFmtId="2" fontId="1" fillId="2" borderId="1" xfId="0" applyNumberFormat="1" applyFont="1" applyFill="1" applyBorder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right" vertical="center"/>
    </xf>
    <xf numFmtId="164" fontId="1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4" xfId="0" applyFont="1" applyBorder="1"/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/>
    <xf numFmtId="0" fontId="10" fillId="0" borderId="1" xfId="0" applyFont="1" applyBorder="1"/>
    <xf numFmtId="0" fontId="11" fillId="0" borderId="1" xfId="0" applyFont="1" applyBorder="1"/>
    <xf numFmtId="2" fontId="6" fillId="2" borderId="1" xfId="0" applyNumberFormat="1" applyFont="1" applyFill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2" fontId="3" fillId="2" borderId="1" xfId="0" applyNumberFormat="1" applyFont="1" applyFill="1" applyBorder="1" applyAlignment="1">
      <alignment horizontal="right" vertical="center"/>
    </xf>
    <xf numFmtId="2" fontId="3" fillId="0" borderId="1" xfId="0" applyNumberFormat="1" applyFont="1" applyBorder="1" applyAlignment="1">
      <alignment horizontal="right"/>
    </xf>
    <xf numFmtId="2" fontId="1" fillId="2" borderId="1" xfId="0" applyNumberFormat="1" applyFont="1" applyFill="1" applyBorder="1" applyAlignment="1">
      <alignment horizontal="right"/>
    </xf>
    <xf numFmtId="2" fontId="7" fillId="2" borderId="4" xfId="0" applyNumberFormat="1" applyFont="1" applyFill="1" applyBorder="1" applyAlignment="1">
      <alignment horizontal="right" vertical="center" wrapText="1"/>
    </xf>
    <xf numFmtId="2" fontId="8" fillId="2" borderId="1" xfId="0" applyNumberFormat="1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11" fillId="0" borderId="5" xfId="0" applyFont="1" applyBorder="1"/>
    <xf numFmtId="0" fontId="6" fillId="2" borderId="1" xfId="0" applyFont="1" applyFill="1" applyBorder="1"/>
    <xf numFmtId="0" fontId="12" fillId="0" borderId="1" xfId="0" applyFont="1" applyBorder="1" applyAlignment="1">
      <alignment horizontal="center" vertical="center"/>
    </xf>
    <xf numFmtId="2" fontId="13" fillId="0" borderId="1" xfId="0" applyNumberFormat="1" applyFont="1" applyBorder="1"/>
    <xf numFmtId="0" fontId="13" fillId="0" borderId="1" xfId="0" applyFont="1" applyBorder="1"/>
    <xf numFmtId="0" fontId="13" fillId="0" borderId="5" xfId="0" applyFont="1" applyBorder="1"/>
    <xf numFmtId="2" fontId="12" fillId="2" borderId="1" xfId="0" applyNumberFormat="1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5" xfId="0" applyFont="1" applyBorder="1"/>
    <xf numFmtId="2" fontId="8" fillId="2" borderId="1" xfId="0" applyNumberFormat="1" applyFont="1" applyFill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/>
    <xf numFmtId="0" fontId="15" fillId="0" borderId="5" xfId="0" applyFont="1" applyBorder="1"/>
    <xf numFmtId="2" fontId="14" fillId="2" borderId="1" xfId="0" applyNumberFormat="1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/>
    <xf numFmtId="0" fontId="17" fillId="0" borderId="5" xfId="0" applyFont="1" applyBorder="1"/>
    <xf numFmtId="0" fontId="16" fillId="2" borderId="1" xfId="0" applyFont="1" applyFill="1" applyBorder="1" applyAlignment="1">
      <alignment vertical="center"/>
    </xf>
    <xf numFmtId="0" fontId="1" fillId="3" borderId="1" xfId="0" applyFont="1" applyFill="1" applyBorder="1"/>
    <xf numFmtId="2" fontId="1" fillId="3" borderId="1" xfId="0" applyNumberFormat="1" applyFont="1" applyFill="1" applyBorder="1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" fontId="1" fillId="0" borderId="1" xfId="0" applyNumberFormat="1" applyFont="1" applyBorder="1"/>
    <xf numFmtId="165" fontId="1" fillId="0" borderId="0" xfId="0" applyNumberFormat="1" applyFont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9" fillId="2" borderId="1" xfId="0" applyFont="1" applyFill="1" applyBorder="1" applyAlignment="1">
      <alignment vertical="center" wrapText="1"/>
    </xf>
    <xf numFmtId="2" fontId="6" fillId="0" borderId="0" xfId="0" applyNumberFormat="1" applyFont="1" applyAlignment="1">
      <alignment horizontal="right" vertical="center" wrapText="1"/>
    </xf>
    <xf numFmtId="2" fontId="7" fillId="0" borderId="0" xfId="0" applyNumberFormat="1" applyFont="1" applyAlignment="1">
      <alignment horizontal="right" vertical="center" wrapText="1"/>
    </xf>
    <xf numFmtId="2" fontId="8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1" fontId="2" fillId="0" borderId="1" xfId="0" applyNumberFormat="1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2" fontId="1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5" fontId="1" fillId="0" borderId="1" xfId="0" applyNumberFormat="1" applyFont="1" applyBorder="1"/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1" fillId="2" borderId="7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35</xdr:row>
      <xdr:rowOff>104775</xdr:rowOff>
    </xdr:from>
    <xdr:to>
      <xdr:col>8</xdr:col>
      <xdr:colOff>142875</xdr:colOff>
      <xdr:row>51</xdr:row>
      <xdr:rowOff>94602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709EF1-481F-3F77-29A4-5B1A8A277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5" y="7448550"/>
          <a:ext cx="5981700" cy="30378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C6BE3-FC7B-4989-A6B2-4A5E528DE11F}">
  <dimension ref="B2:M69"/>
  <sheetViews>
    <sheetView topLeftCell="A4" workbookViewId="0">
      <selection activeCell="N28" sqref="N28"/>
    </sheetView>
  </sheetViews>
  <sheetFormatPr defaultRowHeight="15" x14ac:dyDescent="0.25"/>
  <cols>
    <col min="1" max="1" width="4.28515625" style="6" customWidth="1"/>
    <col min="2" max="2" width="30" style="6" customWidth="1"/>
    <col min="3" max="3" width="8.85546875" style="6" customWidth="1"/>
    <col min="4" max="6" width="9.140625" style="6"/>
    <col min="7" max="7" width="9.42578125" style="6" bestFit="1" customWidth="1"/>
    <col min="8" max="8" width="9.140625" style="6"/>
    <col min="9" max="10" width="7.85546875" style="6" customWidth="1"/>
    <col min="11" max="11" width="8.42578125" style="6" customWidth="1"/>
    <col min="12" max="12" width="8.7109375" style="6" customWidth="1"/>
    <col min="13" max="13" width="8.5703125" style="6" customWidth="1"/>
    <col min="14" max="16384" width="9.140625" style="6"/>
  </cols>
  <sheetData>
    <row r="2" spans="2:13" ht="15" customHeight="1" x14ac:dyDescent="0.25">
      <c r="B2" s="88" t="s">
        <v>0</v>
      </c>
      <c r="C2" s="88"/>
      <c r="D2" s="88"/>
      <c r="E2" s="88"/>
      <c r="F2" s="88"/>
      <c r="G2" s="88"/>
      <c r="H2" s="88"/>
      <c r="I2" s="88"/>
      <c r="J2" s="88"/>
      <c r="K2" s="88"/>
      <c r="L2" s="28"/>
      <c r="M2" s="28"/>
    </row>
    <row r="3" spans="2:13" x14ac:dyDescent="0.25">
      <c r="B3" s="88"/>
      <c r="C3" s="88"/>
      <c r="D3" s="88"/>
      <c r="E3" s="88"/>
      <c r="F3" s="88"/>
      <c r="G3" s="88"/>
      <c r="H3" s="88"/>
      <c r="I3" s="88"/>
      <c r="J3" s="88"/>
      <c r="K3" s="88"/>
      <c r="L3" s="28"/>
      <c r="M3" s="28"/>
    </row>
    <row r="4" spans="2:13" x14ac:dyDescent="0.25">
      <c r="B4" s="88"/>
      <c r="C4" s="88"/>
      <c r="D4" s="88"/>
      <c r="E4" s="88"/>
      <c r="F4" s="88"/>
      <c r="G4" s="88"/>
      <c r="H4" s="88"/>
      <c r="I4" s="88"/>
      <c r="J4" s="88"/>
      <c r="K4" s="88"/>
    </row>
    <row r="6" spans="2:13" ht="36" customHeight="1" x14ac:dyDescent="0.25">
      <c r="B6" s="3" t="s">
        <v>29</v>
      </c>
      <c r="C6" s="4" t="s">
        <v>1</v>
      </c>
      <c r="D6" s="4" t="s">
        <v>3</v>
      </c>
      <c r="E6" s="4" t="s">
        <v>4</v>
      </c>
      <c r="F6" s="4" t="s">
        <v>5</v>
      </c>
      <c r="G6" s="4" t="s">
        <v>2</v>
      </c>
      <c r="H6" s="19" t="s">
        <v>35</v>
      </c>
      <c r="L6" s="1"/>
      <c r="M6" s="1"/>
    </row>
    <row r="7" spans="2:13" ht="30" customHeight="1" x14ac:dyDescent="0.25">
      <c r="B7" s="3" t="s">
        <v>30</v>
      </c>
      <c r="C7" s="5">
        <v>2</v>
      </c>
      <c r="D7" s="5">
        <v>3</v>
      </c>
      <c r="E7" s="5">
        <v>5</v>
      </c>
      <c r="F7" s="5">
        <v>6</v>
      </c>
      <c r="G7" s="5">
        <v>4</v>
      </c>
      <c r="H7" s="8">
        <f>SUM(C7:G7)</f>
        <v>20</v>
      </c>
    </row>
    <row r="8" spans="2:13" x14ac:dyDescent="0.25">
      <c r="B8" s="18" t="s">
        <v>10</v>
      </c>
      <c r="C8" s="11">
        <v>2</v>
      </c>
      <c r="D8" s="11">
        <v>6</v>
      </c>
      <c r="E8" s="11">
        <v>10</v>
      </c>
      <c r="F8" s="11">
        <v>14</v>
      </c>
      <c r="G8" s="11">
        <v>18</v>
      </c>
      <c r="H8" s="8"/>
    </row>
    <row r="9" spans="2:13" x14ac:dyDescent="0.25">
      <c r="B9" s="18" t="s">
        <v>13</v>
      </c>
      <c r="C9" s="7">
        <f xml:space="preserve"> C8*C7</f>
        <v>4</v>
      </c>
      <c r="D9" s="7">
        <f xml:space="preserve"> D8*D7</f>
        <v>18</v>
      </c>
      <c r="E9" s="7">
        <f xml:space="preserve"> E8*E7</f>
        <v>50</v>
      </c>
      <c r="F9" s="7">
        <f xml:space="preserve"> F8*F7</f>
        <v>84</v>
      </c>
      <c r="G9" s="7">
        <f xml:space="preserve"> G8*G7</f>
        <v>72</v>
      </c>
      <c r="H9" s="8">
        <f>SUM(C9:G9)</f>
        <v>228</v>
      </c>
    </row>
    <row r="10" spans="2:13" x14ac:dyDescent="0.25">
      <c r="B10" s="94" t="s">
        <v>32</v>
      </c>
      <c r="C10" s="95"/>
      <c r="D10" s="95"/>
      <c r="E10" s="95"/>
      <c r="F10" s="95"/>
      <c r="G10" s="96"/>
      <c r="H10" s="8">
        <f>H9/H7</f>
        <v>11.4</v>
      </c>
      <c r="I10" s="2"/>
    </row>
    <row r="11" spans="2:13" x14ac:dyDescent="0.25">
      <c r="B11" s="7" t="s">
        <v>31</v>
      </c>
      <c r="C11" s="7">
        <f>C8-11.8</f>
        <v>-9.8000000000000007</v>
      </c>
      <c r="D11" s="7">
        <f>D8-11.8</f>
        <v>-5.8000000000000007</v>
      </c>
      <c r="E11" s="7">
        <f>E8-11.8</f>
        <v>-1.8000000000000007</v>
      </c>
      <c r="F11" s="7">
        <f>F8-11.8</f>
        <v>2.1999999999999993</v>
      </c>
      <c r="G11" s="7">
        <f>G8-11.8</f>
        <v>6.1999999999999993</v>
      </c>
      <c r="H11" s="7"/>
    </row>
    <row r="12" spans="2:13" x14ac:dyDescent="0.25">
      <c r="B12" s="18" t="s">
        <v>11</v>
      </c>
      <c r="C12" s="7">
        <f>C11*C11</f>
        <v>96.04000000000002</v>
      </c>
      <c r="D12" s="7">
        <f t="shared" ref="D12:G12" si="0">D11*D11</f>
        <v>33.640000000000008</v>
      </c>
      <c r="E12" s="7">
        <f t="shared" si="0"/>
        <v>3.2400000000000024</v>
      </c>
      <c r="F12" s="7">
        <f t="shared" si="0"/>
        <v>4.8399999999999972</v>
      </c>
      <c r="G12" s="7">
        <f t="shared" si="0"/>
        <v>38.439999999999991</v>
      </c>
      <c r="H12" s="7"/>
    </row>
    <row r="13" spans="2:13" x14ac:dyDescent="0.25">
      <c r="B13" s="18" t="s">
        <v>12</v>
      </c>
      <c r="C13" s="7">
        <f>C12*C7</f>
        <v>192.08000000000004</v>
      </c>
      <c r="D13" s="7">
        <f t="shared" ref="D13:G13" si="1">D12*D7</f>
        <v>100.92000000000002</v>
      </c>
      <c r="E13" s="7">
        <f t="shared" si="1"/>
        <v>16.200000000000014</v>
      </c>
      <c r="F13" s="7">
        <f>F12*F7</f>
        <v>29.039999999999985</v>
      </c>
      <c r="G13" s="7">
        <f t="shared" si="1"/>
        <v>153.75999999999996</v>
      </c>
      <c r="H13" s="8">
        <f>SUM(C13:G13)</f>
        <v>492</v>
      </c>
    </row>
    <row r="14" spans="2:13" x14ac:dyDescent="0.25">
      <c r="B14" s="91" t="s">
        <v>6</v>
      </c>
      <c r="C14" s="92"/>
      <c r="D14" s="92"/>
      <c r="E14" s="92"/>
      <c r="F14" s="92"/>
      <c r="G14" s="93"/>
      <c r="H14" s="62">
        <f>H13/H7</f>
        <v>24.6</v>
      </c>
    </row>
    <row r="15" spans="2:13" x14ac:dyDescent="0.25">
      <c r="B15" s="94" t="s">
        <v>7</v>
      </c>
      <c r="C15" s="95"/>
      <c r="D15" s="95"/>
      <c r="E15" s="95"/>
      <c r="F15" s="95"/>
      <c r="G15" s="96"/>
      <c r="H15" s="10">
        <f>SQRT(H14)</f>
        <v>4.9598387070548977</v>
      </c>
    </row>
    <row r="16" spans="2:13" x14ac:dyDescent="0.25">
      <c r="B16" s="91" t="s">
        <v>8</v>
      </c>
      <c r="C16" s="92"/>
      <c r="D16" s="92"/>
      <c r="E16" s="92"/>
      <c r="F16" s="92"/>
      <c r="G16" s="93"/>
      <c r="H16" s="63">
        <f>H15/H10*100</f>
        <v>43.507357079428928</v>
      </c>
      <c r="I16" s="6" t="s">
        <v>9</v>
      </c>
    </row>
    <row r="18" spans="2:11" ht="45" customHeight="1" x14ac:dyDescent="0.25">
      <c r="B18" s="90" t="s">
        <v>56</v>
      </c>
      <c r="C18" s="90"/>
      <c r="D18" s="90"/>
      <c r="E18" s="90"/>
      <c r="F18" s="90"/>
      <c r="G18" s="90"/>
      <c r="H18" s="90"/>
      <c r="I18" s="90"/>
    </row>
    <row r="19" spans="2:11" ht="14.25" customHeight="1" x14ac:dyDescent="0.25">
      <c r="B19" s="1"/>
      <c r="C19" s="1"/>
      <c r="D19" s="1"/>
      <c r="E19" s="1"/>
      <c r="F19" s="1"/>
      <c r="G19" s="1"/>
      <c r="H19" s="1"/>
      <c r="I19" s="1"/>
    </row>
    <row r="20" spans="2:11" ht="14.25" customHeight="1" x14ac:dyDescent="0.25">
      <c r="B20" s="1"/>
      <c r="C20" s="1"/>
      <c r="D20" s="1"/>
      <c r="E20" s="1"/>
      <c r="F20" s="1"/>
      <c r="G20" s="1"/>
      <c r="H20" s="1"/>
      <c r="I20" s="1"/>
    </row>
    <row r="21" spans="2:11" ht="14.25" customHeight="1" x14ac:dyDescent="0.25">
      <c r="B21" s="88" t="s">
        <v>45</v>
      </c>
      <c r="C21" s="88"/>
      <c r="D21" s="88"/>
      <c r="E21" s="88"/>
      <c r="F21" s="88"/>
      <c r="G21" s="88"/>
      <c r="H21" s="88"/>
      <c r="I21" s="88"/>
      <c r="J21" s="88"/>
      <c r="K21" s="88"/>
    </row>
    <row r="22" spans="2:11" ht="14.25" customHeight="1" x14ac:dyDescent="0.25">
      <c r="B22" s="88"/>
      <c r="C22" s="88"/>
      <c r="D22" s="88"/>
      <c r="E22" s="88"/>
      <c r="F22" s="88"/>
      <c r="G22" s="88"/>
      <c r="H22" s="88"/>
      <c r="I22" s="88"/>
      <c r="J22" s="88"/>
      <c r="K22" s="88"/>
    </row>
    <row r="23" spans="2:11" ht="31.5" customHeight="1" x14ac:dyDescent="0.25">
      <c r="B23" s="88"/>
      <c r="C23" s="88"/>
      <c r="D23" s="88"/>
      <c r="E23" s="88"/>
      <c r="F23" s="88"/>
      <c r="G23" s="88"/>
      <c r="H23" s="88"/>
      <c r="I23" s="88"/>
      <c r="J23" s="88"/>
      <c r="K23" s="88"/>
    </row>
    <row r="24" spans="2:11" ht="15" customHeight="1" x14ac:dyDescent="0.25">
      <c r="B24" s="101" t="s">
        <v>36</v>
      </c>
      <c r="C24" s="100" t="s">
        <v>46</v>
      </c>
      <c r="D24" s="100"/>
      <c r="E24" s="100"/>
      <c r="F24" s="103" t="s">
        <v>10</v>
      </c>
      <c r="G24" s="1"/>
      <c r="H24" s="1"/>
      <c r="I24" s="99" t="s">
        <v>52</v>
      </c>
      <c r="J24" s="99"/>
      <c r="K24" s="99"/>
    </row>
    <row r="25" spans="2:11" ht="14.25" customHeight="1" x14ac:dyDescent="0.25">
      <c r="B25" s="102"/>
      <c r="C25" s="5" t="s">
        <v>42</v>
      </c>
      <c r="D25" s="5" t="s">
        <v>43</v>
      </c>
      <c r="E25" s="5" t="s">
        <v>44</v>
      </c>
      <c r="F25" s="103"/>
      <c r="G25" s="1"/>
      <c r="H25" s="1"/>
      <c r="I25" s="30" t="s">
        <v>42</v>
      </c>
      <c r="J25" s="31" t="s">
        <v>43</v>
      </c>
      <c r="K25" s="32" t="s">
        <v>44</v>
      </c>
    </row>
    <row r="26" spans="2:11" ht="14.25" customHeight="1" x14ac:dyDescent="0.25">
      <c r="B26" s="5" t="s">
        <v>2</v>
      </c>
      <c r="C26" s="5">
        <v>50</v>
      </c>
      <c r="D26" s="5">
        <v>20</v>
      </c>
      <c r="E26" s="5">
        <v>40</v>
      </c>
      <c r="F26" s="27">
        <v>18</v>
      </c>
      <c r="G26" s="1"/>
      <c r="H26" s="1"/>
      <c r="I26" s="35">
        <f>(F26-30)*(F26-30)*C26</f>
        <v>7200</v>
      </c>
      <c r="J26" s="34">
        <f>(F26-29.9)*(F26-29.9)*D26</f>
        <v>2832.1999999999989</v>
      </c>
      <c r="K26" s="33">
        <f>(F26-30.4)*(F26-30.4)*E26</f>
        <v>6150.3999999999987</v>
      </c>
    </row>
    <row r="27" spans="2:11" ht="14.25" customHeight="1" x14ac:dyDescent="0.25">
      <c r="B27" s="5" t="s">
        <v>37</v>
      </c>
      <c r="C27" s="5">
        <v>100</v>
      </c>
      <c r="D27" s="5">
        <v>80</v>
      </c>
      <c r="E27" s="5">
        <v>60</v>
      </c>
      <c r="F27" s="27">
        <v>22</v>
      </c>
      <c r="G27" s="1"/>
      <c r="H27" s="1"/>
      <c r="I27" s="35">
        <f t="shared" ref="I27:I31" si="2">(F27-30)*(F27-30)*C27</f>
        <v>6400</v>
      </c>
      <c r="J27" s="34">
        <f t="shared" ref="J27:J31" si="3">(F27-29.9)*(F27-29.9)*D27</f>
        <v>4992.7999999999984</v>
      </c>
      <c r="K27" s="33">
        <f>(F27-30.4)*(F27-30.4)*E27</f>
        <v>4233.5999999999985</v>
      </c>
    </row>
    <row r="28" spans="2:11" ht="14.25" customHeight="1" x14ac:dyDescent="0.25">
      <c r="B28" s="5" t="s">
        <v>38</v>
      </c>
      <c r="C28" s="5">
        <v>150</v>
      </c>
      <c r="D28" s="5">
        <v>150</v>
      </c>
      <c r="E28" s="5">
        <v>200</v>
      </c>
      <c r="F28" s="27">
        <v>26</v>
      </c>
      <c r="G28" s="1"/>
      <c r="H28" s="1"/>
      <c r="I28" s="35">
        <f t="shared" si="2"/>
        <v>2400</v>
      </c>
      <c r="J28" s="34">
        <f t="shared" si="3"/>
        <v>2281.4999999999982</v>
      </c>
      <c r="K28" s="33">
        <f t="shared" ref="K28:K31" si="4">(F28-30.4)*(F28-30.4)*E28</f>
        <v>3871.9999999999977</v>
      </c>
    </row>
    <row r="29" spans="2:11" ht="14.25" customHeight="1" x14ac:dyDescent="0.25">
      <c r="B29" s="5" t="s">
        <v>39</v>
      </c>
      <c r="C29" s="5">
        <v>350</v>
      </c>
      <c r="D29" s="5">
        <v>300</v>
      </c>
      <c r="E29" s="5">
        <v>400</v>
      </c>
      <c r="F29" s="27">
        <v>30</v>
      </c>
      <c r="G29" s="1"/>
      <c r="H29" s="1"/>
      <c r="I29" s="35">
        <f>(F29-30)*(F29-30)*C29</f>
        <v>0</v>
      </c>
      <c r="J29" s="34">
        <f>(F29-29.9)*(F29-29.9)*D29</f>
        <v>3.0000000000000853</v>
      </c>
      <c r="K29" s="33">
        <f t="shared" si="4"/>
        <v>63.999999999999545</v>
      </c>
    </row>
    <row r="30" spans="2:11" ht="14.25" customHeight="1" x14ac:dyDescent="0.25">
      <c r="B30" s="5" t="s">
        <v>40</v>
      </c>
      <c r="C30" s="5">
        <v>200</v>
      </c>
      <c r="D30" s="5">
        <v>150</v>
      </c>
      <c r="E30" s="5">
        <v>250</v>
      </c>
      <c r="F30" s="27">
        <v>34</v>
      </c>
      <c r="G30" s="1"/>
      <c r="H30" s="1"/>
      <c r="I30" s="35">
        <f t="shared" si="2"/>
        <v>3200</v>
      </c>
      <c r="J30" s="34">
        <f t="shared" si="3"/>
        <v>2521.5000000000018</v>
      </c>
      <c r="K30" s="33">
        <f t="shared" si="4"/>
        <v>3240.0000000000023</v>
      </c>
    </row>
    <row r="31" spans="2:11" ht="14.25" customHeight="1" x14ac:dyDescent="0.25">
      <c r="B31" s="5" t="s">
        <v>41</v>
      </c>
      <c r="C31" s="5">
        <v>150</v>
      </c>
      <c r="D31" s="5">
        <v>100</v>
      </c>
      <c r="E31" s="5">
        <v>150</v>
      </c>
      <c r="F31" s="27">
        <v>38</v>
      </c>
      <c r="G31" s="1"/>
      <c r="H31" s="1"/>
      <c r="I31" s="35">
        <f t="shared" si="2"/>
        <v>9600</v>
      </c>
      <c r="J31" s="34">
        <f t="shared" si="3"/>
        <v>6561.0000000000027</v>
      </c>
      <c r="K31" s="33">
        <f t="shared" si="4"/>
        <v>8664.0000000000036</v>
      </c>
    </row>
    <row r="32" spans="2:11" ht="14.25" customHeight="1" x14ac:dyDescent="0.25">
      <c r="B32" s="23" t="s">
        <v>50</v>
      </c>
      <c r="C32" s="25">
        <f>SUM(C24:C31)</f>
        <v>1000</v>
      </c>
      <c r="D32" s="25">
        <f t="shared" ref="D32:E32" si="5">SUM(D24:D31)</f>
        <v>800</v>
      </c>
      <c r="E32" s="25">
        <f t="shared" si="5"/>
        <v>1100</v>
      </c>
      <c r="F32" s="25"/>
      <c r="G32" s="107">
        <f>SUM(C32:F32)</f>
        <v>2900</v>
      </c>
      <c r="H32" s="107"/>
      <c r="I32" s="5"/>
      <c r="J32" s="7"/>
      <c r="K32" s="7"/>
    </row>
    <row r="33" spans="2:13" ht="14.25" customHeight="1" x14ac:dyDescent="0.25">
      <c r="B33" s="24" t="s">
        <v>49</v>
      </c>
      <c r="C33" s="26">
        <f xml:space="preserve"> (C26*18+C27*22+C28*26+C29*30+C30*34+C31*38)/C32</f>
        <v>30</v>
      </c>
      <c r="D33" s="26">
        <f xml:space="preserve"> (D26*18+D27*22+D28*26+D29*30+D30*34+D31*38)/D32</f>
        <v>29.9</v>
      </c>
      <c r="E33" s="26">
        <f t="shared" ref="E33" si="6" xml:space="preserve"> (E26*18+E27*22+E28*26+E29*30+E30*34+E31*38)/E32</f>
        <v>30.4</v>
      </c>
      <c r="F33" s="26"/>
      <c r="G33" s="26"/>
      <c r="H33" s="1"/>
      <c r="I33" s="5"/>
      <c r="J33" s="7"/>
      <c r="K33" s="7"/>
    </row>
    <row r="34" spans="2:13" ht="14.25" customHeight="1" x14ac:dyDescent="0.25">
      <c r="B34" s="89" t="s">
        <v>51</v>
      </c>
      <c r="C34" s="89"/>
      <c r="D34" s="89"/>
      <c r="E34" s="89"/>
      <c r="F34" s="89"/>
      <c r="G34" s="106">
        <f>(C33*C32+D33*D32+E33*E32)/G32</f>
        <v>30.124137931034483</v>
      </c>
      <c r="H34" s="106"/>
      <c r="I34" s="5"/>
      <c r="J34" s="29"/>
      <c r="K34" s="7"/>
    </row>
    <row r="35" spans="2:13" ht="14.25" customHeight="1" x14ac:dyDescent="0.25">
      <c r="B35" s="104" t="s">
        <v>53</v>
      </c>
      <c r="C35" s="104"/>
      <c r="D35" s="104"/>
      <c r="E35" s="104"/>
      <c r="F35" s="104"/>
      <c r="G35" s="104"/>
      <c r="H35" s="104"/>
      <c r="I35" s="36">
        <f>SUM(I26:I31)/C32</f>
        <v>28.8</v>
      </c>
      <c r="J35" s="41">
        <f>SUM(J26:J31)/D32</f>
        <v>23.99</v>
      </c>
      <c r="K35" s="42">
        <f>SUM(K26:K31)/E32</f>
        <v>23.84</v>
      </c>
    </row>
    <row r="36" spans="2:13" ht="14.25" customHeight="1" x14ac:dyDescent="0.25">
      <c r="B36" s="89" t="s">
        <v>23</v>
      </c>
      <c r="C36" s="89"/>
      <c r="D36" s="89"/>
      <c r="E36" s="89"/>
      <c r="F36" s="89"/>
      <c r="G36" s="89"/>
      <c r="H36" s="89"/>
      <c r="I36" s="37">
        <f>(I35*C32+J35*D32+K35*E32)/G32</f>
        <v>25.591724137931035</v>
      </c>
    </row>
    <row r="37" spans="2:13" ht="14.25" customHeight="1" x14ac:dyDescent="0.25">
      <c r="B37" s="104" t="s">
        <v>24</v>
      </c>
      <c r="C37" s="104"/>
      <c r="D37" s="104"/>
      <c r="E37" s="104"/>
      <c r="F37" s="104"/>
      <c r="G37" s="104"/>
      <c r="H37" s="104"/>
      <c r="I37" s="38">
        <f>((C33-30.1)*(C33-30.1)*C32 + (D33-30.1)*(D33-30.1)*D32 + (E33-30.1)*(E33-30.1)*E32 )/2900</f>
        <v>4.8620689655172175E-2</v>
      </c>
    </row>
    <row r="38" spans="2:13" ht="14.25" customHeight="1" x14ac:dyDescent="0.25">
      <c r="B38" s="89" t="s">
        <v>25</v>
      </c>
      <c r="C38" s="89"/>
      <c r="D38" s="89"/>
      <c r="E38" s="89"/>
      <c r="F38" s="89"/>
      <c r="G38" s="89"/>
      <c r="H38" s="89"/>
      <c r="I38" s="39">
        <f>I36+I37</f>
        <v>25.640344827586208</v>
      </c>
    </row>
    <row r="39" spans="2:13" ht="14.25" customHeight="1" x14ac:dyDescent="0.25">
      <c r="B39" s="104" t="s">
        <v>8</v>
      </c>
      <c r="C39" s="104"/>
      <c r="D39" s="104"/>
      <c r="E39" s="104"/>
      <c r="F39" s="104"/>
      <c r="G39" s="104"/>
      <c r="H39" s="104"/>
      <c r="I39" s="40">
        <f>SQRT(I38)/G34*100</f>
        <v>16.809210014985013</v>
      </c>
      <c r="J39" s="6" t="s">
        <v>9</v>
      </c>
    </row>
    <row r="40" spans="2:13" ht="14.25" customHeight="1" x14ac:dyDescent="0.25">
      <c r="B40" s="105"/>
      <c r="C40" s="105"/>
      <c r="D40" s="105"/>
      <c r="E40" s="105"/>
      <c r="F40" s="105"/>
      <c r="G40" s="105"/>
      <c r="H40" s="105"/>
      <c r="I40" s="1"/>
    </row>
    <row r="41" spans="2:13" ht="14.25" customHeight="1" x14ac:dyDescent="0.25">
      <c r="B41" s="90" t="s">
        <v>57</v>
      </c>
      <c r="C41" s="90"/>
      <c r="D41" s="90"/>
      <c r="E41" s="90"/>
      <c r="F41" s="90"/>
      <c r="G41" s="90"/>
      <c r="H41" s="90"/>
      <c r="I41" s="90"/>
      <c r="J41" s="90"/>
      <c r="K41" s="90"/>
    </row>
    <row r="42" spans="2:13" ht="14.25" customHeight="1" x14ac:dyDescent="0.25">
      <c r="B42" s="90"/>
      <c r="C42" s="90"/>
      <c r="D42" s="90"/>
      <c r="E42" s="90"/>
      <c r="F42" s="90"/>
      <c r="G42" s="90"/>
      <c r="H42" s="90"/>
      <c r="I42" s="90"/>
      <c r="J42" s="90"/>
      <c r="K42" s="90"/>
    </row>
    <row r="43" spans="2:13" ht="14.25" customHeight="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</row>
    <row r="45" spans="2:13" ht="51" customHeight="1" x14ac:dyDescent="0.25">
      <c r="B45" s="97" t="s">
        <v>14</v>
      </c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</row>
    <row r="48" spans="2:13" x14ac:dyDescent="0.25">
      <c r="B48" s="98" t="s">
        <v>15</v>
      </c>
      <c r="C48" s="89" t="s">
        <v>34</v>
      </c>
      <c r="D48" s="89"/>
      <c r="E48" s="89"/>
      <c r="F48" s="89"/>
      <c r="G48" s="89"/>
      <c r="I48" s="99" t="s">
        <v>33</v>
      </c>
      <c r="J48" s="99"/>
      <c r="K48" s="99"/>
      <c r="L48" s="99"/>
      <c r="M48" s="99"/>
    </row>
    <row r="49" spans="2:13" x14ac:dyDescent="0.25">
      <c r="B49" s="98"/>
      <c r="C49" s="11" t="s">
        <v>16</v>
      </c>
      <c r="D49" s="11" t="s">
        <v>17</v>
      </c>
      <c r="E49" s="11" t="s">
        <v>18</v>
      </c>
      <c r="F49" s="11" t="s">
        <v>19</v>
      </c>
      <c r="G49" s="11" t="s">
        <v>20</v>
      </c>
      <c r="I49" s="43" t="s">
        <v>16</v>
      </c>
      <c r="J49" s="46" t="s">
        <v>17</v>
      </c>
      <c r="K49" s="51" t="s">
        <v>18</v>
      </c>
      <c r="L49" s="54" t="s">
        <v>19</v>
      </c>
      <c r="M49" s="58" t="s">
        <v>20</v>
      </c>
    </row>
    <row r="50" spans="2:13" x14ac:dyDescent="0.25">
      <c r="B50" s="9">
        <v>1</v>
      </c>
      <c r="C50" s="9">
        <v>36</v>
      </c>
      <c r="D50" s="9">
        <v>38</v>
      </c>
      <c r="E50" s="9">
        <v>37</v>
      </c>
      <c r="F50" s="9">
        <v>43</v>
      </c>
      <c r="G50" s="9">
        <v>39</v>
      </c>
      <c r="I50" s="35">
        <f>(C50-34)*(C50-34)</f>
        <v>4</v>
      </c>
      <c r="J50" s="47">
        <f>(D50-34.71)*(D50-34.71)</f>
        <v>10.824099999999994</v>
      </c>
      <c r="K50" s="33">
        <f>(E50-35)*(E50-35)</f>
        <v>4</v>
      </c>
      <c r="L50" s="55">
        <f>(F50-43)*(F50-43)</f>
        <v>0</v>
      </c>
      <c r="M50" s="59">
        <f>(G50-40)*(G50-40)</f>
        <v>1</v>
      </c>
    </row>
    <row r="51" spans="2:13" x14ac:dyDescent="0.25">
      <c r="B51" s="9">
        <v>2</v>
      </c>
      <c r="C51" s="9">
        <v>35</v>
      </c>
      <c r="D51" s="9">
        <v>30</v>
      </c>
      <c r="E51" s="9">
        <v>31</v>
      </c>
      <c r="F51" s="9">
        <v>40</v>
      </c>
      <c r="G51" s="9">
        <v>41</v>
      </c>
      <c r="I51" s="35">
        <f t="shared" ref="I51:I54" si="7">(C51-34)*(C51-34)</f>
        <v>1</v>
      </c>
      <c r="J51" s="47">
        <f t="shared" ref="J51:J56" si="8">(D51-34.71)*(D51-34.71)</f>
        <v>22.184100000000008</v>
      </c>
      <c r="K51" s="33">
        <f t="shared" ref="K51:K55" si="9">(E51-35)*(E51-35)</f>
        <v>16</v>
      </c>
      <c r="L51" s="55">
        <f t="shared" ref="L51:L54" si="10">(F51-43)*(F51-43)</f>
        <v>9</v>
      </c>
      <c r="M51" s="59">
        <f t="shared" ref="M51:M54" si="11">(G51-40)*(G51-40)</f>
        <v>1</v>
      </c>
    </row>
    <row r="52" spans="2:13" x14ac:dyDescent="0.25">
      <c r="B52" s="9">
        <v>3</v>
      </c>
      <c r="C52" s="9">
        <v>32</v>
      </c>
      <c r="D52" s="9">
        <v>48</v>
      </c>
      <c r="E52" s="9">
        <v>39</v>
      </c>
      <c r="F52" s="9">
        <v>48</v>
      </c>
      <c r="G52" s="9">
        <v>38</v>
      </c>
      <c r="I52" s="35">
        <f t="shared" si="7"/>
        <v>4</v>
      </c>
      <c r="J52" s="47">
        <f>(D52-34.71)*(D52-34.71)</f>
        <v>176.62409999999997</v>
      </c>
      <c r="K52" s="33">
        <f t="shared" si="9"/>
        <v>16</v>
      </c>
      <c r="L52" s="55">
        <f t="shared" si="10"/>
        <v>25</v>
      </c>
      <c r="M52" s="59">
        <f t="shared" si="11"/>
        <v>4</v>
      </c>
    </row>
    <row r="53" spans="2:13" x14ac:dyDescent="0.25">
      <c r="B53" s="9">
        <v>4</v>
      </c>
      <c r="C53" s="9">
        <v>34</v>
      </c>
      <c r="D53" s="9">
        <v>40</v>
      </c>
      <c r="E53" s="9">
        <v>35</v>
      </c>
      <c r="F53" s="9">
        <v>46</v>
      </c>
      <c r="G53" s="9">
        <v>40</v>
      </c>
      <c r="I53" s="35">
        <f t="shared" si="7"/>
        <v>0</v>
      </c>
      <c r="J53" s="47">
        <f t="shared" si="8"/>
        <v>27.984099999999991</v>
      </c>
      <c r="K53" s="33">
        <f t="shared" si="9"/>
        <v>0</v>
      </c>
      <c r="L53" s="55">
        <f t="shared" si="10"/>
        <v>9</v>
      </c>
      <c r="M53" s="59">
        <f t="shared" si="11"/>
        <v>0</v>
      </c>
    </row>
    <row r="54" spans="2:13" x14ac:dyDescent="0.25">
      <c r="B54" s="9">
        <v>5</v>
      </c>
      <c r="C54" s="9">
        <v>33</v>
      </c>
      <c r="D54" s="9">
        <v>28</v>
      </c>
      <c r="E54" s="9">
        <v>30</v>
      </c>
      <c r="F54" s="9">
        <v>38</v>
      </c>
      <c r="G54" s="9">
        <v>42</v>
      </c>
      <c r="I54" s="35">
        <f t="shared" si="7"/>
        <v>1</v>
      </c>
      <c r="J54" s="47">
        <f t="shared" si="8"/>
        <v>45.024100000000011</v>
      </c>
      <c r="K54" s="33">
        <f t="shared" si="9"/>
        <v>25</v>
      </c>
      <c r="L54" s="55">
        <f t="shared" si="10"/>
        <v>25</v>
      </c>
      <c r="M54" s="59">
        <f t="shared" si="11"/>
        <v>4</v>
      </c>
    </row>
    <row r="55" spans="2:13" x14ac:dyDescent="0.25">
      <c r="B55" s="9">
        <v>6</v>
      </c>
      <c r="C55" s="9" t="s">
        <v>21</v>
      </c>
      <c r="D55" s="9">
        <v>26</v>
      </c>
      <c r="E55" s="9">
        <v>38</v>
      </c>
      <c r="F55" s="9"/>
      <c r="G55" s="9"/>
      <c r="I55" s="35"/>
      <c r="J55" s="47">
        <f>(D55-34.71)*(D55-34.71)</f>
        <v>75.864100000000022</v>
      </c>
      <c r="K55" s="33">
        <f t="shared" si="9"/>
        <v>9</v>
      </c>
      <c r="L55" s="55"/>
      <c r="M55" s="59"/>
    </row>
    <row r="56" spans="2:13" x14ac:dyDescent="0.25">
      <c r="B56" s="9">
        <v>7</v>
      </c>
      <c r="C56" s="9" t="s">
        <v>21</v>
      </c>
      <c r="D56" s="9">
        <v>33</v>
      </c>
      <c r="E56" s="9"/>
      <c r="F56" s="9"/>
      <c r="G56" s="9"/>
      <c r="I56" s="35"/>
      <c r="J56" s="47">
        <f t="shared" si="8"/>
        <v>2.9241000000000028</v>
      </c>
      <c r="K56" s="33"/>
      <c r="L56" s="55"/>
      <c r="M56" s="59"/>
    </row>
    <row r="57" spans="2:13" x14ac:dyDescent="0.25">
      <c r="B57" s="12" t="s">
        <v>47</v>
      </c>
      <c r="C57" s="13">
        <v>5</v>
      </c>
      <c r="D57" s="13">
        <v>7</v>
      </c>
      <c r="E57" s="13">
        <v>6</v>
      </c>
      <c r="F57" s="13">
        <v>5</v>
      </c>
      <c r="G57" s="13">
        <v>5</v>
      </c>
      <c r="H57" s="14">
        <f>SUM(C57:G57)</f>
        <v>28</v>
      </c>
      <c r="I57" s="35"/>
      <c r="J57" s="48"/>
      <c r="K57" s="33"/>
      <c r="L57" s="55"/>
      <c r="M57" s="59"/>
    </row>
    <row r="58" spans="2:13" x14ac:dyDescent="0.25">
      <c r="B58" s="12" t="s">
        <v>27</v>
      </c>
      <c r="C58" s="20">
        <f>SUM(C50:C56)</f>
        <v>170</v>
      </c>
      <c r="D58" s="20">
        <f>SUM(D50:D56)</f>
        <v>243</v>
      </c>
      <c r="E58" s="20">
        <f t="shared" ref="E58:G58" si="12">SUM(E50:E56)</f>
        <v>210</v>
      </c>
      <c r="F58" s="20">
        <f t="shared" si="12"/>
        <v>215</v>
      </c>
      <c r="G58" s="20">
        <f t="shared" si="12"/>
        <v>200</v>
      </c>
      <c r="I58" s="35"/>
      <c r="J58" s="48"/>
      <c r="K58" s="33"/>
      <c r="L58" s="55"/>
      <c r="M58" s="59"/>
    </row>
    <row r="59" spans="2:13" x14ac:dyDescent="0.25">
      <c r="B59" s="15" t="s">
        <v>48</v>
      </c>
      <c r="C59" s="14">
        <f>C58/C57</f>
        <v>34</v>
      </c>
      <c r="D59" s="16">
        <f>D58/D57</f>
        <v>34.714285714285715</v>
      </c>
      <c r="E59" s="14">
        <f t="shared" ref="E59:G59" si="13">E58/E57</f>
        <v>35</v>
      </c>
      <c r="F59" s="14">
        <f t="shared" si="13"/>
        <v>43</v>
      </c>
      <c r="G59" s="14">
        <f t="shared" si="13"/>
        <v>40</v>
      </c>
      <c r="I59" s="44"/>
      <c r="J59" s="49"/>
      <c r="K59" s="52"/>
      <c r="L59" s="56"/>
      <c r="M59" s="60"/>
    </row>
    <row r="60" spans="2:13" x14ac:dyDescent="0.25">
      <c r="B60" s="89" t="s">
        <v>28</v>
      </c>
      <c r="C60" s="89"/>
      <c r="D60" s="89"/>
      <c r="E60" s="89"/>
      <c r="F60" s="89"/>
      <c r="G60" s="89"/>
      <c r="H60" s="10">
        <f>(C59*C57+D59*D57+E59*E57+F59*F57+G59*G57)/H57</f>
        <v>37.071428571428569</v>
      </c>
      <c r="I60" s="44"/>
      <c r="J60" s="49"/>
      <c r="K60" s="52"/>
      <c r="L60" s="56"/>
      <c r="M60" s="60"/>
    </row>
    <row r="61" spans="2:13" x14ac:dyDescent="0.25">
      <c r="B61" s="104" t="s">
        <v>22</v>
      </c>
      <c r="C61" s="104"/>
      <c r="D61" s="104"/>
      <c r="E61" s="104"/>
      <c r="F61" s="104"/>
      <c r="G61" s="104"/>
      <c r="H61" s="104"/>
      <c r="I61" s="45">
        <f>SUM(I50:I56)/C57</f>
        <v>2</v>
      </c>
      <c r="J61" s="50">
        <f>SUM(J50:J56)/D57</f>
        <v>51.632671428571427</v>
      </c>
      <c r="K61" s="53">
        <f>SUM(K50:K56)/E57</f>
        <v>11.666666666666666</v>
      </c>
      <c r="L61" s="57">
        <f>SUM(L50:L56)/F57</f>
        <v>13.6</v>
      </c>
      <c r="M61" s="61">
        <f>SUM(M50:M56)/G57</f>
        <v>2</v>
      </c>
    </row>
    <row r="62" spans="2:13" x14ac:dyDescent="0.25">
      <c r="B62" s="89" t="s">
        <v>23</v>
      </c>
      <c r="C62" s="89"/>
      <c r="D62" s="89"/>
      <c r="E62" s="89"/>
      <c r="F62" s="89"/>
      <c r="G62" s="89"/>
      <c r="H62" s="89"/>
      <c r="I62" s="17">
        <f>(I61*C57+J61*D57+K61*E57+L61*F57+M61*G57)/H57</f>
        <v>18.551024999999999</v>
      </c>
    </row>
    <row r="63" spans="2:13" x14ac:dyDescent="0.25">
      <c r="B63" s="104" t="s">
        <v>24</v>
      </c>
      <c r="C63" s="104"/>
      <c r="D63" s="104"/>
      <c r="E63" s="104"/>
      <c r="F63" s="104"/>
      <c r="G63" s="104"/>
      <c r="H63" s="104"/>
      <c r="I63" s="21">
        <f>((C59-37.07)*(C59-37.07)*C57 + (D59-37.07)*(D59-37.07)*D57 + (E59-37.07)*(E59-37.07)*E57 + (F59-37.07)*(F59-37.07)*F57 + (G59-37.07)*(G59-37.07)*G57)/28</f>
        <v>11.801022448979589</v>
      </c>
    </row>
    <row r="64" spans="2:13" x14ac:dyDescent="0.25">
      <c r="B64" s="89" t="s">
        <v>25</v>
      </c>
      <c r="C64" s="89"/>
      <c r="D64" s="89"/>
      <c r="E64" s="89"/>
      <c r="F64" s="89"/>
      <c r="G64" s="89"/>
      <c r="H64" s="89"/>
      <c r="I64" s="17">
        <f>I62+I63</f>
        <v>30.35204744897959</v>
      </c>
    </row>
    <row r="65" spans="2:13" x14ac:dyDescent="0.25">
      <c r="B65" s="104" t="s">
        <v>8</v>
      </c>
      <c r="C65" s="104"/>
      <c r="D65" s="104"/>
      <c r="E65" s="104"/>
      <c r="F65" s="104"/>
      <c r="G65" s="104"/>
      <c r="H65" s="104"/>
      <c r="I65" s="22">
        <f>SQRT(I64)/H60*100</f>
        <v>14.861227210106129</v>
      </c>
      <c r="J65" s="6" t="s">
        <v>9</v>
      </c>
    </row>
    <row r="66" spans="2:13" x14ac:dyDescent="0.25">
      <c r="B66" s="89" t="s">
        <v>26</v>
      </c>
      <c r="C66" s="89"/>
      <c r="D66" s="89"/>
      <c r="E66" s="89"/>
      <c r="F66" s="89"/>
      <c r="G66" s="89"/>
      <c r="H66" s="89"/>
      <c r="I66" s="10">
        <f>I63/I64</f>
        <v>0.38880482342473177</v>
      </c>
    </row>
    <row r="67" spans="2:13" x14ac:dyDescent="0.25">
      <c r="B67" s="89" t="s">
        <v>54</v>
      </c>
      <c r="C67" s="89"/>
      <c r="D67" s="89"/>
      <c r="E67" s="89"/>
      <c r="F67" s="89"/>
      <c r="G67" s="89"/>
      <c r="H67" s="89"/>
      <c r="I67" s="10">
        <f>SQRT(I66)</f>
        <v>0.62354215849831018</v>
      </c>
    </row>
    <row r="69" spans="2:13" ht="48" customHeight="1" x14ac:dyDescent="0.25">
      <c r="B69" s="90" t="s">
        <v>55</v>
      </c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</row>
  </sheetData>
  <mergeCells count="34">
    <mergeCell ref="B36:H36"/>
    <mergeCell ref="B21:K23"/>
    <mergeCell ref="B69:M69"/>
    <mergeCell ref="B60:G60"/>
    <mergeCell ref="B65:H65"/>
    <mergeCell ref="I24:K24"/>
    <mergeCell ref="B18:I18"/>
    <mergeCell ref="B61:H61"/>
    <mergeCell ref="B62:H62"/>
    <mergeCell ref="B63:H63"/>
    <mergeCell ref="B64:H64"/>
    <mergeCell ref="B37:H37"/>
    <mergeCell ref="B38:H38"/>
    <mergeCell ref="B39:H39"/>
    <mergeCell ref="B40:H40"/>
    <mergeCell ref="G34:H34"/>
    <mergeCell ref="G32:H32"/>
    <mergeCell ref="B34:F34"/>
    <mergeCell ref="B2:K4"/>
    <mergeCell ref="B67:H67"/>
    <mergeCell ref="B41:K42"/>
    <mergeCell ref="B14:G14"/>
    <mergeCell ref="B15:G15"/>
    <mergeCell ref="B16:G16"/>
    <mergeCell ref="B45:M45"/>
    <mergeCell ref="C48:G48"/>
    <mergeCell ref="B48:B49"/>
    <mergeCell ref="B10:G10"/>
    <mergeCell ref="I48:M48"/>
    <mergeCell ref="C24:E24"/>
    <mergeCell ref="B24:B25"/>
    <mergeCell ref="F24:F25"/>
    <mergeCell ref="B66:H66"/>
    <mergeCell ref="B35:H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5F335-2CCA-4484-89C8-A8CD0339A406}">
  <dimension ref="C2:N35"/>
  <sheetViews>
    <sheetView tabSelected="1" topLeftCell="B1" workbookViewId="0">
      <selection activeCell="K28" sqref="K28"/>
    </sheetView>
  </sheetViews>
  <sheetFormatPr defaultRowHeight="15" x14ac:dyDescent="0.25"/>
  <cols>
    <col min="1" max="2" width="9.140625" style="6"/>
    <col min="3" max="3" width="22.28515625" style="6" customWidth="1"/>
    <col min="4" max="4" width="13.140625" style="6" customWidth="1"/>
    <col min="5" max="5" width="12.28515625" style="6" customWidth="1"/>
    <col min="6" max="6" width="13.5703125" style="6" customWidth="1"/>
    <col min="7" max="7" width="13" style="6" customWidth="1"/>
    <col min="8" max="8" width="13.7109375" style="6" customWidth="1"/>
    <col min="9" max="9" width="9.140625" style="6"/>
    <col min="10" max="10" width="12" style="6" customWidth="1"/>
    <col min="11" max="11" width="11.42578125" style="6" customWidth="1"/>
    <col min="12" max="12" width="14.5703125" style="6" customWidth="1"/>
    <col min="13" max="13" width="14.140625" style="6" customWidth="1"/>
    <col min="14" max="14" width="15" style="6" customWidth="1"/>
    <col min="15" max="16384" width="9.140625" style="6"/>
  </cols>
  <sheetData>
    <row r="2" spans="3:14" ht="15" customHeight="1" x14ac:dyDescent="0.25">
      <c r="H2" s="1"/>
    </row>
    <row r="3" spans="3:14" ht="29.25" customHeight="1" x14ac:dyDescent="0.25">
      <c r="C3" s="70" t="s">
        <v>63</v>
      </c>
      <c r="D3" s="87" t="s">
        <v>81</v>
      </c>
      <c r="E3" s="72" t="s">
        <v>65</v>
      </c>
      <c r="F3" s="72" t="s">
        <v>66</v>
      </c>
      <c r="G3" s="72" t="s">
        <v>67</v>
      </c>
      <c r="H3" s="72" t="s">
        <v>68</v>
      </c>
    </row>
    <row r="4" spans="3:14" x14ac:dyDescent="0.25">
      <c r="C4" s="5" t="s">
        <v>58</v>
      </c>
      <c r="D4" s="5">
        <v>296.10000000000002</v>
      </c>
      <c r="E4" s="5">
        <v>329</v>
      </c>
      <c r="F4" s="5">
        <v>366.6</v>
      </c>
      <c r="G4" s="5">
        <v>347.8</v>
      </c>
      <c r="H4" s="5">
        <v>385.4</v>
      </c>
    </row>
    <row r="5" spans="3:14" x14ac:dyDescent="0.25">
      <c r="C5" s="5" t="s">
        <v>59</v>
      </c>
      <c r="D5" s="5">
        <v>297</v>
      </c>
      <c r="E5" s="5">
        <v>324.3</v>
      </c>
      <c r="F5" s="5">
        <v>345.5</v>
      </c>
      <c r="G5" s="5">
        <v>345.5</v>
      </c>
      <c r="H5" s="5">
        <v>427.7</v>
      </c>
    </row>
    <row r="6" spans="3:14" x14ac:dyDescent="0.25">
      <c r="C6" s="5" t="s">
        <v>60</v>
      </c>
      <c r="D6" s="5">
        <v>296.5</v>
      </c>
      <c r="E6" s="5">
        <v>345</v>
      </c>
      <c r="F6" s="5">
        <v>329</v>
      </c>
      <c r="G6" s="5">
        <v>425.4</v>
      </c>
      <c r="H6" s="5">
        <v>404.2</v>
      </c>
    </row>
    <row r="7" spans="3:14" x14ac:dyDescent="0.25">
      <c r="C7" s="5" t="s">
        <v>61</v>
      </c>
      <c r="D7" s="5">
        <v>297</v>
      </c>
      <c r="E7" s="5">
        <v>302.89999999999998</v>
      </c>
      <c r="F7" s="5">
        <v>446.5</v>
      </c>
      <c r="G7" s="5">
        <v>425.4</v>
      </c>
      <c r="H7" s="5">
        <v>373.6</v>
      </c>
    </row>
    <row r="8" spans="3:14" x14ac:dyDescent="0.25">
      <c r="C8" s="23" t="s">
        <v>85</v>
      </c>
      <c r="D8" s="68">
        <f>SUM(D4:D7)</f>
        <v>1186.5999999999999</v>
      </c>
      <c r="E8" s="68">
        <f t="shared" ref="E8:H8" si="0">SUM(E4:E7)</f>
        <v>1301.1999999999998</v>
      </c>
      <c r="F8" s="68">
        <f t="shared" si="0"/>
        <v>1487.6</v>
      </c>
      <c r="G8" s="68">
        <f t="shared" si="0"/>
        <v>1544.1</v>
      </c>
      <c r="H8" s="68">
        <f t="shared" si="0"/>
        <v>1590.9</v>
      </c>
    </row>
    <row r="9" spans="3:14" ht="18" customHeight="1" x14ac:dyDescent="0.25">
      <c r="C9" s="23" t="s">
        <v>82</v>
      </c>
      <c r="D9" s="68">
        <f>D4^2+D5^2+D6^2+D7^2</f>
        <v>352005.46</v>
      </c>
      <c r="E9" s="68">
        <f t="shared" ref="E9:H9" si="1">E4^2+E5^2+E6^2+E7^2</f>
        <v>424184.89999999997</v>
      </c>
      <c r="F9" s="68">
        <f t="shared" si="1"/>
        <v>561369.06000000006</v>
      </c>
      <c r="G9" s="68">
        <f t="shared" si="1"/>
        <v>602265.40999999992</v>
      </c>
      <c r="H9" s="68">
        <f t="shared" si="1"/>
        <v>634415.05000000005</v>
      </c>
    </row>
    <row r="10" spans="3:14" ht="18" customHeight="1" x14ac:dyDescent="0.25">
      <c r="C10" s="24" t="s">
        <v>69</v>
      </c>
      <c r="D10" s="26">
        <f xml:space="preserve"> SUM(D4:D7)/4</f>
        <v>296.64999999999998</v>
      </c>
      <c r="E10" s="26">
        <f t="shared" ref="E10:H10" si="2" xml:space="preserve"> SUM(E4:E7)/4</f>
        <v>325.29999999999995</v>
      </c>
      <c r="F10" s="26">
        <f t="shared" si="2"/>
        <v>371.9</v>
      </c>
      <c r="G10" s="26">
        <f t="shared" si="2"/>
        <v>386.02499999999998</v>
      </c>
      <c r="H10" s="26">
        <f t="shared" si="2"/>
        <v>397.72500000000002</v>
      </c>
    </row>
    <row r="11" spans="3:14" x14ac:dyDescent="0.25">
      <c r="C11" s="24"/>
      <c r="D11" s="26"/>
      <c r="E11" s="26"/>
      <c r="F11" s="26"/>
      <c r="G11" s="26"/>
      <c r="H11" s="26"/>
      <c r="I11" s="1"/>
      <c r="J11" s="66"/>
      <c r="K11" s="66"/>
      <c r="L11" s="66"/>
      <c r="M11" s="66"/>
      <c r="N11" s="66"/>
    </row>
    <row r="12" spans="3:14" x14ac:dyDescent="0.25">
      <c r="C12" s="1"/>
      <c r="D12" s="89" t="s">
        <v>90</v>
      </c>
      <c r="E12" s="89"/>
      <c r="F12" s="89"/>
      <c r="G12" s="89"/>
      <c r="H12" s="89"/>
      <c r="I12" s="1"/>
      <c r="J12" s="66"/>
      <c r="K12" s="66"/>
      <c r="L12" s="66"/>
      <c r="M12" s="66"/>
      <c r="N12" s="66"/>
    </row>
    <row r="13" spans="3:14" x14ac:dyDescent="0.25">
      <c r="C13" s="1"/>
      <c r="D13" s="71" t="s">
        <v>64</v>
      </c>
      <c r="E13" s="72" t="s">
        <v>65</v>
      </c>
      <c r="F13" s="72" t="s">
        <v>66</v>
      </c>
      <c r="G13" s="72" t="s">
        <v>67</v>
      </c>
      <c r="H13" s="72" t="s">
        <v>68</v>
      </c>
      <c r="I13" s="1"/>
      <c r="J13" s="66"/>
      <c r="K13" s="66"/>
      <c r="L13" s="66"/>
      <c r="M13" s="66"/>
      <c r="N13" s="66"/>
    </row>
    <row r="14" spans="3:14" x14ac:dyDescent="0.25">
      <c r="C14" s="1"/>
      <c r="D14" s="84">
        <f>(D4-296.7)^2</f>
        <v>0.35999999999995907</v>
      </c>
      <c r="E14" s="84">
        <f>(E4-325.3)^2</f>
        <v>13.689999999999916</v>
      </c>
      <c r="F14" s="84">
        <f>(F4-371.9)^2</f>
        <v>28.089999999999517</v>
      </c>
      <c r="G14" s="84">
        <f>(G4-386)^2</f>
        <v>1459.2399999999991</v>
      </c>
      <c r="H14" s="84">
        <f>(H4-397.7)^2</f>
        <v>151.29000000000028</v>
      </c>
      <c r="I14" s="1"/>
      <c r="J14" s="66"/>
      <c r="K14" s="66"/>
      <c r="L14" s="66"/>
      <c r="M14" s="66"/>
      <c r="N14" s="66"/>
    </row>
    <row r="15" spans="3:14" x14ac:dyDescent="0.25">
      <c r="C15" s="1"/>
      <c r="D15" s="84">
        <f>(D5-296.7)^2</f>
        <v>9.0000000000006825E-2</v>
      </c>
      <c r="E15" s="84">
        <f>(E5-325.3)^2</f>
        <v>1</v>
      </c>
      <c r="F15" s="84">
        <f>(F5-371.9)^2</f>
        <v>696.95999999999879</v>
      </c>
      <c r="G15" s="84">
        <f>(G5-386)^2</f>
        <v>1640.25</v>
      </c>
      <c r="H15" s="84">
        <f>(H5-397.7)^2</f>
        <v>900</v>
      </c>
      <c r="I15" s="1"/>
      <c r="J15" s="66"/>
      <c r="K15" s="66"/>
      <c r="L15" s="66"/>
      <c r="M15" s="66"/>
      <c r="N15" s="66"/>
    </row>
    <row r="16" spans="3:14" x14ac:dyDescent="0.25">
      <c r="C16" s="1"/>
      <c r="D16" s="84">
        <f>(D6-296.7)^2</f>
        <v>3.9999999999995456E-2</v>
      </c>
      <c r="E16" s="84">
        <f>(E6-325.3)^2</f>
        <v>388.08999999999958</v>
      </c>
      <c r="F16" s="84">
        <f>(F6-371.9)^2</f>
        <v>1840.409999999998</v>
      </c>
      <c r="G16" s="84">
        <f>(G6-386)^2</f>
        <v>1552.3599999999983</v>
      </c>
      <c r="H16" s="84">
        <f>(H6-397.7)^2</f>
        <v>42.25</v>
      </c>
      <c r="I16" s="1"/>
      <c r="J16" s="66"/>
      <c r="K16" s="66"/>
      <c r="L16" s="66"/>
      <c r="M16" s="66"/>
      <c r="N16" s="66"/>
    </row>
    <row r="17" spans="3:12" x14ac:dyDescent="0.25">
      <c r="C17" s="1"/>
      <c r="D17" s="84">
        <f>(D7-296.7)^2</f>
        <v>9.0000000000006825E-2</v>
      </c>
      <c r="E17" s="84">
        <f>(E7-325.3)^2</f>
        <v>501.76000000000153</v>
      </c>
      <c r="F17" s="84">
        <f>(F7-371.9)^2</f>
        <v>5565.1600000000035</v>
      </c>
      <c r="G17" s="84">
        <f>(G7-386)^2</f>
        <v>1552.3599999999983</v>
      </c>
      <c r="H17" s="84">
        <f>(H7-397.7)^2</f>
        <v>580.80999999999835</v>
      </c>
      <c r="I17" s="26"/>
      <c r="J17" s="1"/>
    </row>
    <row r="18" spans="3:12" x14ac:dyDescent="0.25">
      <c r="C18" s="65" t="s">
        <v>70</v>
      </c>
      <c r="D18" s="69">
        <f>SUM(D14:D17)</f>
        <v>0.57999999999996821</v>
      </c>
      <c r="E18" s="69">
        <f>SUM(E14:E17)</f>
        <v>904.5400000000011</v>
      </c>
      <c r="F18" s="69">
        <f>SUM(F14:F17)</f>
        <v>8130.62</v>
      </c>
      <c r="G18" s="69">
        <f>SUM(G14:G17)</f>
        <v>6204.2099999999955</v>
      </c>
      <c r="H18" s="69">
        <f>SUM(H14:H17)</f>
        <v>1674.3499999999985</v>
      </c>
      <c r="I18" s="85"/>
      <c r="J18" s="1"/>
    </row>
    <row r="19" spans="3:12" x14ac:dyDescent="0.25">
      <c r="C19" s="104"/>
      <c r="D19" s="104"/>
      <c r="E19" s="104"/>
      <c r="F19" s="104"/>
      <c r="G19" s="104"/>
      <c r="H19" s="104"/>
      <c r="I19" s="111"/>
      <c r="J19" s="73"/>
      <c r="K19" s="74"/>
      <c r="L19" s="75"/>
    </row>
    <row r="20" spans="3:12" x14ac:dyDescent="0.25">
      <c r="C20" s="108" t="s">
        <v>62</v>
      </c>
      <c r="D20" s="108"/>
      <c r="E20" s="108"/>
      <c r="F20" s="108"/>
      <c r="G20" s="108"/>
      <c r="H20" s="67">
        <v>4</v>
      </c>
      <c r="I20" s="15"/>
      <c r="J20" s="76"/>
    </row>
    <row r="21" spans="3:12" x14ac:dyDescent="0.25">
      <c r="C21" s="89" t="s">
        <v>77</v>
      </c>
      <c r="D21" s="89"/>
      <c r="E21" s="89"/>
      <c r="F21" s="89"/>
      <c r="G21" s="89"/>
      <c r="H21" s="67">
        <v>5</v>
      </c>
      <c r="I21" s="15"/>
      <c r="J21" s="76"/>
    </row>
    <row r="22" spans="3:12" x14ac:dyDescent="0.25">
      <c r="C22" s="89" t="s">
        <v>76</v>
      </c>
      <c r="D22" s="89"/>
      <c r="E22" s="89"/>
      <c r="F22" s="89"/>
      <c r="G22" s="89"/>
      <c r="H22" s="67">
        <v>20</v>
      </c>
      <c r="I22" s="15"/>
      <c r="J22" s="76"/>
    </row>
    <row r="23" spans="3:12" x14ac:dyDescent="0.25">
      <c r="C23" s="89" t="s">
        <v>83</v>
      </c>
      <c r="D23" s="89"/>
      <c r="E23" s="89"/>
      <c r="F23" s="89"/>
      <c r="G23" s="89"/>
      <c r="H23" s="86">
        <f>SUM(D8:H8)</f>
        <v>7110.4</v>
      </c>
      <c r="I23" s="15"/>
      <c r="J23" s="76"/>
    </row>
    <row r="24" spans="3:12" x14ac:dyDescent="0.25">
      <c r="C24" s="89" t="s">
        <v>84</v>
      </c>
      <c r="D24" s="89"/>
      <c r="E24" s="89"/>
      <c r="F24" s="89"/>
      <c r="G24" s="89"/>
      <c r="H24" s="86">
        <f>SUM(D9:H9)</f>
        <v>2574239.88</v>
      </c>
      <c r="I24" s="15"/>
      <c r="J24" s="76"/>
    </row>
    <row r="25" spans="3:12" x14ac:dyDescent="0.25">
      <c r="C25" s="112"/>
      <c r="D25" s="112"/>
      <c r="E25" s="112"/>
      <c r="F25" s="112"/>
      <c r="G25" s="112"/>
      <c r="H25" s="112"/>
      <c r="I25" s="111"/>
      <c r="J25" s="77"/>
    </row>
    <row r="26" spans="3:12" ht="48" customHeight="1" x14ac:dyDescent="0.25">
      <c r="C26" s="11" t="s">
        <v>6</v>
      </c>
      <c r="D26" s="83" t="s">
        <v>73</v>
      </c>
      <c r="E26" s="83" t="s">
        <v>74</v>
      </c>
      <c r="F26" s="82" t="s">
        <v>75</v>
      </c>
      <c r="G26" s="109" t="s">
        <v>79</v>
      </c>
      <c r="H26" s="109"/>
    </row>
    <row r="27" spans="3:12" x14ac:dyDescent="0.25">
      <c r="C27" s="82" t="s">
        <v>78</v>
      </c>
      <c r="D27" s="79">
        <f>H24-(H23^2/H22)</f>
        <v>46350.472000000067</v>
      </c>
      <c r="E27" s="78">
        <f>H22-1</f>
        <v>19</v>
      </c>
      <c r="F27" s="64" t="s">
        <v>21</v>
      </c>
      <c r="G27" s="110" t="s">
        <v>21</v>
      </c>
      <c r="H27" s="110"/>
    </row>
    <row r="28" spans="3:12" x14ac:dyDescent="0.25">
      <c r="C28" s="82" t="s">
        <v>71</v>
      </c>
      <c r="D28" s="79">
        <f>D27-D29</f>
        <v>29436.172000000071</v>
      </c>
      <c r="E28" s="80">
        <f>H21-1</f>
        <v>4</v>
      </c>
      <c r="F28" s="78">
        <f>D28/E28</f>
        <v>7359.0430000000179</v>
      </c>
      <c r="G28" s="78" t="s">
        <v>80</v>
      </c>
      <c r="H28" s="81">
        <f>F28/F29</f>
        <v>6.5261728241783761</v>
      </c>
    </row>
    <row r="29" spans="3:12" x14ac:dyDescent="0.25">
      <c r="C29" s="82" t="s">
        <v>72</v>
      </c>
      <c r="D29" s="79">
        <f>SUM(D18:H18)</f>
        <v>16914.299999999996</v>
      </c>
      <c r="E29" s="80">
        <f>E27-E28</f>
        <v>15</v>
      </c>
      <c r="F29" s="78">
        <f>D29/E29</f>
        <v>1127.6199999999997</v>
      </c>
      <c r="G29" s="78"/>
      <c r="H29" s="82">
        <v>1</v>
      </c>
    </row>
    <row r="31" spans="3:12" x14ac:dyDescent="0.25">
      <c r="E31" s="105" t="s">
        <v>86</v>
      </c>
      <c r="F31" s="105"/>
    </row>
    <row r="32" spans="3:12" x14ac:dyDescent="0.25">
      <c r="E32" s="14"/>
      <c r="F32" s="14"/>
    </row>
    <row r="33" spans="5:6" x14ac:dyDescent="0.25">
      <c r="E33" s="105" t="s">
        <v>87</v>
      </c>
      <c r="F33" s="105"/>
    </row>
    <row r="35" spans="5:6" x14ac:dyDescent="0.25">
      <c r="E35" s="6" t="s">
        <v>88</v>
      </c>
      <c r="F35" s="6" t="s">
        <v>89</v>
      </c>
    </row>
  </sheetData>
  <mergeCells count="12">
    <mergeCell ref="D12:H12"/>
    <mergeCell ref="C21:G21"/>
    <mergeCell ref="C22:G22"/>
    <mergeCell ref="C19:I19"/>
    <mergeCell ref="C25:I25"/>
    <mergeCell ref="E31:F31"/>
    <mergeCell ref="E33:F33"/>
    <mergeCell ref="C23:G23"/>
    <mergeCell ref="C20:G20"/>
    <mergeCell ref="C24:G24"/>
    <mergeCell ref="G26:H26"/>
    <mergeCell ref="G27:H27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Bod</vt:lpstr>
      <vt:lpstr>Sheet1!_Toc342821788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Borolzoi</dc:creator>
  <cp:lastModifiedBy>1202 NIPR</cp:lastModifiedBy>
  <dcterms:created xsi:type="dcterms:W3CDTF">2023-01-12T13:12:12Z</dcterms:created>
  <dcterms:modified xsi:type="dcterms:W3CDTF">2024-01-11T09:18:54Z</dcterms:modified>
</cp:coreProperties>
</file>