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noop_nair_morningstar_com/Documents/Desktop/financial modelign assignment/"/>
    </mc:Choice>
  </mc:AlternateContent>
  <xr:revisionPtr revIDLastSave="5342" documentId="13_ncr:1_{CE6B23BC-80C9-40D0-82AC-5521391EFCD3}" xr6:coauthVersionLast="47" xr6:coauthVersionMax="47" xr10:uidLastSave="{D7082579-5FF7-4332-9A27-DD378C45403A}"/>
  <bookViews>
    <workbookView xWindow="23955" yWindow="5580" windowWidth="25515" windowHeight="16965" xr2:uid="{00000000-000D-0000-FFFF-FFFF00000000}"/>
  </bookViews>
  <sheets>
    <sheet name="Income Statement" sheetId="7" r:id="rId1"/>
    <sheet name="Ratio Analysis" sheetId="15" r:id="rId2"/>
    <sheet name="Revenue Schdule" sheetId="11" r:id="rId3"/>
    <sheet name="Depriciation schedule" sheetId="14" r:id="rId4"/>
    <sheet name="working capital schedle" sheetId="13" r:id="rId5"/>
    <sheet name="CCA" sheetId="21" r:id="rId6"/>
    <sheet name="DCF schedule" sheetId="16" r:id="rId7"/>
    <sheet name="DCF calcuation" sheetId="20" r:id="rId8"/>
    <sheet name="Growth drivers" sheetId="12" r:id="rId9"/>
    <sheet name="Sheet4" sheetId="25" r:id="rId10"/>
    <sheet name="Sheet3" sheetId="24" r:id="rId11"/>
    <sheet name="Retun on market" sheetId="19" r:id="rId12"/>
    <sheet name="dcf footnote" sheetId="17" r:id="rId13"/>
    <sheet name="Beta calculator" sheetId="18" r:id="rId14"/>
    <sheet name="Sheet2" sheetId="10" r:id="rId15"/>
    <sheet name="Cashflow statement" sheetId="9" r:id="rId16"/>
    <sheet name="depriciation" sheetId="8" r:id="rId17"/>
    <sheet name="Profit &amp; Loss" sheetId="1" r:id="rId18"/>
    <sheet name="Quarters" sheetId="3" r:id="rId19"/>
    <sheet name="Balance Sheet" sheetId="2" r:id="rId20"/>
    <sheet name="Cash Flow" sheetId="4" r:id="rId21"/>
    <sheet name="Customization" sheetId="5" r:id="rId22"/>
    <sheet name="Data Sheet" sheetId="6" r:id="rId23"/>
  </sheets>
  <definedNames>
    <definedName name="_xlnm.Print_Area" localSheetId="1">'Ratio Analysis'!$C$2:$M$50</definedName>
    <definedName name="_xlnm.Print_Area" localSheetId="2">'Revenue Schdule'!$C$3:$M$60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" i="7" l="1"/>
  <c r="L7" i="7"/>
  <c r="M7" i="7"/>
  <c r="J7" i="7"/>
  <c r="M33" i="11"/>
  <c r="L33" i="11"/>
  <c r="K33" i="11"/>
  <c r="J33" i="11"/>
  <c r="I33" i="11"/>
  <c r="H33" i="11"/>
  <c r="G33" i="11"/>
  <c r="F33" i="11"/>
  <c r="E33" i="11"/>
  <c r="S23" i="25"/>
  <c r="O27" i="25"/>
  <c r="D39" i="25"/>
  <c r="H35" i="25"/>
  <c r="E29" i="15"/>
  <c r="E50" i="20"/>
  <c r="J19" i="20"/>
  <c r="J18" i="20"/>
  <c r="J9" i="20"/>
  <c r="G9" i="20"/>
  <c r="H9" i="20"/>
  <c r="I9" i="20"/>
  <c r="F9" i="20"/>
  <c r="F8" i="20"/>
  <c r="G19" i="20"/>
  <c r="H19" i="20"/>
  <c r="I19" i="20"/>
  <c r="F19" i="20"/>
  <c r="G18" i="20"/>
  <c r="H18" i="20"/>
  <c r="I18" i="20"/>
  <c r="F18" i="20"/>
  <c r="F46" i="20"/>
  <c r="D67" i="20"/>
  <c r="C6" i="24"/>
  <c r="C4" i="24"/>
  <c r="C18" i="24" s="1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M31" i="7"/>
  <c r="M29" i="21"/>
  <c r="O23" i="21"/>
  <c r="O25" i="21"/>
  <c r="M11" i="21"/>
  <c r="L11" i="21"/>
  <c r="K11" i="21"/>
  <c r="J11" i="21"/>
  <c r="I11" i="21"/>
  <c r="H11" i="21"/>
  <c r="G11" i="21"/>
  <c r="F11" i="21"/>
  <c r="P12" i="21"/>
  <c r="P8" i="21"/>
  <c r="P9" i="21"/>
  <c r="P10" i="21"/>
  <c r="P7" i="21"/>
  <c r="Q12" i="21"/>
  <c r="Q8" i="21"/>
  <c r="Q9" i="21"/>
  <c r="Q10" i="21"/>
  <c r="Q7" i="21"/>
  <c r="O12" i="21"/>
  <c r="O8" i="21"/>
  <c r="O9" i="21"/>
  <c r="O10" i="21"/>
  <c r="O7" i="21"/>
  <c r="Q11" i="21"/>
  <c r="Q14" i="21" s="1"/>
  <c r="P11" i="21"/>
  <c r="O11" i="21"/>
  <c r="E11" i="21"/>
  <c r="C11" i="21"/>
  <c r="C66" i="7"/>
  <c r="F74" i="7"/>
  <c r="F75" i="7" s="1"/>
  <c r="F66" i="7" s="1"/>
  <c r="G74" i="7"/>
  <c r="G75" i="7" s="1"/>
  <c r="G66" i="7" s="1"/>
  <c r="H74" i="7"/>
  <c r="H75" i="7" s="1"/>
  <c r="H66" i="7" s="1"/>
  <c r="I74" i="7"/>
  <c r="I75" i="7" s="1"/>
  <c r="I66" i="7" s="1"/>
  <c r="E74" i="7"/>
  <c r="P14" i="21" l="1"/>
  <c r="O15" i="21"/>
  <c r="O22" i="21" s="1"/>
  <c r="O24" i="21" s="1"/>
  <c r="O27" i="21" s="1"/>
  <c r="O16" i="21"/>
  <c r="O17" i="21"/>
  <c r="Q17" i="21"/>
  <c r="O14" i="21"/>
  <c r="Q15" i="21"/>
  <c r="Q22" i="21" s="1"/>
  <c r="Q24" i="21" s="1"/>
  <c r="Q27" i="21" s="1"/>
  <c r="P15" i="21"/>
  <c r="P22" i="21" s="1"/>
  <c r="P17" i="21"/>
  <c r="Q16" i="21"/>
  <c r="P16" i="21"/>
  <c r="K62" i="14"/>
  <c r="L62" i="14"/>
  <c r="M62" i="14"/>
  <c r="K63" i="14"/>
  <c r="L63" i="14"/>
  <c r="M63" i="14"/>
  <c r="H62" i="14"/>
  <c r="I62" i="14"/>
  <c r="J62" i="14"/>
  <c r="H63" i="14"/>
  <c r="I63" i="14"/>
  <c r="J63" i="14"/>
  <c r="H64" i="14"/>
  <c r="I61" i="14" s="1"/>
  <c r="I64" i="14"/>
  <c r="J61" i="14" s="1"/>
  <c r="G62" i="14"/>
  <c r="G63" i="14"/>
  <c r="G64" i="14"/>
  <c r="H61" i="14" s="1"/>
  <c r="F64" i="14"/>
  <c r="G61" i="14" s="1"/>
  <c r="F63" i="14"/>
  <c r="F62" i="14"/>
  <c r="E64" i="14"/>
  <c r="F61" i="14" s="1"/>
  <c r="G47" i="14"/>
  <c r="H47" i="14"/>
  <c r="I47" i="14"/>
  <c r="F47" i="14"/>
  <c r="G46" i="14"/>
  <c r="H46" i="14"/>
  <c r="I46" i="14"/>
  <c r="F46" i="14"/>
  <c r="F50" i="14"/>
  <c r="F56" i="14" s="1"/>
  <c r="G50" i="14"/>
  <c r="G56" i="14" s="1"/>
  <c r="H54" i="14" s="1"/>
  <c r="H50" i="14"/>
  <c r="I50" i="14"/>
  <c r="E50" i="14"/>
  <c r="E56" i="14" s="1"/>
  <c r="F54" i="14" s="1"/>
  <c r="F41" i="14"/>
  <c r="F48" i="14" s="1"/>
  <c r="G41" i="14"/>
  <c r="G48" i="14" s="1"/>
  <c r="H45" i="14" s="1"/>
  <c r="H41" i="14"/>
  <c r="H48" i="14" s="1"/>
  <c r="I45" i="14" s="1"/>
  <c r="I41" i="14"/>
  <c r="I48" i="14" s="1"/>
  <c r="J45" i="14" s="1"/>
  <c r="E41" i="14"/>
  <c r="E48" i="14" s="1"/>
  <c r="F45" i="14" s="1"/>
  <c r="G126" i="7"/>
  <c r="H124" i="7" s="1"/>
  <c r="H126" i="7"/>
  <c r="I124" i="7" s="1"/>
  <c r="I126" i="7"/>
  <c r="J124" i="7" s="1"/>
  <c r="F126" i="7"/>
  <c r="G124" i="7" s="1"/>
  <c r="E126" i="7"/>
  <c r="F124" i="7" s="1"/>
  <c r="I87" i="7"/>
  <c r="K24" i="7"/>
  <c r="L24" i="7"/>
  <c r="M24" i="7"/>
  <c r="J24" i="7"/>
  <c r="J79" i="12"/>
  <c r="K79" i="12" s="1"/>
  <c r="L79" i="12" s="1"/>
  <c r="J80" i="12"/>
  <c r="L80" i="12" s="1"/>
  <c r="K80" i="12"/>
  <c r="I79" i="12"/>
  <c r="I80" i="12"/>
  <c r="F80" i="12"/>
  <c r="G80" i="12"/>
  <c r="H80" i="12"/>
  <c r="E80" i="12"/>
  <c r="F108" i="20"/>
  <c r="G108" i="20" s="1"/>
  <c r="H108" i="20" s="1"/>
  <c r="I108" i="20" s="1"/>
  <c r="J108" i="20" s="1"/>
  <c r="G100" i="20"/>
  <c r="H100" i="20"/>
  <c r="I100" i="20"/>
  <c r="J100" i="20"/>
  <c r="F100" i="20"/>
  <c r="D95" i="20"/>
  <c r="J10" i="16"/>
  <c r="J11" i="16"/>
  <c r="J13" i="16"/>
  <c r="L13" i="16" s="1"/>
  <c r="O13" i="16" s="1"/>
  <c r="J9" i="16"/>
  <c r="L9" i="16" s="1"/>
  <c r="O9" i="16" s="1"/>
  <c r="J29" i="17"/>
  <c r="I29" i="17"/>
  <c r="J25" i="17"/>
  <c r="I26" i="17"/>
  <c r="J26" i="17" s="1"/>
  <c r="I27" i="17"/>
  <c r="J27" i="17" s="1"/>
  <c r="I28" i="17"/>
  <c r="J28" i="17" s="1"/>
  <c r="I25" i="17"/>
  <c r="F10" i="12"/>
  <c r="F7" i="12" s="1"/>
  <c r="F26" i="12"/>
  <c r="F23" i="12" s="1"/>
  <c r="G26" i="12"/>
  <c r="G23" i="12" s="1"/>
  <c r="H26" i="12"/>
  <c r="H23" i="12" s="1"/>
  <c r="I26" i="12"/>
  <c r="I23" i="12" s="1"/>
  <c r="E88" i="20"/>
  <c r="D121" i="20"/>
  <c r="F54" i="20"/>
  <c r="G54" i="20" s="1"/>
  <c r="H54" i="20" s="1"/>
  <c r="I54" i="20" s="1"/>
  <c r="G46" i="20"/>
  <c r="G49" i="20" s="1"/>
  <c r="H46" i="20"/>
  <c r="H49" i="20" s="1"/>
  <c r="I46" i="20"/>
  <c r="F49" i="20"/>
  <c r="K45" i="11"/>
  <c r="L45" i="11"/>
  <c r="M45" i="11"/>
  <c r="J45" i="11"/>
  <c r="X45" i="12"/>
  <c r="Y45" i="12"/>
  <c r="Z45" i="12"/>
  <c r="W45" i="12"/>
  <c r="X44" i="12"/>
  <c r="Z44" i="12" s="1"/>
  <c r="Y44" i="12"/>
  <c r="X42" i="12"/>
  <c r="Y42" i="12"/>
  <c r="Z42" i="12"/>
  <c r="W42" i="12"/>
  <c r="W44" i="12"/>
  <c r="S44" i="12"/>
  <c r="T44" i="12"/>
  <c r="U44" i="12"/>
  <c r="V44" i="12"/>
  <c r="R44" i="12"/>
  <c r="X13" i="12"/>
  <c r="Y13" i="12"/>
  <c r="Z13" i="12"/>
  <c r="X14" i="12"/>
  <c r="Y14" i="12" s="1"/>
  <c r="W13" i="12"/>
  <c r="W14" i="12"/>
  <c r="T14" i="12"/>
  <c r="U14" i="12"/>
  <c r="V14" i="12"/>
  <c r="S14" i="12"/>
  <c r="E44" i="16"/>
  <c r="C35" i="19"/>
  <c r="Q25" i="16"/>
  <c r="Q24" i="16" s="1"/>
  <c r="E9" i="19"/>
  <c r="E6" i="19"/>
  <c r="E35" i="16"/>
  <c r="E34" i="16"/>
  <c r="P18" i="16"/>
  <c r="M18" i="16"/>
  <c r="E24" i="16" s="1"/>
  <c r="P17" i="16"/>
  <c r="M17" i="16"/>
  <c r="N13" i="16"/>
  <c r="Q13" i="16" s="1"/>
  <c r="G13" i="17"/>
  <c r="J12" i="17"/>
  <c r="I13" i="17" s="1"/>
  <c r="N9" i="16"/>
  <c r="Q9" i="16" s="1"/>
  <c r="L11" i="17"/>
  <c r="L10" i="17"/>
  <c r="L9" i="17"/>
  <c r="L8" i="17"/>
  <c r="L7" i="17"/>
  <c r="L6" i="17"/>
  <c r="L5" i="17"/>
  <c r="L11" i="16"/>
  <c r="O11" i="16" s="1"/>
  <c r="L10" i="16"/>
  <c r="O10" i="16" s="1"/>
  <c r="N11" i="16"/>
  <c r="Q11" i="16" s="1"/>
  <c r="N10" i="16"/>
  <c r="Q10" i="16" s="1"/>
  <c r="M16" i="17"/>
  <c r="M17" i="17"/>
  <c r="M18" i="17"/>
  <c r="M19" i="17"/>
  <c r="M20" i="17"/>
  <c r="M21" i="17"/>
  <c r="M15" i="17"/>
  <c r="K24" i="17" s="1"/>
  <c r="F11" i="15"/>
  <c r="G11" i="15"/>
  <c r="H11" i="15"/>
  <c r="I11" i="15"/>
  <c r="J11" i="15"/>
  <c r="K11" i="15"/>
  <c r="L11" i="15"/>
  <c r="M11" i="15"/>
  <c r="E11" i="15"/>
  <c r="F45" i="15"/>
  <c r="G45" i="15"/>
  <c r="H45" i="15"/>
  <c r="I45" i="15"/>
  <c r="E45" i="15"/>
  <c r="F9" i="15"/>
  <c r="G9" i="15"/>
  <c r="H9" i="15"/>
  <c r="I9" i="15"/>
  <c r="E9" i="15"/>
  <c r="F8" i="15"/>
  <c r="G8" i="15"/>
  <c r="H8" i="15"/>
  <c r="I8" i="15"/>
  <c r="E8" i="15"/>
  <c r="F7" i="15"/>
  <c r="G7" i="15"/>
  <c r="H7" i="15"/>
  <c r="I7" i="15"/>
  <c r="E7" i="15"/>
  <c r="K18" i="13"/>
  <c r="L18" i="13"/>
  <c r="M18" i="13"/>
  <c r="J18" i="13"/>
  <c r="K16" i="13"/>
  <c r="L16" i="13"/>
  <c r="M16" i="13"/>
  <c r="J16" i="13"/>
  <c r="K17" i="13"/>
  <c r="L17" i="13"/>
  <c r="M17" i="13"/>
  <c r="J17" i="13"/>
  <c r="I76" i="12"/>
  <c r="I75" i="12"/>
  <c r="I74" i="12"/>
  <c r="J74" i="12" s="1"/>
  <c r="K74" i="12" s="1"/>
  <c r="F12" i="13"/>
  <c r="G12" i="13"/>
  <c r="H12" i="13"/>
  <c r="I12" i="13"/>
  <c r="F13" i="13"/>
  <c r="G13" i="13"/>
  <c r="H13" i="13"/>
  <c r="I13" i="13"/>
  <c r="F14" i="13"/>
  <c r="F22" i="13" s="1"/>
  <c r="G14" i="13"/>
  <c r="G22" i="13" s="1"/>
  <c r="H14" i="13"/>
  <c r="H22" i="13" s="1"/>
  <c r="I14" i="13"/>
  <c r="E14" i="13"/>
  <c r="E22" i="13" s="1"/>
  <c r="E13" i="13"/>
  <c r="E12" i="13"/>
  <c r="F9" i="13"/>
  <c r="G9" i="13"/>
  <c r="H9" i="13"/>
  <c r="I9" i="13"/>
  <c r="J9" i="13"/>
  <c r="K9" i="13"/>
  <c r="L9" i="13"/>
  <c r="M9" i="13"/>
  <c r="E9" i="13"/>
  <c r="L31" i="7"/>
  <c r="K31" i="7"/>
  <c r="L26" i="7"/>
  <c r="M26" i="7"/>
  <c r="K26" i="7"/>
  <c r="E70" i="12"/>
  <c r="F70" i="12"/>
  <c r="G70" i="12"/>
  <c r="H70" i="12"/>
  <c r="I70" i="12"/>
  <c r="D70" i="12"/>
  <c r="E66" i="12"/>
  <c r="F66" i="12"/>
  <c r="G66" i="12"/>
  <c r="H66" i="12"/>
  <c r="I66" i="12"/>
  <c r="D66" i="12"/>
  <c r="E62" i="12"/>
  <c r="F62" i="12"/>
  <c r="G62" i="12"/>
  <c r="H62" i="12"/>
  <c r="I62" i="12"/>
  <c r="D62" i="12"/>
  <c r="K50" i="11"/>
  <c r="L50" i="11"/>
  <c r="M50" i="11"/>
  <c r="J50" i="11"/>
  <c r="J37" i="14"/>
  <c r="G37" i="14"/>
  <c r="H37" i="14"/>
  <c r="I37" i="14"/>
  <c r="F37" i="14"/>
  <c r="F30" i="14"/>
  <c r="G30" i="14"/>
  <c r="H30" i="14"/>
  <c r="I30" i="14"/>
  <c r="E30" i="14"/>
  <c r="K8" i="14"/>
  <c r="K21" i="7" s="1"/>
  <c r="L8" i="14"/>
  <c r="L38" i="14" s="1"/>
  <c r="M8" i="14"/>
  <c r="M38" i="14" s="1"/>
  <c r="J8" i="14"/>
  <c r="Y66" i="12"/>
  <c r="Z66" i="12" s="1"/>
  <c r="AA66" i="12" s="1"/>
  <c r="F18" i="11"/>
  <c r="G18" i="11"/>
  <c r="H18" i="11"/>
  <c r="I18" i="11"/>
  <c r="E18" i="11"/>
  <c r="F17" i="11"/>
  <c r="G17" i="11"/>
  <c r="H17" i="11"/>
  <c r="I17" i="11"/>
  <c r="U62" i="12"/>
  <c r="V62" i="12"/>
  <c r="W62" i="12"/>
  <c r="T62" i="12"/>
  <c r="V10" i="12"/>
  <c r="W10" i="12" s="1"/>
  <c r="X10" i="12" s="1"/>
  <c r="T56" i="12"/>
  <c r="U56" i="12"/>
  <c r="V56" i="12"/>
  <c r="S56" i="12"/>
  <c r="S54" i="12"/>
  <c r="T54" i="12"/>
  <c r="U54" i="12"/>
  <c r="V54" i="12"/>
  <c r="R54" i="12"/>
  <c r="R32" i="12"/>
  <c r="W30" i="12" s="1"/>
  <c r="I20" i="14"/>
  <c r="F20" i="14"/>
  <c r="G20" i="14"/>
  <c r="H20" i="14"/>
  <c r="E20" i="14"/>
  <c r="G29" i="14"/>
  <c r="H29" i="14"/>
  <c r="I29" i="14"/>
  <c r="J27" i="14" s="1"/>
  <c r="F29" i="14"/>
  <c r="E29" i="14"/>
  <c r="F27" i="14" s="1"/>
  <c r="F14" i="14"/>
  <c r="G14" i="14"/>
  <c r="H14" i="14"/>
  <c r="I14" i="14"/>
  <c r="E14" i="14"/>
  <c r="F12" i="14"/>
  <c r="F28" i="14" s="1"/>
  <c r="G12" i="14"/>
  <c r="G28" i="14" s="1"/>
  <c r="H12" i="14"/>
  <c r="H28" i="14" s="1"/>
  <c r="I12" i="14"/>
  <c r="I28" i="14" s="1"/>
  <c r="E12" i="14"/>
  <c r="T25" i="12"/>
  <c r="U25" i="12"/>
  <c r="V25" i="12"/>
  <c r="S25" i="12"/>
  <c r="X4" i="12"/>
  <c r="Y4" i="12" s="1"/>
  <c r="Z4" i="12" s="1"/>
  <c r="S7" i="12"/>
  <c r="T7" i="12"/>
  <c r="U7" i="12"/>
  <c r="V7" i="12"/>
  <c r="S20" i="12"/>
  <c r="T20" i="12"/>
  <c r="U20" i="12"/>
  <c r="V20" i="12"/>
  <c r="W20" i="12"/>
  <c r="F39" i="11"/>
  <c r="G39" i="11"/>
  <c r="H39" i="11"/>
  <c r="I39" i="11"/>
  <c r="J39" i="11"/>
  <c r="K39" i="11"/>
  <c r="L39" i="11"/>
  <c r="M39" i="11"/>
  <c r="E39" i="11"/>
  <c r="F24" i="11"/>
  <c r="F29" i="11" s="1"/>
  <c r="F43" i="11" s="1"/>
  <c r="G24" i="11"/>
  <c r="G29" i="11" s="1"/>
  <c r="G43" i="11" s="1"/>
  <c r="H24" i="11"/>
  <c r="H29" i="11" s="1"/>
  <c r="H43" i="11" s="1"/>
  <c r="I24" i="11"/>
  <c r="E24" i="11"/>
  <c r="F20" i="11"/>
  <c r="G20" i="11"/>
  <c r="H20" i="11"/>
  <c r="I20" i="11"/>
  <c r="J20" i="11"/>
  <c r="K20" i="11"/>
  <c r="L20" i="11"/>
  <c r="M20" i="11"/>
  <c r="E20" i="11"/>
  <c r="E17" i="11"/>
  <c r="D18" i="16" l="1"/>
  <c r="D85" i="20" s="1"/>
  <c r="E36" i="16"/>
  <c r="F34" i="16" s="1"/>
  <c r="Q29" i="21"/>
  <c r="O29" i="21"/>
  <c r="H51" i="14"/>
  <c r="J64" i="14"/>
  <c r="K61" i="14" s="1"/>
  <c r="K64" i="14" s="1"/>
  <c r="I51" i="14"/>
  <c r="M113" i="7"/>
  <c r="L113" i="7"/>
  <c r="F55" i="14"/>
  <c r="G54" i="14"/>
  <c r="G55" i="14" s="1"/>
  <c r="H56" i="14"/>
  <c r="I54" i="14" s="1"/>
  <c r="I56" i="14"/>
  <c r="J54" i="14" s="1"/>
  <c r="G45" i="14"/>
  <c r="I42" i="14"/>
  <c r="H42" i="14"/>
  <c r="G51" i="14"/>
  <c r="F42" i="14"/>
  <c r="G42" i="14"/>
  <c r="F51" i="14"/>
  <c r="K88" i="7"/>
  <c r="E21" i="13"/>
  <c r="E24" i="13" s="1"/>
  <c r="Q36" i="16"/>
  <c r="I22" i="11"/>
  <c r="H22" i="11"/>
  <c r="I29" i="11"/>
  <c r="I43" i="11" s="1"/>
  <c r="Z14" i="12"/>
  <c r="N18" i="16"/>
  <c r="O18" i="16"/>
  <c r="O17" i="16"/>
  <c r="N17" i="16"/>
  <c r="F35" i="16"/>
  <c r="I10" i="15"/>
  <c r="E10" i="15"/>
  <c r="F10" i="15"/>
  <c r="H10" i="15"/>
  <c r="G10" i="15"/>
  <c r="I21" i="13"/>
  <c r="G21" i="13"/>
  <c r="G24" i="13" s="1"/>
  <c r="F21" i="13"/>
  <c r="F24" i="13" s="1"/>
  <c r="H21" i="13"/>
  <c r="H24" i="13" s="1"/>
  <c r="I22" i="13"/>
  <c r="J75" i="12"/>
  <c r="K75" i="12"/>
  <c r="J76" i="12"/>
  <c r="K76" i="12" s="1"/>
  <c r="L74" i="12"/>
  <c r="W25" i="12"/>
  <c r="W24" i="12" s="1"/>
  <c r="J62" i="12"/>
  <c r="J60" i="12" s="1"/>
  <c r="J66" i="12"/>
  <c r="K66" i="12" s="1"/>
  <c r="W56" i="12"/>
  <c r="X56" i="12" s="1"/>
  <c r="J70" i="12"/>
  <c r="J68" i="12" s="1"/>
  <c r="Y10" i="12"/>
  <c r="Z10" i="12" s="1"/>
  <c r="L21" i="7"/>
  <c r="L88" i="7" s="1"/>
  <c r="X20" i="12"/>
  <c r="X19" i="12" s="1"/>
  <c r="W7" i="12"/>
  <c r="X7" i="12" s="1"/>
  <c r="Y7" i="12" s="1"/>
  <c r="Z7" i="12" s="1"/>
  <c r="S32" i="12"/>
  <c r="X30" i="12" s="1"/>
  <c r="T32" i="12" s="1"/>
  <c r="Y30" i="12" s="1"/>
  <c r="X62" i="12"/>
  <c r="X61" i="12" s="1"/>
  <c r="K38" i="14"/>
  <c r="M21" i="7"/>
  <c r="M88" i="7" s="1"/>
  <c r="W54" i="12"/>
  <c r="W38" i="12" s="1"/>
  <c r="J16" i="14" s="1"/>
  <c r="J29" i="14" s="1"/>
  <c r="F32" i="14"/>
  <c r="J38" i="14"/>
  <c r="J39" i="14" s="1"/>
  <c r="I32" i="14"/>
  <c r="H32" i="14"/>
  <c r="G32" i="14"/>
  <c r="J30" i="14"/>
  <c r="E32" i="14"/>
  <c r="J16" i="7"/>
  <c r="I27" i="14"/>
  <c r="H27" i="14"/>
  <c r="G27" i="14"/>
  <c r="G22" i="11"/>
  <c r="F22" i="11"/>
  <c r="E22" i="11"/>
  <c r="E29" i="11"/>
  <c r="C5" i="24" l="1"/>
  <c r="J52" i="7"/>
  <c r="I55" i="14"/>
  <c r="J42" i="14"/>
  <c r="J41" i="14" s="1"/>
  <c r="J59" i="7" s="1"/>
  <c r="L61" i="14"/>
  <c r="L64" i="14" s="1"/>
  <c r="K52" i="7"/>
  <c r="H55" i="14"/>
  <c r="J51" i="14"/>
  <c r="J50" i="14" s="1"/>
  <c r="H26" i="13"/>
  <c r="F26" i="13"/>
  <c r="G26" i="13"/>
  <c r="G35" i="16"/>
  <c r="F36" i="16"/>
  <c r="F39" i="16"/>
  <c r="Q18" i="16"/>
  <c r="Q34" i="16" s="1"/>
  <c r="Q17" i="16"/>
  <c r="K62" i="12"/>
  <c r="K60" i="12" s="1"/>
  <c r="I24" i="13"/>
  <c r="I26" i="13" s="1"/>
  <c r="X25" i="12"/>
  <c r="Y25" i="12" s="1"/>
  <c r="Z25" i="12" s="1"/>
  <c r="X24" i="12"/>
  <c r="Y24" i="12" s="1"/>
  <c r="Z24" i="12" s="1"/>
  <c r="J64" i="12"/>
  <c r="L76" i="12"/>
  <c r="L75" i="12"/>
  <c r="Y56" i="12"/>
  <c r="Z56" i="12" s="1"/>
  <c r="L66" i="12"/>
  <c r="L64" i="12" s="1"/>
  <c r="K64" i="12"/>
  <c r="Y20" i="12"/>
  <c r="Y19" i="12" s="1"/>
  <c r="K70" i="12"/>
  <c r="K68" i="12" s="1"/>
  <c r="J18" i="14"/>
  <c r="J28" i="14"/>
  <c r="U32" i="12"/>
  <c r="Z30" i="12" s="1"/>
  <c r="V32" i="12" s="1"/>
  <c r="E43" i="11"/>
  <c r="Y62" i="12"/>
  <c r="Z62" i="12" s="1"/>
  <c r="AA62" i="12" s="1"/>
  <c r="X54" i="12"/>
  <c r="X38" i="12" s="1"/>
  <c r="K16" i="14" s="1"/>
  <c r="K29" i="14" s="1"/>
  <c r="L27" i="14" s="1"/>
  <c r="J19" i="14"/>
  <c r="K37" i="14"/>
  <c r="K39" i="14" s="1"/>
  <c r="K30" i="14"/>
  <c r="J32" i="14"/>
  <c r="J57" i="7" s="1"/>
  <c r="K16" i="7"/>
  <c r="J48" i="14" l="1"/>
  <c r="K51" i="14"/>
  <c r="L51" i="14" s="1"/>
  <c r="M51" i="14" s="1"/>
  <c r="M61" i="14"/>
  <c r="M64" i="14" s="1"/>
  <c r="M52" i="7" s="1"/>
  <c r="L52" i="7"/>
  <c r="K42" i="14"/>
  <c r="J58" i="7"/>
  <c r="J60" i="7" s="1"/>
  <c r="J56" i="14"/>
  <c r="K45" i="14"/>
  <c r="J46" i="14"/>
  <c r="J101" i="7" s="1"/>
  <c r="K41" i="14"/>
  <c r="K48" i="14" s="1"/>
  <c r="J12" i="14"/>
  <c r="J99" i="7"/>
  <c r="L62" i="12"/>
  <c r="L60" i="12" s="1"/>
  <c r="G39" i="16"/>
  <c r="Q35" i="16" s="1"/>
  <c r="Q38" i="16" s="1"/>
  <c r="Q26" i="16" s="1"/>
  <c r="Q28" i="16" s="1"/>
  <c r="F43" i="16" s="1"/>
  <c r="E43" i="16"/>
  <c r="Y61" i="12"/>
  <c r="Z61" i="12" s="1"/>
  <c r="Z20" i="12"/>
  <c r="Z19" i="12" s="1"/>
  <c r="L70" i="12"/>
  <c r="L68" i="12" s="1"/>
  <c r="J20" i="14"/>
  <c r="J14" i="14" s="1"/>
  <c r="Y54" i="12"/>
  <c r="Y38" i="12" s="1"/>
  <c r="L16" i="14" s="1"/>
  <c r="L29" i="14" s="1"/>
  <c r="L28" i="14" s="1"/>
  <c r="K18" i="14"/>
  <c r="L37" i="14"/>
  <c r="L39" i="14" s="1"/>
  <c r="K19" i="14"/>
  <c r="L30" i="14"/>
  <c r="K32" i="14"/>
  <c r="K57" i="7" s="1"/>
  <c r="M16" i="7"/>
  <c r="L16" i="7"/>
  <c r="Z8" i="10"/>
  <c r="I11" i="10"/>
  <c r="Y8" i="10"/>
  <c r="H11" i="10"/>
  <c r="X8" i="10"/>
  <c r="X8" i="9"/>
  <c r="Z6" i="10"/>
  <c r="AA6" i="10"/>
  <c r="Z6" i="9"/>
  <c r="AA6" i="9"/>
  <c r="Y6" i="10"/>
  <c r="Y6" i="9"/>
  <c r="G11" i="10"/>
  <c r="C35" i="10"/>
  <c r="C33" i="10"/>
  <c r="C30" i="10"/>
  <c r="C29" i="10"/>
  <c r="C28" i="10"/>
  <c r="F117" i="7"/>
  <c r="G117" i="7"/>
  <c r="H117" i="7"/>
  <c r="I117" i="7"/>
  <c r="E117" i="7"/>
  <c r="F107" i="7"/>
  <c r="G107" i="7"/>
  <c r="H107" i="7"/>
  <c r="I107" i="7"/>
  <c r="E107" i="7"/>
  <c r="I95" i="7"/>
  <c r="H95" i="7"/>
  <c r="G95" i="7"/>
  <c r="F95" i="7"/>
  <c r="E95" i="7"/>
  <c r="I94" i="7"/>
  <c r="H94" i="7"/>
  <c r="G94" i="7"/>
  <c r="F94" i="7"/>
  <c r="E94" i="7"/>
  <c r="I93" i="7"/>
  <c r="J35" i="10" s="1"/>
  <c r="H93" i="7"/>
  <c r="I35" i="10" s="1"/>
  <c r="G93" i="7"/>
  <c r="H35" i="10" s="1"/>
  <c r="F93" i="7"/>
  <c r="G35" i="10" s="1"/>
  <c r="E93" i="7"/>
  <c r="F35" i="10" s="1"/>
  <c r="I92" i="7"/>
  <c r="J30" i="10" s="1"/>
  <c r="H92" i="7"/>
  <c r="I30" i="10" s="1"/>
  <c r="G92" i="7"/>
  <c r="H30" i="10" s="1"/>
  <c r="F92" i="7"/>
  <c r="G30" i="10" s="1"/>
  <c r="E92" i="7"/>
  <c r="F30" i="10" s="1"/>
  <c r="I91" i="7"/>
  <c r="J33" i="10" s="1"/>
  <c r="H91" i="7"/>
  <c r="I33" i="10" s="1"/>
  <c r="G91" i="7"/>
  <c r="H33" i="10" s="1"/>
  <c r="F91" i="7"/>
  <c r="G33" i="10" s="1"/>
  <c r="E91" i="7"/>
  <c r="F33" i="10" s="1"/>
  <c r="I90" i="7"/>
  <c r="J29" i="10" s="1"/>
  <c r="J22" i="10" s="1"/>
  <c r="H90" i="7"/>
  <c r="I29" i="10" s="1"/>
  <c r="I22" i="10" s="1"/>
  <c r="G90" i="7"/>
  <c r="H29" i="10" s="1"/>
  <c r="H22" i="10" s="1"/>
  <c r="F90" i="7"/>
  <c r="G29" i="10" s="1"/>
  <c r="G22" i="10" s="1"/>
  <c r="E90" i="7"/>
  <c r="F29" i="10" s="1"/>
  <c r="F22" i="10" s="1"/>
  <c r="I89" i="7"/>
  <c r="J28" i="10" s="1"/>
  <c r="H89" i="7"/>
  <c r="I28" i="10" s="1"/>
  <c r="G89" i="7"/>
  <c r="H28" i="10" s="1"/>
  <c r="F89" i="7"/>
  <c r="G28" i="10" s="1"/>
  <c r="E89" i="7"/>
  <c r="F28" i="10" s="1"/>
  <c r="H87" i="7"/>
  <c r="G87" i="7"/>
  <c r="F87" i="7"/>
  <c r="E87" i="7"/>
  <c r="E44" i="8"/>
  <c r="F44" i="8"/>
  <c r="G42" i="8" s="1"/>
  <c r="G44" i="8"/>
  <c r="H42" i="8" s="1"/>
  <c r="H44" i="8"/>
  <c r="D44" i="8"/>
  <c r="E42" i="8" s="1"/>
  <c r="F42" i="8"/>
  <c r="F35" i="8"/>
  <c r="G35" i="8"/>
  <c r="H35" i="8"/>
  <c r="F36" i="8"/>
  <c r="G36" i="8"/>
  <c r="F37" i="8"/>
  <c r="G37" i="8"/>
  <c r="H37" i="8"/>
  <c r="E37" i="8"/>
  <c r="E35" i="8"/>
  <c r="D37" i="8"/>
  <c r="D36" i="8" s="1"/>
  <c r="F30" i="8"/>
  <c r="G30" i="8"/>
  <c r="H30" i="8"/>
  <c r="F31" i="8"/>
  <c r="F32" i="8"/>
  <c r="G32" i="8"/>
  <c r="G31" i="8" s="1"/>
  <c r="H32" i="8"/>
  <c r="H31" i="8" s="1"/>
  <c r="E32" i="8"/>
  <c r="E31" i="8" s="1"/>
  <c r="E30" i="8"/>
  <c r="D31" i="8"/>
  <c r="D32" i="8"/>
  <c r="H23" i="8"/>
  <c r="H24" i="8"/>
  <c r="F25" i="8"/>
  <c r="G25" i="8"/>
  <c r="H25" i="8"/>
  <c r="E25" i="8"/>
  <c r="E24" i="8" s="1"/>
  <c r="E23" i="8"/>
  <c r="D24" i="8"/>
  <c r="D25" i="8"/>
  <c r="D22" i="8"/>
  <c r="E4" i="8"/>
  <c r="F4" i="8" s="1"/>
  <c r="G4" i="8" s="1"/>
  <c r="H4" i="8" s="1"/>
  <c r="H22" i="8" s="1"/>
  <c r="K50" i="14" l="1"/>
  <c r="K59" i="7"/>
  <c r="L42" i="14"/>
  <c r="L41" i="14" s="1"/>
  <c r="L48" i="14" s="1"/>
  <c r="K54" i="14"/>
  <c r="J55" i="14"/>
  <c r="J106" i="7" s="1"/>
  <c r="J107" i="7" s="1"/>
  <c r="M45" i="14"/>
  <c r="L45" i="14"/>
  <c r="L46" i="14" s="1"/>
  <c r="L101" i="7" s="1"/>
  <c r="K46" i="14"/>
  <c r="K101" i="7" s="1"/>
  <c r="L12" i="14"/>
  <c r="L99" i="7"/>
  <c r="K20" i="14"/>
  <c r="K14" i="14" s="1"/>
  <c r="F96" i="7"/>
  <c r="F119" i="7" s="1"/>
  <c r="F125" i="7" s="1"/>
  <c r="E96" i="7"/>
  <c r="E119" i="7" s="1"/>
  <c r="E125" i="7" s="1"/>
  <c r="E124" i="7" s="1"/>
  <c r="G96" i="7"/>
  <c r="G119" i="7" s="1"/>
  <c r="G125" i="7" s="1"/>
  <c r="H96" i="7"/>
  <c r="H119" i="7" s="1"/>
  <c r="H125" i="7" s="1"/>
  <c r="L18" i="14"/>
  <c r="L32" i="14"/>
  <c r="L57" i="7" s="1"/>
  <c r="Z54" i="12"/>
  <c r="Z38" i="12" s="1"/>
  <c r="M16" i="14" s="1"/>
  <c r="M29" i="14" s="1"/>
  <c r="M27" i="14"/>
  <c r="F23" i="10"/>
  <c r="F34" i="10"/>
  <c r="G34" i="10"/>
  <c r="G23" i="10"/>
  <c r="H23" i="10"/>
  <c r="H34" i="10"/>
  <c r="J23" i="10"/>
  <c r="J34" i="10"/>
  <c r="I23" i="10"/>
  <c r="I34" i="10"/>
  <c r="F31" i="10"/>
  <c r="F21" i="10"/>
  <c r="G21" i="10"/>
  <c r="G31" i="10"/>
  <c r="H21" i="10"/>
  <c r="H31" i="10"/>
  <c r="I31" i="10"/>
  <c r="I21" i="10"/>
  <c r="J31" i="10"/>
  <c r="J21" i="10"/>
  <c r="AA61" i="12"/>
  <c r="M37" i="14"/>
  <c r="M39" i="14" s="1"/>
  <c r="M19" i="14" s="1"/>
  <c r="L19" i="14"/>
  <c r="M30" i="14"/>
  <c r="Y8" i="9"/>
  <c r="H11" i="9"/>
  <c r="J12" i="11"/>
  <c r="J14" i="11" s="1"/>
  <c r="W6" i="12"/>
  <c r="G10" i="12" s="1"/>
  <c r="G7" i="12" s="1"/>
  <c r="G23" i="8"/>
  <c r="G24" i="8" s="1"/>
  <c r="G22" i="8"/>
  <c r="F23" i="8"/>
  <c r="F24" i="8" s="1"/>
  <c r="F22" i="8"/>
  <c r="E22" i="8"/>
  <c r="E36" i="8"/>
  <c r="H36" i="8"/>
  <c r="K56" i="14" l="1"/>
  <c r="L54" i="14" s="1"/>
  <c r="K58" i="7"/>
  <c r="K60" i="7" s="1"/>
  <c r="L50" i="14"/>
  <c r="M42" i="14"/>
  <c r="M41" i="14" s="1"/>
  <c r="H37" i="10"/>
  <c r="L59" i="7"/>
  <c r="M59" i="7"/>
  <c r="M48" i="14"/>
  <c r="M46" i="14" s="1"/>
  <c r="M101" i="7" s="1"/>
  <c r="G37" i="10"/>
  <c r="J37" i="10"/>
  <c r="I37" i="10"/>
  <c r="M28" i="14"/>
  <c r="M18" i="14"/>
  <c r="M20" i="14" s="1"/>
  <c r="M14" i="14" s="1"/>
  <c r="L20" i="14"/>
  <c r="L14" i="14" s="1"/>
  <c r="F37" i="10"/>
  <c r="M32" i="14"/>
  <c r="M57" i="7" s="1"/>
  <c r="J17" i="11"/>
  <c r="J18" i="11"/>
  <c r="I11" i="9"/>
  <c r="Z8" i="9" s="1"/>
  <c r="J24" i="11"/>
  <c r="J29" i="11" s="1"/>
  <c r="K12" i="11"/>
  <c r="K14" i="11" s="1"/>
  <c r="I28" i="4"/>
  <c r="I27" i="4"/>
  <c r="J21" i="4"/>
  <c r="K21" i="4"/>
  <c r="L21" i="4"/>
  <c r="M21" i="4"/>
  <c r="I21" i="4"/>
  <c r="J18" i="4"/>
  <c r="K18" i="4"/>
  <c r="L18" i="4"/>
  <c r="M18" i="4"/>
  <c r="I18" i="4"/>
  <c r="K69" i="2"/>
  <c r="L69" i="2"/>
  <c r="M69" i="2"/>
  <c r="N69" i="2"/>
  <c r="J69" i="2"/>
  <c r="K68" i="2"/>
  <c r="L68" i="2"/>
  <c r="M68" i="2"/>
  <c r="N68" i="2"/>
  <c r="J68" i="2"/>
  <c r="K67" i="2"/>
  <c r="L67" i="2"/>
  <c r="M67" i="2"/>
  <c r="N67" i="2"/>
  <c r="J67" i="2"/>
  <c r="L56" i="14" l="1"/>
  <c r="L58" i="7"/>
  <c r="L60" i="7" s="1"/>
  <c r="M50" i="14"/>
  <c r="K55" i="14"/>
  <c r="K106" i="7" s="1"/>
  <c r="M12" i="14"/>
  <c r="M99" i="7"/>
  <c r="X6" i="12"/>
  <c r="H10" i="12" s="1"/>
  <c r="H7" i="12" s="1"/>
  <c r="L12" i="11" s="1"/>
  <c r="L14" i="11" s="1"/>
  <c r="J22" i="11"/>
  <c r="K17" i="11"/>
  <c r="K18" i="11"/>
  <c r="K24" i="11"/>
  <c r="K29" i="11" s="1"/>
  <c r="J43" i="11"/>
  <c r="F55" i="7"/>
  <c r="G55" i="7"/>
  <c r="H55" i="7"/>
  <c r="I55" i="7"/>
  <c r="E55" i="7"/>
  <c r="H77" i="6"/>
  <c r="I77" i="6"/>
  <c r="J77" i="6"/>
  <c r="K77" i="6"/>
  <c r="G77" i="6"/>
  <c r="H76" i="6"/>
  <c r="I76" i="6"/>
  <c r="J76" i="6"/>
  <c r="K76" i="6"/>
  <c r="G76" i="6"/>
  <c r="H75" i="6"/>
  <c r="I75" i="6"/>
  <c r="J75" i="6"/>
  <c r="K75" i="6"/>
  <c r="G75" i="6"/>
  <c r="J64" i="2"/>
  <c r="K64" i="2"/>
  <c r="L64" i="2"/>
  <c r="M64" i="2"/>
  <c r="N64" i="2"/>
  <c r="I64" i="2"/>
  <c r="F67" i="7"/>
  <c r="G67" i="7"/>
  <c r="H67" i="7"/>
  <c r="I67" i="7"/>
  <c r="F60" i="7"/>
  <c r="G60" i="7"/>
  <c r="H60" i="7"/>
  <c r="I60" i="7"/>
  <c r="E60" i="7"/>
  <c r="F41" i="7"/>
  <c r="G41" i="7"/>
  <c r="H41" i="7"/>
  <c r="I41" i="7"/>
  <c r="E41" i="7"/>
  <c r="F37" i="7"/>
  <c r="G37" i="7"/>
  <c r="H37" i="7"/>
  <c r="I37" i="7"/>
  <c r="I122" i="20" s="1"/>
  <c r="E37" i="7"/>
  <c r="F24" i="7"/>
  <c r="G24" i="7"/>
  <c r="H24" i="7"/>
  <c r="I24" i="7"/>
  <c r="E24" i="7"/>
  <c r="J30" i="7"/>
  <c r="J95" i="7" s="1"/>
  <c r="J26" i="7"/>
  <c r="K113" i="7" s="1"/>
  <c r="F30" i="7"/>
  <c r="G30" i="7"/>
  <c r="H30" i="7"/>
  <c r="I30" i="7"/>
  <c r="E30" i="7"/>
  <c r="F26" i="7"/>
  <c r="G26" i="7"/>
  <c r="H26" i="7"/>
  <c r="I26" i="7"/>
  <c r="E26" i="7"/>
  <c r="J21" i="7"/>
  <c r="F21" i="7"/>
  <c r="G21" i="7"/>
  <c r="H21" i="7"/>
  <c r="I21" i="7"/>
  <c r="E21" i="7"/>
  <c r="F16" i="7"/>
  <c r="F50" i="11" s="1"/>
  <c r="G16" i="7"/>
  <c r="G50" i="11" s="1"/>
  <c r="H16" i="7"/>
  <c r="H50" i="11" s="1"/>
  <c r="I16" i="7"/>
  <c r="I50" i="11" s="1"/>
  <c r="E16" i="7"/>
  <c r="E50" i="11" s="1"/>
  <c r="F10" i="7"/>
  <c r="G10" i="7"/>
  <c r="H10" i="7"/>
  <c r="I10" i="7"/>
  <c r="E10" i="7"/>
  <c r="M56" i="14" l="1"/>
  <c r="M58" i="7"/>
  <c r="M60" i="7" s="1"/>
  <c r="M54" i="14"/>
  <c r="L55" i="14"/>
  <c r="L106" i="7" s="1"/>
  <c r="L107" i="7" s="1"/>
  <c r="J88" i="7"/>
  <c r="C34" i="19"/>
  <c r="D36" i="19" s="1"/>
  <c r="E23" i="16" s="1"/>
  <c r="E25" i="16" s="1"/>
  <c r="E27" i="16" s="1"/>
  <c r="F44" i="16" s="1"/>
  <c r="E47" i="16" s="1"/>
  <c r="J113" i="7"/>
  <c r="K43" i="11"/>
  <c r="E46" i="16"/>
  <c r="J37" i="7"/>
  <c r="K37" i="7" s="1"/>
  <c r="L37" i="7" s="1"/>
  <c r="M37" i="7" s="1"/>
  <c r="I68" i="20"/>
  <c r="I8" i="13"/>
  <c r="I18" i="13" s="1"/>
  <c r="I6" i="15"/>
  <c r="H8" i="13"/>
  <c r="H17" i="13" s="1"/>
  <c r="H6" i="15"/>
  <c r="E8" i="13"/>
  <c r="E17" i="13" s="1"/>
  <c r="E6" i="15"/>
  <c r="I47" i="15"/>
  <c r="I31" i="15"/>
  <c r="I29" i="15"/>
  <c r="G8" i="13"/>
  <c r="G17" i="13" s="1"/>
  <c r="G6" i="15"/>
  <c r="F8" i="13"/>
  <c r="F17" i="13" s="1"/>
  <c r="F6" i="15"/>
  <c r="H47" i="15"/>
  <c r="H31" i="15"/>
  <c r="H29" i="15"/>
  <c r="G31" i="15"/>
  <c r="G47" i="15"/>
  <c r="G29" i="15"/>
  <c r="F31" i="15"/>
  <c r="F47" i="15"/>
  <c r="F29" i="15"/>
  <c r="F47" i="11"/>
  <c r="G8" i="10"/>
  <c r="G47" i="11"/>
  <c r="H8" i="10"/>
  <c r="H43" i="8"/>
  <c r="I8" i="14"/>
  <c r="I38" i="14" s="1"/>
  <c r="D43" i="8"/>
  <c r="E8" i="14"/>
  <c r="F43" i="8"/>
  <c r="G8" i="14"/>
  <c r="H47" i="11"/>
  <c r="I8" i="10"/>
  <c r="G43" i="8"/>
  <c r="H8" i="14"/>
  <c r="E43" i="8"/>
  <c r="F8" i="14"/>
  <c r="I47" i="11"/>
  <c r="J8" i="10"/>
  <c r="E47" i="11"/>
  <c r="E54" i="11" s="1"/>
  <c r="F8" i="10"/>
  <c r="K22" i="11"/>
  <c r="L17" i="11"/>
  <c r="L18" i="11"/>
  <c r="L24" i="11"/>
  <c r="L29" i="11" s="1"/>
  <c r="Y6" i="12"/>
  <c r="I10" i="12" s="1"/>
  <c r="I7" i="12" s="1"/>
  <c r="L22" i="11"/>
  <c r="G69" i="7"/>
  <c r="G70" i="7" s="1"/>
  <c r="G71" i="7" s="1"/>
  <c r="F69" i="7"/>
  <c r="F70" i="7" s="1"/>
  <c r="F71" i="7" s="1"/>
  <c r="H69" i="7"/>
  <c r="H70" i="7" s="1"/>
  <c r="H71" i="7" s="1"/>
  <c r="I69" i="7"/>
  <c r="I70" i="7" s="1"/>
  <c r="I71" i="7" s="1"/>
  <c r="M55" i="14" l="1"/>
  <c r="M106" i="7" s="1"/>
  <c r="M107" i="7" s="1"/>
  <c r="H18" i="13"/>
  <c r="I17" i="13"/>
  <c r="L43" i="11"/>
  <c r="D86" i="20"/>
  <c r="D33" i="20"/>
  <c r="E18" i="13"/>
  <c r="F18" i="13"/>
  <c r="G18" i="13"/>
  <c r="I76" i="7"/>
  <c r="I79" i="7" a="1"/>
  <c r="I79" i="7" s="1"/>
  <c r="F35" i="15"/>
  <c r="F39" i="15"/>
  <c r="G39" i="15"/>
  <c r="G35" i="15"/>
  <c r="E35" i="15"/>
  <c r="E39" i="15"/>
  <c r="H35" i="15"/>
  <c r="H39" i="15"/>
  <c r="H76" i="7"/>
  <c r="H79" i="7" a="1"/>
  <c r="H79" i="7" s="1"/>
  <c r="F76" i="7"/>
  <c r="F79" i="7" a="1"/>
  <c r="F79" i="7" s="1"/>
  <c r="I35" i="15"/>
  <c r="I39" i="15"/>
  <c r="G76" i="7"/>
  <c r="G79" i="7" a="1"/>
  <c r="G79" i="7" s="1"/>
  <c r="I15" i="10"/>
  <c r="I16" i="10"/>
  <c r="H54" i="11"/>
  <c r="H48" i="11"/>
  <c r="I54" i="11"/>
  <c r="I48" i="11"/>
  <c r="H15" i="10"/>
  <c r="H16" i="10"/>
  <c r="G38" i="14"/>
  <c r="F15" i="10"/>
  <c r="F16" i="10"/>
  <c r="F38" i="14"/>
  <c r="G54" i="11"/>
  <c r="G48" i="11"/>
  <c r="G15" i="10"/>
  <c r="G16" i="10"/>
  <c r="J15" i="10"/>
  <c r="J16" i="10"/>
  <c r="H38" i="14"/>
  <c r="F48" i="11"/>
  <c r="F54" i="11"/>
  <c r="M12" i="11"/>
  <c r="M14" i="11" s="1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F21" i="2" s="1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I7" i="2"/>
  <c r="J7" i="2"/>
  <c r="K7" i="2"/>
  <c r="K16" i="2" s="1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D14" i="3" s="1"/>
  <c r="E4" i="3"/>
  <c r="E14" i="3" s="1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C21" i="2" s="1"/>
  <c r="D4" i="1"/>
  <c r="E4" i="1"/>
  <c r="F4" i="1"/>
  <c r="G4" i="1"/>
  <c r="E7" i="7" s="1"/>
  <c r="H4" i="1"/>
  <c r="F7" i="7" s="1"/>
  <c r="I4" i="1"/>
  <c r="J4" i="1"/>
  <c r="K4" i="1"/>
  <c r="I7" i="7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F12" i="1"/>
  <c r="F13" i="1" s="1"/>
  <c r="G12" i="1"/>
  <c r="G13" i="1" s="1"/>
  <c r="H12" i="1"/>
  <c r="H23" i="2" s="1"/>
  <c r="I12" i="1"/>
  <c r="J12" i="1"/>
  <c r="J13" i="1" s="1"/>
  <c r="K12" i="1"/>
  <c r="K13" i="1" s="1"/>
  <c r="C15" i="1"/>
  <c r="D15" i="1"/>
  <c r="E15" i="1"/>
  <c r="F15" i="1"/>
  <c r="G15" i="1"/>
  <c r="H15" i="1"/>
  <c r="I15" i="1"/>
  <c r="J15" i="1"/>
  <c r="K15" i="1"/>
  <c r="B15" i="1"/>
  <c r="B7" i="1"/>
  <c r="B4" i="1"/>
  <c r="A1" i="1"/>
  <c r="C2" i="7" s="1"/>
  <c r="E1" i="6"/>
  <c r="H1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H21" i="2"/>
  <c r="B18" i="2"/>
  <c r="B13" i="2"/>
  <c r="B12" i="2"/>
  <c r="B11" i="2"/>
  <c r="B10" i="2"/>
  <c r="B8" i="2"/>
  <c r="B7" i="2"/>
  <c r="B6" i="2"/>
  <c r="B3" i="2"/>
  <c r="J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I14" i="3"/>
  <c r="L6" i="1"/>
  <c r="F57" i="20" l="1"/>
  <c r="H57" i="20"/>
  <c r="G57" i="20"/>
  <c r="E7" i="13"/>
  <c r="E5" i="15"/>
  <c r="F7" i="13"/>
  <c r="F5" i="15"/>
  <c r="I7" i="13"/>
  <c r="I16" i="13" s="1"/>
  <c r="I28" i="13" s="1"/>
  <c r="I5" i="15"/>
  <c r="F16" i="13"/>
  <c r="F28" i="13" s="1"/>
  <c r="E16" i="13"/>
  <c r="E28" i="13" s="1"/>
  <c r="F55" i="11"/>
  <c r="I55" i="11"/>
  <c r="W64" i="12"/>
  <c r="W72" i="12" s="1"/>
  <c r="I6" i="14"/>
  <c r="I10" i="14" s="1"/>
  <c r="I10" i="11"/>
  <c r="J7" i="10"/>
  <c r="J14" i="10" s="1"/>
  <c r="H55" i="11"/>
  <c r="G55" i="11"/>
  <c r="F6" i="14"/>
  <c r="F10" i="14" s="1"/>
  <c r="F10" i="11"/>
  <c r="T64" i="12"/>
  <c r="T72" i="12" s="1"/>
  <c r="G7" i="10"/>
  <c r="G14" i="10" s="1"/>
  <c r="Z6" i="12"/>
  <c r="S64" i="12"/>
  <c r="S72" i="12" s="1"/>
  <c r="E10" i="11"/>
  <c r="E6" i="14"/>
  <c r="E10" i="14" s="1"/>
  <c r="F7" i="10"/>
  <c r="F14" i="10" s="1"/>
  <c r="M17" i="11"/>
  <c r="M18" i="11"/>
  <c r="M24" i="11"/>
  <c r="I17" i="7"/>
  <c r="I22" i="7"/>
  <c r="F17" i="7"/>
  <c r="F22" i="7"/>
  <c r="E17" i="7"/>
  <c r="E22" i="7"/>
  <c r="I23" i="1"/>
  <c r="G14" i="3"/>
  <c r="G6" i="1"/>
  <c r="G19" i="1" s="1"/>
  <c r="C14" i="3"/>
  <c r="I23" i="2"/>
  <c r="G21" i="2"/>
  <c r="J23" i="1"/>
  <c r="H23" i="1"/>
  <c r="E21" i="2"/>
  <c r="A1" i="3"/>
  <c r="I13" i="1"/>
  <c r="I14" i="1" s="1"/>
  <c r="H16" i="2"/>
  <c r="D20" i="2"/>
  <c r="F16" i="2"/>
  <c r="C16" i="2"/>
  <c r="D21" i="2"/>
  <c r="A1" i="2"/>
  <c r="A1" i="4" s="1"/>
  <c r="E16" i="2"/>
  <c r="K14" i="3"/>
  <c r="L12" i="1"/>
  <c r="H14" i="3"/>
  <c r="I13" i="7"/>
  <c r="I15" i="15" s="1"/>
  <c r="I11" i="7"/>
  <c r="I45" i="11" s="1"/>
  <c r="F8" i="7"/>
  <c r="F13" i="7"/>
  <c r="F15" i="15" s="1"/>
  <c r="F11" i="7"/>
  <c r="F45" i="11" s="1"/>
  <c r="E13" i="7"/>
  <c r="E15" i="15" s="1"/>
  <c r="E11" i="7"/>
  <c r="E45" i="11" s="1"/>
  <c r="F23" i="2"/>
  <c r="E6" i="1"/>
  <c r="E19" i="1" s="1"/>
  <c r="C14" i="1"/>
  <c r="L10" i="1"/>
  <c r="D6" i="1"/>
  <c r="D19" i="1" s="1"/>
  <c r="E23" i="2"/>
  <c r="E20" i="2"/>
  <c r="G16" i="2"/>
  <c r="G14" i="1"/>
  <c r="K21" i="2"/>
  <c r="F14" i="1"/>
  <c r="I21" i="2"/>
  <c r="E1" i="3"/>
  <c r="K20" i="2"/>
  <c r="E1" i="2"/>
  <c r="C6" i="1"/>
  <c r="C19" i="1" s="1"/>
  <c r="G20" i="2"/>
  <c r="L5" i="1"/>
  <c r="J16" i="2"/>
  <c r="G23" i="2"/>
  <c r="B21" i="2"/>
  <c r="H13" i="1"/>
  <c r="H14" i="1" s="1"/>
  <c r="L11" i="1"/>
  <c r="C20" i="2"/>
  <c r="J6" i="1"/>
  <c r="J19" i="1" s="1"/>
  <c r="H7" i="7"/>
  <c r="K23" i="2"/>
  <c r="L13" i="1"/>
  <c r="L14" i="1" s="1"/>
  <c r="L25" i="1" s="1"/>
  <c r="K6" i="1"/>
  <c r="K19" i="1" s="1"/>
  <c r="I6" i="1"/>
  <c r="I19" i="1" s="1"/>
  <c r="G7" i="7"/>
  <c r="J23" i="2"/>
  <c r="D13" i="1"/>
  <c r="E13" i="1" s="1"/>
  <c r="E14" i="1" s="1"/>
  <c r="F14" i="3"/>
  <c r="J20" i="2"/>
  <c r="B23" i="2"/>
  <c r="F20" i="2"/>
  <c r="J21" i="2"/>
  <c r="K14" i="1"/>
  <c r="J14" i="1"/>
  <c r="E24" i="2"/>
  <c r="C23" i="2"/>
  <c r="D24" i="2"/>
  <c r="C24" i="2"/>
  <c r="K24" i="2"/>
  <c r="L7" i="1"/>
  <c r="B16" i="2"/>
  <c r="D23" i="2"/>
  <c r="J24" i="2"/>
  <c r="L9" i="1"/>
  <c r="M9" i="1" s="1"/>
  <c r="B20" i="2"/>
  <c r="I24" i="2"/>
  <c r="L4" i="1"/>
  <c r="L19" i="1" s="1"/>
  <c r="L24" i="1" s="1"/>
  <c r="H24" i="2"/>
  <c r="B6" i="1"/>
  <c r="B19" i="1" s="1"/>
  <c r="L8" i="1"/>
  <c r="N8" i="1" s="1"/>
  <c r="B14" i="1"/>
  <c r="I16" i="2"/>
  <c r="G24" i="2"/>
  <c r="F24" i="2"/>
  <c r="I20" i="2"/>
  <c r="H20" i="2"/>
  <c r="K23" i="1"/>
  <c r="H6" i="1"/>
  <c r="H19" i="1" s="1"/>
  <c r="F6" i="1"/>
  <c r="F19" i="1" s="1"/>
  <c r="E1" i="4"/>
  <c r="H7" i="13" l="1"/>
  <c r="H16" i="13" s="1"/>
  <c r="H28" i="13" s="1"/>
  <c r="H5" i="15"/>
  <c r="I37" i="15"/>
  <c r="I41" i="15"/>
  <c r="F37" i="15"/>
  <c r="F41" i="15"/>
  <c r="G7" i="13"/>
  <c r="G5" i="15"/>
  <c r="E37" i="15"/>
  <c r="E41" i="15"/>
  <c r="G16" i="13"/>
  <c r="G28" i="13" s="1"/>
  <c r="I41" i="11"/>
  <c r="F41" i="11"/>
  <c r="E41" i="11"/>
  <c r="H10" i="11"/>
  <c r="H6" i="14"/>
  <c r="H10" i="14" s="1"/>
  <c r="V64" i="12"/>
  <c r="V72" i="12" s="1"/>
  <c r="I7" i="10"/>
  <c r="I14" i="10" s="1"/>
  <c r="G6" i="14"/>
  <c r="G10" i="14" s="1"/>
  <c r="G10" i="11"/>
  <c r="U64" i="12"/>
  <c r="U72" i="12" s="1"/>
  <c r="H7" i="10"/>
  <c r="H14" i="10" s="1"/>
  <c r="M22" i="11"/>
  <c r="M29" i="11"/>
  <c r="H17" i="7"/>
  <c r="H22" i="7"/>
  <c r="G17" i="7"/>
  <c r="G22" i="7"/>
  <c r="N11" i="1"/>
  <c r="M11" i="1"/>
  <c r="G8" i="7"/>
  <c r="G11" i="7"/>
  <c r="G45" i="11" s="1"/>
  <c r="G13" i="7"/>
  <c r="G15" i="15" s="1"/>
  <c r="E14" i="7"/>
  <c r="E19" i="7"/>
  <c r="E23" i="7" s="1"/>
  <c r="F19" i="7"/>
  <c r="F23" i="7" s="1"/>
  <c r="F14" i="7"/>
  <c r="H8" i="7"/>
  <c r="H13" i="7"/>
  <c r="H15" i="15" s="1"/>
  <c r="H11" i="7"/>
  <c r="H45" i="11" s="1"/>
  <c r="I14" i="7"/>
  <c r="I19" i="7"/>
  <c r="I8" i="7"/>
  <c r="K24" i="1"/>
  <c r="M24" i="1" s="1"/>
  <c r="I24" i="1"/>
  <c r="J24" i="1"/>
  <c r="D14" i="1"/>
  <c r="H25" i="1" s="1"/>
  <c r="I25" i="1"/>
  <c r="J25" i="1"/>
  <c r="K25" i="1"/>
  <c r="M25" i="1" s="1"/>
  <c r="M14" i="1" s="1"/>
  <c r="H24" i="1"/>
  <c r="N24" i="1" s="1"/>
  <c r="L23" i="1"/>
  <c r="M23" i="1" s="1"/>
  <c r="M4" i="1" s="1"/>
  <c r="M6" i="1" s="1"/>
  <c r="M10" i="1" s="1"/>
  <c r="M12" i="1" s="1"/>
  <c r="M13" i="1" s="1"/>
  <c r="M8" i="1"/>
  <c r="N9" i="1"/>
  <c r="M43" i="11" l="1"/>
  <c r="I23" i="7"/>
  <c r="F49" i="15"/>
  <c r="F25" i="15"/>
  <c r="F17" i="15"/>
  <c r="I17" i="15"/>
  <c r="G37" i="15"/>
  <c r="G41" i="15"/>
  <c r="H37" i="15"/>
  <c r="H41" i="15"/>
  <c r="E17" i="15"/>
  <c r="E49" i="15"/>
  <c r="H41" i="11"/>
  <c r="G41" i="11"/>
  <c r="E51" i="11"/>
  <c r="E57" i="11"/>
  <c r="F51" i="11"/>
  <c r="F57" i="11"/>
  <c r="I51" i="11"/>
  <c r="I57" i="11"/>
  <c r="F28" i="7"/>
  <c r="E28" i="7"/>
  <c r="N25" i="1"/>
  <c r="N14" i="1" s="1"/>
  <c r="H14" i="7"/>
  <c r="H19" i="7"/>
  <c r="H23" i="7" s="1"/>
  <c r="G19" i="7"/>
  <c r="G23" i="7" s="1"/>
  <c r="G14" i="7"/>
  <c r="M15" i="1"/>
  <c r="N23" i="1"/>
  <c r="N4" i="1" s="1"/>
  <c r="N6" i="1" s="1"/>
  <c r="N10" i="1" s="1"/>
  <c r="N12" i="1" s="1"/>
  <c r="N13" i="1" s="1"/>
  <c r="N15" i="1" s="1"/>
  <c r="N5" i="1"/>
  <c r="M5" i="1"/>
  <c r="I49" i="15" l="1"/>
  <c r="I28" i="7"/>
  <c r="I31" i="7" s="1"/>
  <c r="I25" i="15"/>
  <c r="G25" i="15"/>
  <c r="G49" i="15"/>
  <c r="G17" i="15"/>
  <c r="H25" i="15"/>
  <c r="H49" i="15"/>
  <c r="H17" i="15"/>
  <c r="G51" i="11"/>
  <c r="G57" i="11"/>
  <c r="H51" i="11"/>
  <c r="H57" i="11"/>
  <c r="E31" i="7"/>
  <c r="F31" i="7"/>
  <c r="E33" i="7"/>
  <c r="F33" i="7"/>
  <c r="H28" i="7"/>
  <c r="G28" i="7"/>
  <c r="I33" i="7" l="1"/>
  <c r="F34" i="7"/>
  <c r="F23" i="15"/>
  <c r="F19" i="15"/>
  <c r="F21" i="15"/>
  <c r="E19" i="15"/>
  <c r="I96" i="7"/>
  <c r="I119" i="7" s="1"/>
  <c r="I125" i="7" s="1"/>
  <c r="I35" i="7"/>
  <c r="I23" i="15"/>
  <c r="I21" i="15"/>
  <c r="I19" i="15"/>
  <c r="I39" i="7"/>
  <c r="F39" i="7"/>
  <c r="H31" i="7"/>
  <c r="G31" i="7"/>
  <c r="F35" i="7"/>
  <c r="E35" i="7"/>
  <c r="E39" i="7"/>
  <c r="H33" i="7"/>
  <c r="I45" i="7"/>
  <c r="I43" i="7"/>
  <c r="G33" i="7"/>
  <c r="F45" i="7"/>
  <c r="F43" i="7"/>
  <c r="E43" i="7"/>
  <c r="G34" i="7" l="1"/>
  <c r="H34" i="7"/>
  <c r="I34" i="7"/>
  <c r="G21" i="15"/>
  <c r="G23" i="15"/>
  <c r="G19" i="15"/>
  <c r="H21" i="15"/>
  <c r="H23" i="15"/>
  <c r="H19" i="15"/>
  <c r="G35" i="7"/>
  <c r="G39" i="7"/>
  <c r="H39" i="7"/>
  <c r="H35" i="7"/>
  <c r="G45" i="7"/>
  <c r="G43" i="7"/>
  <c r="H45" i="7"/>
  <c r="H43" i="7"/>
  <c r="K27" i="14"/>
  <c r="K28" i="14" s="1"/>
  <c r="K12" i="14" l="1"/>
  <c r="K99" i="7"/>
  <c r="K107" i="7" s="1"/>
  <c r="J28" i="13"/>
  <c r="M28" i="13"/>
  <c r="K28" i="13"/>
  <c r="L28" i="13"/>
  <c r="E75" i="7" l="1"/>
  <c r="E66" i="7" s="1"/>
  <c r="E67" i="7" s="1"/>
  <c r="E69" i="7" l="1"/>
  <c r="E47" i="15"/>
  <c r="E31" i="15"/>
  <c r="P24" i="21"/>
  <c r="P27" i="21" s="1"/>
  <c r="P29" i="21" l="1"/>
  <c r="E21" i="15"/>
  <c r="E70" i="7"/>
  <c r="E71" i="7" s="1"/>
  <c r="E79" i="7" a="1"/>
  <c r="E79" i="7" s="1"/>
  <c r="E25" i="15" s="1"/>
  <c r="E76" i="7"/>
  <c r="E23" i="15" s="1"/>
  <c r="K10" i="11" l="1"/>
  <c r="K41" i="11" s="1"/>
  <c r="M5" i="15"/>
  <c r="Z64" i="12"/>
  <c r="Z67" i="12" s="1"/>
  <c r="J7" i="13"/>
  <c r="J12" i="13" s="1"/>
  <c r="J17" i="7" l="1"/>
  <c r="J8" i="7"/>
  <c r="J22" i="7"/>
  <c r="L7" i="13"/>
  <c r="L12" i="13" s="1"/>
  <c r="M17" i="7"/>
  <c r="M7" i="13"/>
  <c r="M12" i="13" s="1"/>
  <c r="M62" i="7" s="1"/>
  <c r="K5" i="15"/>
  <c r="J10" i="11"/>
  <c r="J41" i="11" s="1"/>
  <c r="J47" i="11" s="1"/>
  <c r="J48" i="11" s="1"/>
  <c r="L10" i="11"/>
  <c r="L41" i="11" s="1"/>
  <c r="L51" i="11" s="1"/>
  <c r="M10" i="11"/>
  <c r="M41" i="11" s="1"/>
  <c r="M51" i="11" s="1"/>
  <c r="L62" i="7"/>
  <c r="K47" i="11"/>
  <c r="K51" i="11"/>
  <c r="J62" i="7"/>
  <c r="X64" i="12"/>
  <c r="X72" i="12" s="1"/>
  <c r="M6" i="14"/>
  <c r="M10" i="14" s="1"/>
  <c r="J5" i="15"/>
  <c r="K6" i="14"/>
  <c r="K10" i="14" s="1"/>
  <c r="K7" i="13"/>
  <c r="K12" i="13" s="1"/>
  <c r="L5" i="15"/>
  <c r="L8" i="7"/>
  <c r="L17" i="7"/>
  <c r="Y64" i="12"/>
  <c r="Y67" i="12" s="1"/>
  <c r="L22" i="7"/>
  <c r="M8" i="7"/>
  <c r="M22" i="7"/>
  <c r="K8" i="7"/>
  <c r="J6" i="14"/>
  <c r="J10" i="14" s="1"/>
  <c r="K17" i="7"/>
  <c r="K22" i="7"/>
  <c r="AA64" i="12"/>
  <c r="AA67" i="12" s="1"/>
  <c r="L6" i="14"/>
  <c r="L10" i="14" s="1"/>
  <c r="J54" i="11" l="1"/>
  <c r="J10" i="7"/>
  <c r="J13" i="7" s="1"/>
  <c r="J51" i="11"/>
  <c r="M47" i="11"/>
  <c r="L47" i="11"/>
  <c r="M9" i="15"/>
  <c r="M37" i="15" s="1"/>
  <c r="J9" i="15"/>
  <c r="J37" i="15" s="1"/>
  <c r="J89" i="7"/>
  <c r="J55" i="11"/>
  <c r="J57" i="11"/>
  <c r="Y72" i="12"/>
  <c r="Y71" i="12" s="1"/>
  <c r="M54" i="11"/>
  <c r="M48" i="11"/>
  <c r="M10" i="7"/>
  <c r="L9" i="15"/>
  <c r="L37" i="15" s="1"/>
  <c r="M89" i="7"/>
  <c r="J6" i="15"/>
  <c r="J11" i="7"/>
  <c r="J8" i="13"/>
  <c r="K62" i="7"/>
  <c r="K10" i="7"/>
  <c r="K54" i="11"/>
  <c r="K48" i="11"/>
  <c r="L54" i="11"/>
  <c r="L48" i="11"/>
  <c r="L10" i="7"/>
  <c r="Z72" i="12" l="1"/>
  <c r="Z71" i="12" s="1"/>
  <c r="M8" i="13"/>
  <c r="M6" i="15"/>
  <c r="M11" i="7"/>
  <c r="M13" i="7"/>
  <c r="L55" i="11"/>
  <c r="L57" i="11"/>
  <c r="M57" i="11"/>
  <c r="M55" i="11"/>
  <c r="K57" i="11"/>
  <c r="K55" i="11"/>
  <c r="K6" i="15"/>
  <c r="K8" i="13"/>
  <c r="K11" i="7"/>
  <c r="K13" i="7"/>
  <c r="L89" i="7"/>
  <c r="K9" i="15"/>
  <c r="K37" i="15" s="1"/>
  <c r="K89" i="7"/>
  <c r="J13" i="13"/>
  <c r="J14" i="13"/>
  <c r="J19" i="7"/>
  <c r="J14" i="7"/>
  <c r="J15" i="15"/>
  <c r="L6" i="15"/>
  <c r="L11" i="7"/>
  <c r="L13" i="7"/>
  <c r="L8" i="13"/>
  <c r="AA72" i="12" l="1"/>
  <c r="AA71" i="12" s="1"/>
  <c r="K19" i="7"/>
  <c r="K14" i="7"/>
  <c r="K15" i="15"/>
  <c r="J22" i="13"/>
  <c r="J54" i="7"/>
  <c r="L14" i="13"/>
  <c r="L13" i="13"/>
  <c r="L14" i="7"/>
  <c r="L15" i="15"/>
  <c r="L19" i="7"/>
  <c r="J63" i="7"/>
  <c r="J21" i="13"/>
  <c r="J24" i="13" s="1"/>
  <c r="J26" i="13" s="1"/>
  <c r="M15" i="15"/>
  <c r="M14" i="7"/>
  <c r="M19" i="7"/>
  <c r="K13" i="13"/>
  <c r="K14" i="13"/>
  <c r="J23" i="7"/>
  <c r="F7" i="20"/>
  <c r="M13" i="13"/>
  <c r="M14" i="13"/>
  <c r="H7" i="20" l="1"/>
  <c r="L23" i="7"/>
  <c r="L22" i="13"/>
  <c r="L54" i="7"/>
  <c r="J8" i="15"/>
  <c r="J39" i="15" s="1"/>
  <c r="J91" i="7"/>
  <c r="K22" i="13"/>
  <c r="K54" i="7"/>
  <c r="F20" i="20"/>
  <c r="F10" i="20"/>
  <c r="M54" i="7"/>
  <c r="M22" i="13"/>
  <c r="F11" i="20"/>
  <c r="J28" i="7"/>
  <c r="F15" i="20"/>
  <c r="F46" i="12"/>
  <c r="F16" i="20" s="1"/>
  <c r="J49" i="15"/>
  <c r="J17" i="15"/>
  <c r="K63" i="7"/>
  <c r="K21" i="13"/>
  <c r="J90" i="7"/>
  <c r="J7" i="15"/>
  <c r="J10" i="15" s="1"/>
  <c r="J41" i="15" s="1"/>
  <c r="K90" i="7"/>
  <c r="J35" i="15"/>
  <c r="M63" i="7"/>
  <c r="M21" i="13"/>
  <c r="L63" i="7"/>
  <c r="L21" i="13"/>
  <c r="L24" i="13" s="1"/>
  <c r="I7" i="20"/>
  <c r="M23" i="7"/>
  <c r="G7" i="20"/>
  <c r="K23" i="7"/>
  <c r="M24" i="13" l="1"/>
  <c r="M26" i="13" s="1"/>
  <c r="J7" i="20"/>
  <c r="J89" i="20" s="1"/>
  <c r="J95" i="20" s="1"/>
  <c r="J103" i="20" s="1"/>
  <c r="J111" i="20" s="1"/>
  <c r="I117" i="20" s="1"/>
  <c r="J33" i="7"/>
  <c r="J31" i="7"/>
  <c r="M90" i="7"/>
  <c r="L7" i="15"/>
  <c r="L35" i="15"/>
  <c r="M91" i="7"/>
  <c r="M8" i="15"/>
  <c r="M39" i="15" s="1"/>
  <c r="K24" i="13"/>
  <c r="K26" i="13" s="1"/>
  <c r="K28" i="7"/>
  <c r="K49" i="15"/>
  <c r="K17" i="15"/>
  <c r="G15" i="20"/>
  <c r="L17" i="15"/>
  <c r="L49" i="15"/>
  <c r="L28" i="7"/>
  <c r="H15" i="20"/>
  <c r="M7" i="15"/>
  <c r="M35" i="15"/>
  <c r="K8" i="15"/>
  <c r="K39" i="15" s="1"/>
  <c r="K91" i="7"/>
  <c r="K7" i="15"/>
  <c r="L90" i="7"/>
  <c r="K35" i="15"/>
  <c r="L8" i="15"/>
  <c r="L39" i="15" s="1"/>
  <c r="L91" i="7"/>
  <c r="M28" i="7"/>
  <c r="I15" i="20"/>
  <c r="M17" i="15"/>
  <c r="M49" i="15"/>
  <c r="F17" i="20"/>
  <c r="F21" i="20" s="1"/>
  <c r="F36" i="20" s="1"/>
  <c r="L10" i="15" l="1"/>
  <c r="L41" i="15" s="1"/>
  <c r="K10" i="15"/>
  <c r="K41" i="15" s="1"/>
  <c r="F39" i="20"/>
  <c r="F88" i="20"/>
  <c r="F94" i="20" s="1"/>
  <c r="K30" i="7"/>
  <c r="G20" i="20"/>
  <c r="G10" i="20"/>
  <c r="M10" i="15"/>
  <c r="M41" i="15" s="1"/>
  <c r="L30" i="7"/>
  <c r="L33" i="7" s="1"/>
  <c r="J15" i="20"/>
  <c r="M30" i="7"/>
  <c r="M33" i="7" s="1"/>
  <c r="J45" i="7"/>
  <c r="J19" i="15"/>
  <c r="J34" i="7"/>
  <c r="J35" i="7"/>
  <c r="J39" i="7"/>
  <c r="J87" i="7"/>
  <c r="J96" i="7" s="1"/>
  <c r="J43" i="7"/>
  <c r="J114" i="7" s="1"/>
  <c r="J117" i="7" s="1"/>
  <c r="I20" i="20"/>
  <c r="J20" i="20" s="1"/>
  <c r="I10" i="20"/>
  <c r="J10" i="20" s="1"/>
  <c r="L26" i="13"/>
  <c r="J119" i="7" l="1"/>
  <c r="J125" i="7" s="1"/>
  <c r="J126" i="7" s="1"/>
  <c r="M87" i="7"/>
  <c r="M43" i="7"/>
  <c r="M114" i="7" s="1"/>
  <c r="M117" i="7" s="1"/>
  <c r="M19" i="15"/>
  <c r="M45" i="7"/>
  <c r="M34" i="7"/>
  <c r="M39" i="7"/>
  <c r="M35" i="7"/>
  <c r="J64" i="7"/>
  <c r="K124" i="7"/>
  <c r="I8" i="20"/>
  <c r="I46" i="12"/>
  <c r="I16" i="20" s="1"/>
  <c r="M95" i="7"/>
  <c r="G8" i="20"/>
  <c r="G11" i="20" s="1"/>
  <c r="G46" i="12"/>
  <c r="G16" i="20" s="1"/>
  <c r="G17" i="20" s="1"/>
  <c r="G21" i="20" s="1"/>
  <c r="G36" i="20" s="1"/>
  <c r="K95" i="7"/>
  <c r="K33" i="7"/>
  <c r="L34" i="7" s="1"/>
  <c r="L19" i="15"/>
  <c r="L39" i="7"/>
  <c r="L35" i="7"/>
  <c r="L43" i="7"/>
  <c r="L114" i="7" s="1"/>
  <c r="L117" i="7" s="1"/>
  <c r="L87" i="7"/>
  <c r="H10" i="20"/>
  <c r="H20" i="20"/>
  <c r="L95" i="7"/>
  <c r="H8" i="20"/>
  <c r="H11" i="20" s="1"/>
  <c r="H46" i="12"/>
  <c r="H16" i="20" s="1"/>
  <c r="H17" i="20" s="1"/>
  <c r="H21" i="20" s="1"/>
  <c r="H36" i="20" s="1"/>
  <c r="J51" i="7"/>
  <c r="F102" i="20"/>
  <c r="F96" i="20"/>
  <c r="F48" i="20"/>
  <c r="F41" i="20"/>
  <c r="G88" i="20" l="1"/>
  <c r="G94" i="20" s="1"/>
  <c r="G39" i="20"/>
  <c r="L96" i="7"/>
  <c r="H88" i="20"/>
  <c r="H94" i="20" s="1"/>
  <c r="H39" i="20"/>
  <c r="J16" i="20"/>
  <c r="I17" i="20"/>
  <c r="J8" i="20"/>
  <c r="I11" i="20"/>
  <c r="J11" i="20" s="1"/>
  <c r="L119" i="7"/>
  <c r="L125" i="7" s="1"/>
  <c r="F56" i="20"/>
  <c r="F50" i="20"/>
  <c r="L45" i="7"/>
  <c r="F110" i="20"/>
  <c r="F104" i="20"/>
  <c r="K34" i="7"/>
  <c r="K35" i="7"/>
  <c r="K19" i="15"/>
  <c r="K87" i="7"/>
  <c r="K96" i="7" s="1"/>
  <c r="K39" i="7"/>
  <c r="K43" i="7"/>
  <c r="K114" i="7" s="1"/>
  <c r="K117" i="7" s="1"/>
  <c r="J45" i="15"/>
  <c r="J55" i="7"/>
  <c r="K51" i="7"/>
  <c r="J74" i="7"/>
  <c r="J75" i="7" s="1"/>
  <c r="J66" i="7" s="1"/>
  <c r="J67" i="7" s="1"/>
  <c r="M96" i="7"/>
  <c r="M119" i="7" s="1"/>
  <c r="M125" i="7" s="1"/>
  <c r="K119" i="7" l="1"/>
  <c r="K125" i="7" s="1"/>
  <c r="K126" i="7" s="1"/>
  <c r="J69" i="7"/>
  <c r="J47" i="15"/>
  <c r="J29" i="15"/>
  <c r="J31" i="15"/>
  <c r="K45" i="15"/>
  <c r="K55" i="7"/>
  <c r="L51" i="7"/>
  <c r="K74" i="7"/>
  <c r="K75" i="7" s="1"/>
  <c r="K66" i="7" s="1"/>
  <c r="L124" i="7"/>
  <c r="L126" i="7" s="1"/>
  <c r="K64" i="7"/>
  <c r="H102" i="20"/>
  <c r="H96" i="20"/>
  <c r="G41" i="20"/>
  <c r="G48" i="20"/>
  <c r="F112" i="20"/>
  <c r="F58" i="20"/>
  <c r="I21" i="20"/>
  <c r="J17" i="20"/>
  <c r="H41" i="20"/>
  <c r="H48" i="20"/>
  <c r="K45" i="7"/>
  <c r="G102" i="20"/>
  <c r="G96" i="20"/>
  <c r="K67" i="7" l="1"/>
  <c r="G56" i="20"/>
  <c r="G50" i="20"/>
  <c r="H104" i="20"/>
  <c r="H110" i="20"/>
  <c r="H112" i="20" s="1"/>
  <c r="H56" i="20"/>
  <c r="H58" i="20" s="1"/>
  <c r="H50" i="20"/>
  <c r="K29" i="15"/>
  <c r="K47" i="15"/>
  <c r="K31" i="15"/>
  <c r="K69" i="7"/>
  <c r="L64" i="7"/>
  <c r="M124" i="7"/>
  <c r="M126" i="7" s="1"/>
  <c r="M64" i="7" s="1"/>
  <c r="M51" i="7"/>
  <c r="L45" i="15"/>
  <c r="L55" i="7"/>
  <c r="L74" i="7"/>
  <c r="L75" i="7" s="1"/>
  <c r="L66" i="7" s="1"/>
  <c r="I36" i="20"/>
  <c r="J21" i="20"/>
  <c r="J36" i="20" s="1"/>
  <c r="G110" i="20"/>
  <c r="G104" i="20"/>
  <c r="J70" i="7"/>
  <c r="J71" i="7" s="1"/>
  <c r="J76" i="7"/>
  <c r="J23" i="15" s="1"/>
  <c r="J79" i="7" a="1"/>
  <c r="J79" i="7" s="1"/>
  <c r="J25" i="15" s="1"/>
  <c r="J21" i="15"/>
  <c r="L67" i="7" l="1"/>
  <c r="M45" i="15"/>
  <c r="M55" i="7"/>
  <c r="M74" i="7"/>
  <c r="M75" i="7" s="1"/>
  <c r="M66" i="7" s="1"/>
  <c r="K79" i="7" a="1"/>
  <c r="K79" i="7" s="1"/>
  <c r="K25" i="15" s="1"/>
  <c r="K70" i="7"/>
  <c r="K71" i="7" s="1"/>
  <c r="K76" i="7"/>
  <c r="K23" i="15" s="1"/>
  <c r="K21" i="15"/>
  <c r="M67" i="7"/>
  <c r="G112" i="20"/>
  <c r="J88" i="20"/>
  <c r="J94" i="20" s="1"/>
  <c r="I40" i="20"/>
  <c r="I49" i="20" s="1"/>
  <c r="I57" i="20" s="1"/>
  <c r="I63" i="20" s="1"/>
  <c r="I39" i="20"/>
  <c r="I88" i="20"/>
  <c r="I94" i="20" s="1"/>
  <c r="G58" i="20"/>
  <c r="J96" i="20" l="1"/>
  <c r="J102" i="20"/>
  <c r="M47" i="15"/>
  <c r="M31" i="15"/>
  <c r="M29" i="15"/>
  <c r="M69" i="7"/>
  <c r="I41" i="20"/>
  <c r="I48" i="20"/>
  <c r="I96" i="20"/>
  <c r="I102" i="20"/>
  <c r="L47" i="15"/>
  <c r="L31" i="15"/>
  <c r="L29" i="15"/>
  <c r="L69" i="7"/>
  <c r="I110" i="20" l="1"/>
  <c r="I104" i="20"/>
  <c r="I56" i="20"/>
  <c r="I50" i="20"/>
  <c r="D63" i="20" s="1"/>
  <c r="D66" i="20" s="1"/>
  <c r="D68" i="20" s="1"/>
  <c r="J104" i="20"/>
  <c r="J110" i="20"/>
  <c r="J112" i="20" s="1"/>
  <c r="L70" i="7"/>
  <c r="L71" i="7" s="1"/>
  <c r="L76" i="7"/>
  <c r="L23" i="15" s="1"/>
  <c r="L79" i="7" a="1"/>
  <c r="L79" i="7" s="1"/>
  <c r="L25" i="15" s="1"/>
  <c r="L21" i="15"/>
  <c r="M70" i="7"/>
  <c r="M71" i="7" s="1"/>
  <c r="M76" i="7"/>
  <c r="M23" i="15" s="1"/>
  <c r="M79" i="7" a="1"/>
  <c r="M79" i="7" s="1"/>
  <c r="M25" i="15" s="1"/>
  <c r="M21" i="15"/>
  <c r="D35" i="25" l="1"/>
  <c r="I67" i="20"/>
  <c r="I69" i="20" s="1"/>
  <c r="D71" i="20" s="1"/>
  <c r="I58" i="20"/>
  <c r="D62" i="20" s="1"/>
  <c r="I62" i="20"/>
  <c r="I64" i="20" s="1"/>
  <c r="D117" i="20"/>
  <c r="D120" i="20" s="1"/>
  <c r="D122" i="20" s="1"/>
  <c r="I121" i="20" s="1"/>
  <c r="I123" i="20" s="1"/>
  <c r="D125" i="20" s="1"/>
  <c r="I112" i="20"/>
  <c r="D116" i="20" s="1"/>
  <c r="I116" i="20"/>
  <c r="I118" i="20" s="1"/>
  <c r="D129" i="20" l="1"/>
  <c r="C9" i="24"/>
  <c r="C8" i="24"/>
  <c r="C14" i="24" s="1"/>
  <c r="O23" i="25"/>
  <c r="D75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<sst xmlns="http://schemas.openxmlformats.org/spreadsheetml/2006/main" count="978" uniqueCount="499">
  <si>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</si>
  <si>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</si>
  <si>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</si>
  <si>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</si>
  <si>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</si>
  <si>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</si>
  <si>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</si>
  <si>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</si>
  <si>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</si>
  <si>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</si>
  <si>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</si>
  <si>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</si>
  <si>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</si>
  <si>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</si>
  <si>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</si>
  <si>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</si>
  <si>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</si>
  <si>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</si>
  <si>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</si>
  <si>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</si>
  <si>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</si>
  <si>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</si>
  <si>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</si>
  <si>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</si>
  <si>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</si>
  <si>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</si>
  <si>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</si>
  <si>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</si>
  <si>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</si>
  <si>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</si>
  <si>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</si>
  <si>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</si>
  <si>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</si>
  <si>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</si>
  <si>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</si>
  <si>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</si>
  <si>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</si>
  <si>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</si>
  <si>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</si>
  <si>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</si>
  <si>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</si>
  <si>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</si>
  <si>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</si>
  <si>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</si>
  <si>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</si>
  <si>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</si>
  <si>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</si>
  <si>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</si>
  <si>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</si>
  <si>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</si>
  <si>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</si>
  <si>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</si>
  <si>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</si>
  <si>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</si>
  <si>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</si>
  <si>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</si>
  <si>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</si>
  <si>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</si>
  <si>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</si>
  <si>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</si>
  <si>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</si>
  <si>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</si>
  <si>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</si>
  <si>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EICHER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</si>
  <si>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</si>
  <si>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</si>
  <si>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</si>
  <si>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</si>
  <si>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</si>
  <si>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</si>
  <si>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</si>
  <si>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</si>
  <si>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</si>
  <si>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</si>
  <si>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</si>
  <si>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</si>
  <si>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</si>
  <si>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</si>
  <si>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</si>
  <si>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</si>
  <si>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</si>
  <si>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</si>
  <si>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</si>
  <si>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</si>
  <si>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</si>
  <si>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</si>
  <si>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</si>
  <si>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</si>
  <si>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</si>
  <si>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</si>
  <si>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</si>
  <si>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</si>
  <si>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</si>
  <si>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Income Statement</t>
  </si>
  <si>
    <t>2020A</t>
  </si>
  <si>
    <t>2021A</t>
  </si>
  <si>
    <t>2022A</t>
  </si>
  <si>
    <t>2023A</t>
  </si>
  <si>
    <t>2024A</t>
  </si>
  <si>
    <t>2026F</t>
  </si>
  <si>
    <t>2027F</t>
  </si>
  <si>
    <t>2028F</t>
  </si>
  <si>
    <t>Years</t>
  </si>
  <si>
    <t>2025(T)</t>
  </si>
  <si>
    <t>Cost Of Goods Sold (COGS)</t>
  </si>
  <si>
    <t>COGS % of sales</t>
  </si>
  <si>
    <t>Gross Profit</t>
  </si>
  <si>
    <t>Gross Profit % of sales</t>
  </si>
  <si>
    <t>Selling and General Expenses(SG&amp;A)</t>
  </si>
  <si>
    <t>EBIDTA</t>
  </si>
  <si>
    <t>SG&amp;A % of sales</t>
  </si>
  <si>
    <t>Depricaiation and Amortization</t>
  </si>
  <si>
    <t>EBIT</t>
  </si>
  <si>
    <t>EBT</t>
  </si>
  <si>
    <t>Net Profit</t>
  </si>
  <si>
    <t>Deprication % of sales</t>
  </si>
  <si>
    <t>#</t>
  </si>
  <si>
    <t>Shares -outstanding(in Cr.)</t>
  </si>
  <si>
    <t>Tax rate</t>
  </si>
  <si>
    <t>EarningsPerShare(EPS)</t>
  </si>
  <si>
    <t>Net profit % of Sales(Margin)</t>
  </si>
  <si>
    <t>Divident Payout Ratio</t>
  </si>
  <si>
    <t>Dividend</t>
  </si>
  <si>
    <t>Retained Earnings</t>
  </si>
  <si>
    <t>Balance Sheet</t>
  </si>
  <si>
    <t>Total Liabilites</t>
  </si>
  <si>
    <t>Equity Capital</t>
  </si>
  <si>
    <t>Borrowings -</t>
  </si>
  <si>
    <t>Long term Borrowings</t>
  </si>
  <si>
    <t>Short term Borrowings</t>
  </si>
  <si>
    <t>Lease Liabilities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</si>
  <si>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</si>
  <si>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</si>
  <si>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</si>
  <si>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</si>
  <si>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</si>
  <si>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</si>
  <si>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</si>
  <si>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</si>
  <si>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</si>
  <si>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</si>
  <si>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</si>
  <si>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</si>
  <si>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</si>
  <si>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</si>
  <si>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</si>
  <si>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</si>
  <si>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</si>
  <si>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</si>
  <si>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</si>
  <si>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</si>
  <si>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+</t>
  </si>
  <si>
    <t>Cash Equivalents</t>
  </si>
  <si>
    <t>Loans n Advances</t>
  </si>
  <si>
    <t>Other asset items</t>
  </si>
  <si>
    <t>Total Assets</t>
  </si>
  <si>
    <t>Total Non-current Assest</t>
  </si>
  <si>
    <t>Total Current Assets</t>
  </si>
  <si>
    <t>Total Assest</t>
  </si>
  <si>
    <t>Other assets</t>
  </si>
  <si>
    <t>Cash Flow Statement</t>
  </si>
  <si>
    <t>Payables</t>
  </si>
  <si>
    <t>Trade Payable</t>
  </si>
  <si>
    <t>Other liabilites</t>
  </si>
  <si>
    <t>Cash Flow From Operation Activity</t>
  </si>
  <si>
    <t>AD cl</t>
  </si>
  <si>
    <t>lond</t>
  </si>
  <si>
    <t>Cash Flow From Investing Activity</t>
  </si>
  <si>
    <t>Closing balance</t>
  </si>
  <si>
    <t>Cash from Operating Activity +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</si>
  <si>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</si>
  <si>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</si>
  <si>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</si>
  <si>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</si>
  <si>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</si>
  <si>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</si>
  <si>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</si>
  <si>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</si>
  <si>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Other investing items</t>
  </si>
  <si>
    <t>Net block</t>
  </si>
  <si>
    <t>Year</t>
  </si>
  <si>
    <t>Fixed Assest Schedule</t>
  </si>
  <si>
    <t>Opening balance</t>
  </si>
  <si>
    <t>Purchase/Sales</t>
  </si>
  <si>
    <t>Investment Schdule</t>
  </si>
  <si>
    <t>Accumulated Deprication</t>
  </si>
  <si>
    <t>Add-current year depriciation</t>
  </si>
  <si>
    <t>Closing depriication</t>
  </si>
  <si>
    <t>Cash from Operating Activity -</t>
  </si>
  <si>
    <t>Profit from operations</t>
  </si>
  <si>
    <t>Loans Advances</t>
  </si>
  <si>
    <t>Other WC items</t>
  </si>
  <si>
    <t>Working capital changes</t>
  </si>
  <si>
    <t>Direct taxes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</si>
  <si>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</si>
  <si>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</si>
  <si>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</si>
  <si>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</si>
  <si>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</si>
  <si>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</si>
  <si>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</si>
  <si>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</si>
  <si>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from operation</t>
  </si>
  <si>
    <t>Cash flow from investing activity</t>
  </si>
  <si>
    <t>Cash Flow from Financing Acitvity</t>
  </si>
  <si>
    <t>Cash flow from Financing Activity</t>
  </si>
  <si>
    <t>Working Capital Schedule</t>
  </si>
  <si>
    <t>Days in period</t>
  </si>
  <si>
    <t>Revenue</t>
  </si>
  <si>
    <t>COGS</t>
  </si>
  <si>
    <t>Amounts per day</t>
  </si>
  <si>
    <t>Total Amounts</t>
  </si>
  <si>
    <t>Net working capital</t>
  </si>
  <si>
    <t>Current Assets</t>
  </si>
  <si>
    <t>Current Liabilites</t>
  </si>
  <si>
    <t>(in days)</t>
  </si>
  <si>
    <t>Revenue Schedule</t>
  </si>
  <si>
    <t>Days in a period</t>
  </si>
  <si>
    <t>Operations</t>
  </si>
  <si>
    <t>Model Switch</t>
  </si>
  <si>
    <t xml:space="preserve"> </t>
  </si>
  <si>
    <t>Base Case(CAGR method)</t>
  </si>
  <si>
    <t>Industry apporch</t>
  </si>
  <si>
    <t>Worst case(Market apporch)</t>
  </si>
  <si>
    <t>Plant Capacity</t>
  </si>
  <si>
    <t>Sales Volume</t>
  </si>
  <si>
    <t>Capacity Uitilization</t>
  </si>
  <si>
    <t>Sales Volume (per day)</t>
  </si>
  <si>
    <t>Sales Price(average)</t>
  </si>
  <si>
    <t>% increase</t>
  </si>
  <si>
    <t>Cost Schedule</t>
  </si>
  <si>
    <t>Inflation Growth</t>
  </si>
  <si>
    <t>Cost of Goods Sold</t>
  </si>
  <si>
    <t>Selling and General Expense</t>
  </si>
  <si>
    <t>Total Cost</t>
  </si>
  <si>
    <t>Cost as a % of Sales</t>
  </si>
  <si>
    <t>Depriciation Schedule</t>
  </si>
  <si>
    <t>Capital Expenditure</t>
  </si>
  <si>
    <t>Depriciation</t>
  </si>
  <si>
    <t>Accumalated Depriciation</t>
  </si>
  <si>
    <t>Gross block</t>
  </si>
  <si>
    <t>Opening Gross block</t>
  </si>
  <si>
    <t>Purchase/ Sales</t>
  </si>
  <si>
    <t>Closing Grosss block</t>
  </si>
  <si>
    <t>Accumulated deprication</t>
  </si>
  <si>
    <t>Closing Gross Block</t>
  </si>
  <si>
    <t>CAGR method</t>
  </si>
  <si>
    <t>clsoing capex</t>
  </si>
  <si>
    <t>(cagr approch maintina the initial year as 2020)</t>
  </si>
  <si>
    <t>% of Sales</t>
  </si>
  <si>
    <t>% of sales</t>
  </si>
  <si>
    <t>Growth rate method</t>
  </si>
  <si>
    <t>Best Case(5 year average)</t>
  </si>
  <si>
    <t>Production Capacity Exceeding</t>
  </si>
  <si>
    <t>Closing Gross Block assumption</t>
  </si>
  <si>
    <t>Deprication</t>
  </si>
  <si>
    <t>Depriciation as a percentage of sales</t>
  </si>
  <si>
    <t>Accumulated Depriciation</t>
  </si>
  <si>
    <t>Beginning Accumulated Deprication</t>
  </si>
  <si>
    <t>Current Year Depriciation</t>
  </si>
  <si>
    <t>Closing Accumulated Depriciation</t>
  </si>
  <si>
    <t>SG&amp;A</t>
  </si>
  <si>
    <t>S@G</t>
  </si>
  <si>
    <t>Intrest as % of sales</t>
  </si>
  <si>
    <t>Inters</t>
  </si>
  <si>
    <t>Intrest</t>
  </si>
  <si>
    <t>Tax Rate</t>
  </si>
  <si>
    <t>Recivables</t>
  </si>
  <si>
    <t>Amounts In Days</t>
  </si>
  <si>
    <t>Net Working Capital</t>
  </si>
  <si>
    <t>Working Capital Days</t>
  </si>
  <si>
    <t>Working Capital Forecast(in days)</t>
  </si>
  <si>
    <t>average of-</t>
  </si>
  <si>
    <t>Eicher Motors Ratio Analysis</t>
  </si>
  <si>
    <t>Profitability Ratio</t>
  </si>
  <si>
    <t>Gross Profit Margin</t>
  </si>
  <si>
    <t>(Revenue-COGS)/Revenue</t>
  </si>
  <si>
    <t>Operating Profit Margin</t>
  </si>
  <si>
    <t>(Operating Profit)/Revnue</t>
  </si>
  <si>
    <t>Net Profit Margin</t>
  </si>
  <si>
    <t>(Net profit)/Revenue</t>
  </si>
  <si>
    <t>Return On Assets</t>
  </si>
  <si>
    <t>(Net income/Total Assets)</t>
  </si>
  <si>
    <t xml:space="preserve">Return on Equity </t>
  </si>
  <si>
    <t>(Net income/Shareholder Equity)</t>
  </si>
  <si>
    <t>Return On Capital Employed</t>
  </si>
  <si>
    <t>(EBIT/Total Capital Employed)</t>
  </si>
  <si>
    <t>Liquidity Ratio</t>
  </si>
  <si>
    <t>Current Ratio</t>
  </si>
  <si>
    <t>(Current assets/ Current Liablites)</t>
  </si>
  <si>
    <t>Quick Ratio</t>
  </si>
  <si>
    <t>(Current assets- Inventory)/Current Liablites</t>
  </si>
  <si>
    <t>Efficiency Ratio</t>
  </si>
  <si>
    <t>Inventory Turnover Ratio</t>
  </si>
  <si>
    <t>(COGS/Average Inventory)</t>
  </si>
  <si>
    <t xml:space="preserve">Accounts Receivable Turnover </t>
  </si>
  <si>
    <t>Accounts Payable Turnover</t>
  </si>
  <si>
    <t>Leverage Ratio</t>
  </si>
  <si>
    <t>Debt to Equity Ratio</t>
  </si>
  <si>
    <t>(Total Debt/ Equity)</t>
  </si>
  <si>
    <t>Debt to Assets</t>
  </si>
  <si>
    <t>(Total Debt/Total Assets)</t>
  </si>
  <si>
    <t>Intrest Coverage Ratio</t>
  </si>
  <si>
    <t>(operating income / Intrest expenses</t>
  </si>
  <si>
    <t>(Credit sales/ average accounts recivable)</t>
  </si>
  <si>
    <t>(COGS/ average accounts payable)</t>
  </si>
  <si>
    <t>Working Capital Turnover Ratio</t>
  </si>
  <si>
    <t>(Revenue/Working capital)</t>
  </si>
  <si>
    <t xml:space="preserve">Shareholder Equity </t>
  </si>
  <si>
    <t>(Total Assest-Total Liablilites)</t>
  </si>
  <si>
    <t>Total Capital Employed</t>
  </si>
  <si>
    <t>(Total Assets - Current Liablites)</t>
  </si>
  <si>
    <t>Recivalbes</t>
  </si>
  <si>
    <t>Working capital</t>
  </si>
  <si>
    <t>shares outstanding</t>
  </si>
  <si>
    <t>DCF Model</t>
  </si>
  <si>
    <t>Weighted Average Cost of Capital</t>
  </si>
  <si>
    <t>Name</t>
  </si>
  <si>
    <t>Region</t>
  </si>
  <si>
    <t>Debt</t>
  </si>
  <si>
    <t>Equity</t>
  </si>
  <si>
    <t>Average Tax</t>
  </si>
  <si>
    <t>Debt/Equity</t>
  </si>
  <si>
    <t>Debt/Capital</t>
  </si>
  <si>
    <t xml:space="preserve">Levered Beta </t>
  </si>
  <si>
    <t>Unlevered Beta</t>
  </si>
  <si>
    <t>CMP Rs.</t>
  </si>
  <si>
    <t>Mar Cap Rs.Cr.</t>
  </si>
  <si>
    <t>Debt Rs.Cr.</t>
  </si>
  <si>
    <t>Debt / Eq</t>
  </si>
  <si>
    <t>EV Rs.Cr.</t>
  </si>
  <si>
    <t>Current Tax 12M Rs.Cr.</t>
  </si>
  <si>
    <t>Eicher Motors</t>
  </si>
  <si>
    <t>TVS Motor Co.</t>
  </si>
  <si>
    <t>Hero Motocorp</t>
  </si>
  <si>
    <t>Ola Electric</t>
  </si>
  <si>
    <t>Wardwizard Inno.</t>
  </si>
  <si>
    <t>Urja Global</t>
  </si>
  <si>
    <t>Tunwal E-Motors</t>
  </si>
  <si>
    <t>Sales Rs.Cr.</t>
  </si>
  <si>
    <t>NP 12M Rs.Cr.</t>
  </si>
  <si>
    <t>India</t>
  </si>
  <si>
    <t>Market Cap.</t>
  </si>
  <si>
    <t xml:space="preserve">equity </t>
  </si>
  <si>
    <t>Average</t>
  </si>
  <si>
    <t>Median</t>
  </si>
  <si>
    <t>Levered Beta</t>
  </si>
  <si>
    <t>Equity Risk Premium</t>
  </si>
  <si>
    <t>Cost of Equity</t>
  </si>
  <si>
    <t>Risk Free Rate</t>
  </si>
  <si>
    <t>Capital Structure</t>
  </si>
  <si>
    <t>Total Debt</t>
  </si>
  <si>
    <t>Total Capitalization</t>
  </si>
  <si>
    <t>Cost of Debt</t>
  </si>
  <si>
    <t>Pre-tax Cost of Debt</t>
  </si>
  <si>
    <t>After Tax cost of Debt</t>
  </si>
  <si>
    <t>Weight</t>
  </si>
  <si>
    <t>(5year monthly)</t>
  </si>
  <si>
    <t>tax</t>
  </si>
  <si>
    <t>Capital</t>
  </si>
  <si>
    <t xml:space="preserve">Current </t>
  </si>
  <si>
    <t>Target</t>
  </si>
  <si>
    <t>Bajaj Auto</t>
  </si>
  <si>
    <t>Cost</t>
  </si>
  <si>
    <t>Annual</t>
  </si>
  <si>
    <t>Return on market</t>
  </si>
  <si>
    <t>Average Return</t>
  </si>
  <si>
    <t>Devidend Yiedl</t>
  </si>
  <si>
    <t>Total Market Retun</t>
  </si>
  <si>
    <t>(trading economics)</t>
  </si>
  <si>
    <t>Expected retrun on market</t>
  </si>
  <si>
    <t>Comps median beta</t>
  </si>
  <si>
    <t>Target Debt/Equity</t>
  </si>
  <si>
    <t>pre tax cost of  debt</t>
  </si>
  <si>
    <t>intrest</t>
  </si>
  <si>
    <t>debtg</t>
  </si>
  <si>
    <t>WACC</t>
  </si>
  <si>
    <t>Discounted Cash Flow Schedule- Perpetuity</t>
  </si>
  <si>
    <t>Terminal Growth-</t>
  </si>
  <si>
    <t>WACC-</t>
  </si>
  <si>
    <t>Unlevered Free Cash Flow</t>
  </si>
  <si>
    <t>EBITDA</t>
  </si>
  <si>
    <t>Change in Working Capital</t>
  </si>
  <si>
    <t>NOPAT</t>
  </si>
  <si>
    <t>Average cost of sales</t>
  </si>
  <si>
    <t>average cost of sales</t>
  </si>
  <si>
    <t>cost</t>
  </si>
  <si>
    <t xml:space="preserve">Discounted Cash Flow - Perpetuity </t>
  </si>
  <si>
    <t>(IMF projection of india)</t>
  </si>
  <si>
    <t>Valuation</t>
  </si>
  <si>
    <t>(dd/mm/yy)</t>
  </si>
  <si>
    <t>Fiscal Year end</t>
  </si>
  <si>
    <t>Cash flow date</t>
  </si>
  <si>
    <t>Term</t>
  </si>
  <si>
    <t>-</t>
  </si>
  <si>
    <t>Unadjusted Cash Flow</t>
  </si>
  <si>
    <t>Discrete Forecast</t>
  </si>
  <si>
    <t>Terminal Value</t>
  </si>
  <si>
    <t>Total Cash Flow</t>
  </si>
  <si>
    <t>Adjusted Cash Flow</t>
  </si>
  <si>
    <t>Parital period adjustment</t>
  </si>
  <si>
    <t>Discounted Cash Flow</t>
  </si>
  <si>
    <t>Years for Discounting</t>
  </si>
  <si>
    <t>Enterprise Value</t>
  </si>
  <si>
    <t>Manual Method</t>
  </si>
  <si>
    <t>XNPV function</t>
  </si>
  <si>
    <t>Equity Value</t>
  </si>
  <si>
    <t>Less-Net Debt</t>
  </si>
  <si>
    <t>PV of Discreate</t>
  </si>
  <si>
    <t>PV of Termminal</t>
  </si>
  <si>
    <t>Equity Value per Share</t>
  </si>
  <si>
    <t xml:space="preserve">Equity Value </t>
  </si>
  <si>
    <t>Shares Outstanding</t>
  </si>
  <si>
    <t>Current Market Price</t>
  </si>
  <si>
    <t>Premium/Discount</t>
  </si>
  <si>
    <t xml:space="preserve">Discounted Cash Flow - Multiple </t>
  </si>
  <si>
    <t>Terminal Multiple</t>
  </si>
  <si>
    <t>Weighted Average Cost of Capital(WACC)</t>
  </si>
  <si>
    <t>yahoo finance</t>
  </si>
  <si>
    <t>EV / EBITDA</t>
  </si>
  <si>
    <t>EV/EBITDA</t>
  </si>
  <si>
    <t xml:space="preserve">Median EV/EBITDA </t>
  </si>
  <si>
    <t>Terminal Adujustmet</t>
  </si>
  <si>
    <t>other income</t>
  </si>
  <si>
    <t>Other income</t>
  </si>
  <si>
    <t>Changes in Cash</t>
  </si>
  <si>
    <t>Opening cash balance</t>
  </si>
  <si>
    <t>Net cash flow</t>
  </si>
  <si>
    <t>Closing cash Balance</t>
  </si>
  <si>
    <t>%increase</t>
  </si>
  <si>
    <t>Investment</t>
  </si>
  <si>
    <t>Investment growth</t>
  </si>
  <si>
    <t>CWIP growth</t>
  </si>
  <si>
    <t>Investment Schedule</t>
  </si>
  <si>
    <t>Opening Investment</t>
  </si>
  <si>
    <t>Closing Investment</t>
  </si>
  <si>
    <t>CWIP schedule</t>
  </si>
  <si>
    <t>Opeing CWIP</t>
  </si>
  <si>
    <t>Additon/ Tfd. To fixed asset</t>
  </si>
  <si>
    <t>Closing CWIP</t>
  </si>
  <si>
    <t>Purchase</t>
  </si>
  <si>
    <t>Sale</t>
  </si>
  <si>
    <t>Debt Schedule</t>
  </si>
  <si>
    <t>Opeining Balance</t>
  </si>
  <si>
    <t>New Issue</t>
  </si>
  <si>
    <t>Repayment</t>
  </si>
  <si>
    <t>Closing Blance</t>
  </si>
  <si>
    <t>Assets=Liablilties + Equity</t>
  </si>
  <si>
    <t>Mismatch</t>
  </si>
  <si>
    <t>Cash Plug</t>
  </si>
  <si>
    <t>Assets</t>
  </si>
  <si>
    <t>Comparable Company Analysis (CAA)</t>
  </si>
  <si>
    <t xml:space="preserve">Ticker </t>
  </si>
  <si>
    <t>EICHERMOT</t>
  </si>
  <si>
    <t>TVSMOTOR</t>
  </si>
  <si>
    <t>HEROMOTOCO</t>
  </si>
  <si>
    <t>OLAELEC</t>
  </si>
  <si>
    <t>BAJAJ-AUTO</t>
  </si>
  <si>
    <t>Ticker</t>
  </si>
  <si>
    <t>Share price</t>
  </si>
  <si>
    <t>P/E</t>
  </si>
  <si>
    <t>EV/Revenue</t>
  </si>
  <si>
    <t>Shares outstanding</t>
  </si>
  <si>
    <t>No</t>
  </si>
  <si>
    <t>Yes</t>
  </si>
  <si>
    <t>Net Debt</t>
  </si>
  <si>
    <t xml:space="preserve">Average </t>
  </si>
  <si>
    <t xml:space="preserve">Median </t>
  </si>
  <si>
    <t xml:space="preserve">Maximum </t>
  </si>
  <si>
    <t>Minimum</t>
  </si>
  <si>
    <t>Eicher Motors Ltd. Valuation</t>
  </si>
  <si>
    <t>Implied Enterprise Value</t>
  </si>
  <si>
    <t>Switch</t>
  </si>
  <si>
    <t>Implied Equity Value</t>
  </si>
  <si>
    <t>Shares Oustanding</t>
  </si>
  <si>
    <t>Value Per Share</t>
  </si>
  <si>
    <t>INCOME STATEMENT</t>
  </si>
  <si>
    <t>Asset Schedule</t>
  </si>
  <si>
    <t>Share Price</t>
  </si>
  <si>
    <t>Growth Rate</t>
  </si>
  <si>
    <t>Perpetuity</t>
  </si>
  <si>
    <t>EBITDA multiple</t>
  </si>
  <si>
    <t>DCF Method(share price)</t>
  </si>
  <si>
    <t>Perpetuity Method</t>
  </si>
  <si>
    <t>EBIT Method</t>
  </si>
  <si>
    <t>EBITDA Method</t>
  </si>
  <si>
    <t xml:space="preserve">EBITDA </t>
  </si>
  <si>
    <t>Current taxes</t>
  </si>
  <si>
    <t>Change in working capital</t>
  </si>
  <si>
    <t xml:space="preserve"> Tax without intrest</t>
  </si>
  <si>
    <t>DashBoard - Perpetuity Method</t>
  </si>
  <si>
    <t>Main Output</t>
  </si>
  <si>
    <t>Terminal Growth Rate</t>
  </si>
  <si>
    <t>.13.5</t>
  </si>
  <si>
    <t>Inputs</t>
  </si>
  <si>
    <t>Shares O/S</t>
  </si>
  <si>
    <t>CMP</t>
  </si>
  <si>
    <t>Equity Value Per Share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</si>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</sst>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[$₹-4009]\ #,##0.00"/>
    <numFmt numFmtId="167" formatCode="[$₹-4009]\ #,##0.000"/>
    <numFmt numFmtId="168" formatCode="0.0%"/>
    <numFmt numFmtId="169" formatCode="0.0"/>
    <numFmt numFmtId="170" formatCode="dd/mm/yyyy"/>
    <numFmt numFmtId="171" formatCode="0.00\x"/>
    <numFmt numFmtId="172" formatCode="0.0\x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indexed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6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auto="1"/>
      </right>
      <top style="thin">
        <color auto="1"/>
      </top>
      <bottom style="thick">
        <color auto="1"/>
      </bottom>
      <diagonal/>
    </border>
    <border>
      <left/>
      <right style="dashed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dashed">
        <color rgb="FF002060"/>
      </right>
      <top/>
      <bottom/>
      <diagonal/>
    </border>
    <border>
      <left style="dashed">
        <color rgb="FF002060"/>
      </left>
      <right/>
      <top/>
      <bottom/>
      <diagonal/>
    </border>
    <border>
      <left style="dashed">
        <color rgb="FF002060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34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166" fontId="0" fillId="0" borderId="0" xfId="0" applyNumberFormat="1"/>
    <xf numFmtId="164" fontId="10" fillId="0" borderId="0" xfId="1" applyFont="1" applyBorder="1"/>
    <xf numFmtId="9" fontId="10" fillId="0" borderId="0" xfId="6" applyFont="1" applyBorder="1"/>
    <xf numFmtId="164" fontId="3" fillId="6" borderId="0" xfId="1" applyFont="1" applyFill="1" applyBorder="1"/>
    <xf numFmtId="164" fontId="0" fillId="6" borderId="0" xfId="1" applyFont="1" applyFill="1" applyBorder="1"/>
    <xf numFmtId="0" fontId="0" fillId="7" borderId="0" xfId="0" applyFill="1"/>
    <xf numFmtId="10" fontId="11" fillId="0" borderId="0" xfId="6" applyNumberFormat="1" applyFont="1"/>
    <xf numFmtId="0" fontId="0" fillId="0" borderId="1" xfId="0" applyBorder="1"/>
    <xf numFmtId="0" fontId="1" fillId="0" borderId="1" xfId="0" applyFont="1" applyBorder="1"/>
    <xf numFmtId="0" fontId="11" fillId="0" borderId="1" xfId="0" applyFont="1" applyBorder="1"/>
    <xf numFmtId="1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166" fontId="0" fillId="0" borderId="6" xfId="0" applyNumberFormat="1" applyBorder="1"/>
    <xf numFmtId="0" fontId="11" fillId="0" borderId="7" xfId="0" applyFont="1" applyBorder="1"/>
    <xf numFmtId="0" fontId="0" fillId="0" borderId="8" xfId="0" applyBorder="1"/>
    <xf numFmtId="10" fontId="11" fillId="0" borderId="8" xfId="6" applyNumberFormat="1" applyFont="1" applyBorder="1"/>
    <xf numFmtId="0" fontId="0" fillId="0" borderId="4" xfId="0" applyBorder="1"/>
    <xf numFmtId="166" fontId="0" fillId="0" borderId="4" xfId="0" applyNumberFormat="1" applyBorder="1"/>
    <xf numFmtId="167" fontId="0" fillId="0" borderId="0" xfId="0" applyNumberFormat="1"/>
    <xf numFmtId="43" fontId="0" fillId="0" borderId="0" xfId="0" applyNumberFormat="1"/>
    <xf numFmtId="0" fontId="1" fillId="0" borderId="5" xfId="0" applyFont="1" applyBorder="1"/>
    <xf numFmtId="0" fontId="1" fillId="0" borderId="9" xfId="0" applyFont="1" applyBorder="1"/>
    <xf numFmtId="3" fontId="0" fillId="0" borderId="0" xfId="0" applyNumberFormat="1"/>
    <xf numFmtId="17" fontId="1" fillId="0" borderId="0" xfId="0" applyNumberFormat="1" applyFont="1"/>
    <xf numFmtId="3" fontId="1" fillId="0" borderId="0" xfId="0" applyNumberFormat="1" applyFont="1"/>
    <xf numFmtId="0" fontId="0" fillId="0" borderId="10" xfId="0" applyBorder="1"/>
    <xf numFmtId="165" fontId="2" fillId="7" borderId="0" xfId="0" applyNumberFormat="1" applyFont="1" applyFill="1" applyAlignment="1">
      <alignment horizontal="center"/>
    </xf>
    <xf numFmtId="164" fontId="0" fillId="7" borderId="0" xfId="1" applyFont="1" applyFill="1" applyBorder="1" applyAlignment="1">
      <alignment horizontal="center"/>
    </xf>
    <xf numFmtId="164" fontId="1" fillId="7" borderId="0" xfId="1" applyFont="1" applyFill="1" applyBorder="1" applyAlignment="1">
      <alignment horizontal="center"/>
    </xf>
    <xf numFmtId="164" fontId="0" fillId="7" borderId="0" xfId="1" applyFont="1" applyFill="1" applyBorder="1"/>
    <xf numFmtId="9" fontId="1" fillId="7" borderId="0" xfId="6" applyFont="1" applyFill="1" applyBorder="1"/>
    <xf numFmtId="17" fontId="1" fillId="7" borderId="0" xfId="0" applyNumberFormat="1" applyFont="1" applyFill="1"/>
    <xf numFmtId="3" fontId="0" fillId="7" borderId="0" xfId="0" applyNumberFormat="1" applyFill="1"/>
    <xf numFmtId="3" fontId="1" fillId="7" borderId="0" xfId="0" applyNumberFormat="1" applyFont="1" applyFill="1"/>
    <xf numFmtId="164" fontId="0" fillId="0" borderId="0" xfId="1" applyFont="1" applyFill="1" applyBorder="1"/>
    <xf numFmtId="166" fontId="1" fillId="0" borderId="4" xfId="0" applyNumberFormat="1" applyFont="1" applyBorder="1"/>
    <xf numFmtId="0" fontId="1" fillId="0" borderId="4" xfId="0" applyFont="1" applyBorder="1"/>
    <xf numFmtId="0" fontId="0" fillId="0" borderId="11" xfId="0" applyBorder="1"/>
    <xf numFmtId="0" fontId="12" fillId="0" borderId="0" xfId="0" applyFont="1"/>
    <xf numFmtId="17" fontId="0" fillId="0" borderId="0" xfId="0" applyNumberFormat="1"/>
    <xf numFmtId="166" fontId="1" fillId="0" borderId="0" xfId="0" applyNumberFormat="1" applyFont="1"/>
    <xf numFmtId="0" fontId="1" fillId="0" borderId="13" xfId="0" applyFont="1" applyBorder="1"/>
    <xf numFmtId="0" fontId="0" fillId="0" borderId="14" xfId="0" applyBorder="1"/>
    <xf numFmtId="166" fontId="1" fillId="0" borderId="12" xfId="0" applyNumberFormat="1" applyFont="1" applyBorder="1"/>
    <xf numFmtId="1" fontId="0" fillId="0" borderId="0" xfId="0" applyNumberFormat="1"/>
    <xf numFmtId="0" fontId="0" fillId="0" borderId="0" xfId="0" applyAlignment="1">
      <alignment horizontal="left" indent="2"/>
    </xf>
    <xf numFmtId="9" fontId="0" fillId="0" borderId="0" xfId="6" applyFont="1"/>
    <xf numFmtId="168" fontId="0" fillId="0" borderId="0" xfId="6" applyNumberFormat="1" applyFont="1"/>
    <xf numFmtId="9" fontId="0" fillId="0" borderId="0" xfId="0" applyNumberFormat="1"/>
    <xf numFmtId="10" fontId="0" fillId="0" borderId="0" xfId="6" applyNumberFormat="1" applyFont="1"/>
    <xf numFmtId="2" fontId="0" fillId="0" borderId="0" xfId="6" applyNumberFormat="1" applyFont="1"/>
    <xf numFmtId="0" fontId="5" fillId="8" borderId="0" xfId="0" applyFont="1" applyFill="1"/>
    <xf numFmtId="0" fontId="0" fillId="0" borderId="7" xfId="0" applyBorder="1"/>
    <xf numFmtId="0" fontId="1" fillId="0" borderId="15" xfId="0" applyFont="1" applyBorder="1" applyAlignment="1">
      <alignment horizontal="right"/>
    </xf>
    <xf numFmtId="0" fontId="13" fillId="0" borderId="0" xfId="0" applyFont="1"/>
    <xf numFmtId="0" fontId="5" fillId="0" borderId="0" xfId="0" applyFont="1"/>
    <xf numFmtId="0" fontId="14" fillId="0" borderId="9" xfId="0" applyFont="1" applyBorder="1"/>
    <xf numFmtId="2" fontId="0" fillId="0" borderId="8" xfId="0" applyNumberFormat="1" applyBorder="1"/>
    <xf numFmtId="9" fontId="0" fillId="0" borderId="4" xfId="6" applyFont="1" applyBorder="1"/>
    <xf numFmtId="10" fontId="0" fillId="0" borderId="17" xfId="0" applyNumberFormat="1" applyBorder="1"/>
    <xf numFmtId="10" fontId="0" fillId="0" borderId="18" xfId="0" applyNumberFormat="1" applyBorder="1"/>
    <xf numFmtId="10" fontId="0" fillId="0" borderId="19" xfId="0" applyNumberFormat="1" applyBorder="1"/>
    <xf numFmtId="2" fontId="0" fillId="0" borderId="0" xfId="0" applyNumberFormat="1"/>
    <xf numFmtId="168" fontId="0" fillId="0" borderId="0" xfId="0" applyNumberFormat="1"/>
    <xf numFmtId="2" fontId="1" fillId="0" borderId="0" xfId="0" applyNumberFormat="1" applyFont="1"/>
    <xf numFmtId="0" fontId="1" fillId="0" borderId="20" xfId="0" applyFont="1" applyBorder="1" applyAlignment="1">
      <alignment horizontal="right"/>
    </xf>
    <xf numFmtId="1" fontId="0" fillId="0" borderId="21" xfId="0" applyNumberFormat="1" applyBorder="1"/>
    <xf numFmtId="2" fontId="0" fillId="0" borderId="21" xfId="0" applyNumberFormat="1" applyBorder="1"/>
    <xf numFmtId="9" fontId="15" fillId="0" borderId="21" xfId="0" applyNumberFormat="1" applyFont="1" applyBorder="1"/>
    <xf numFmtId="0" fontId="0" fillId="0" borderId="22" xfId="0" applyBorder="1"/>
    <xf numFmtId="9" fontId="0" fillId="0" borderId="17" xfId="0" applyNumberFormat="1" applyBorder="1"/>
    <xf numFmtId="9" fontId="0" fillId="0" borderId="18" xfId="0" applyNumberFormat="1" applyBorder="1"/>
    <xf numFmtId="9" fontId="0" fillId="0" borderId="19" xfId="0" applyNumberFormat="1" applyBorder="1"/>
    <xf numFmtId="9" fontId="0" fillId="0" borderId="4" xfId="0" applyNumberFormat="1" applyBorder="1"/>
    <xf numFmtId="169" fontId="0" fillId="0" borderId="0" xfId="0" applyNumberFormat="1"/>
    <xf numFmtId="2" fontId="0" fillId="0" borderId="4" xfId="0" applyNumberFormat="1" applyBorder="1"/>
    <xf numFmtId="4" fontId="0" fillId="0" borderId="0" xfId="0" applyNumberFormat="1"/>
    <xf numFmtId="3" fontId="1" fillId="0" borderId="4" xfId="0" applyNumberFormat="1" applyFont="1" applyBorder="1"/>
    <xf numFmtId="1" fontId="1" fillId="0" borderId="4" xfId="0" applyNumberFormat="1" applyFont="1" applyBorder="1"/>
    <xf numFmtId="0" fontId="4" fillId="0" borderId="0" xfId="2" applyAlignment="1" applyProtection="1"/>
    <xf numFmtId="0" fontId="16" fillId="0" borderId="0" xfId="0" applyFont="1"/>
    <xf numFmtId="0" fontId="17" fillId="0" borderId="0" xfId="0" applyFont="1"/>
    <xf numFmtId="1" fontId="0" fillId="0" borderId="4" xfId="0" applyNumberFormat="1" applyBorder="1"/>
    <xf numFmtId="0" fontId="15" fillId="0" borderId="0" xfId="0" applyFont="1"/>
    <xf numFmtId="9" fontId="0" fillId="0" borderId="10" xfId="0" applyNumberFormat="1" applyBorder="1"/>
    <xf numFmtId="2" fontId="0" fillId="0" borderId="23" xfId="0" applyNumberFormat="1" applyBorder="1"/>
    <xf numFmtId="0" fontId="0" fillId="0" borderId="24" xfId="0" applyBorder="1"/>
    <xf numFmtId="166" fontId="0" fillId="0" borderId="24" xfId="0" applyNumberFormat="1" applyBorder="1"/>
    <xf numFmtId="166" fontId="0" fillId="0" borderId="25" xfId="0" applyNumberFormat="1" applyBorder="1"/>
    <xf numFmtId="2" fontId="0" fillId="0" borderId="24" xfId="0" applyNumberFormat="1" applyBorder="1"/>
    <xf numFmtId="3" fontId="0" fillId="0" borderId="24" xfId="0" applyNumberFormat="1" applyBorder="1"/>
    <xf numFmtId="169" fontId="0" fillId="0" borderId="24" xfId="0" applyNumberFormat="1" applyBorder="1"/>
    <xf numFmtId="1" fontId="0" fillId="0" borderId="24" xfId="0" applyNumberFormat="1" applyBorder="1"/>
    <xf numFmtId="2" fontId="0" fillId="0" borderId="25" xfId="0" applyNumberFormat="1" applyBorder="1"/>
    <xf numFmtId="1" fontId="0" fillId="0" borderId="25" xfId="0" applyNumberFormat="1" applyBorder="1"/>
    <xf numFmtId="2" fontId="0" fillId="0" borderId="6" xfId="0" applyNumberFormat="1" applyBorder="1"/>
    <xf numFmtId="2" fontId="0" fillId="0" borderId="26" xfId="0" applyNumberFormat="1" applyBorder="1"/>
    <xf numFmtId="0" fontId="0" fillId="0" borderId="26" xfId="0" applyBorder="1" applyAlignment="1">
      <alignment horizontal="left" indent="2"/>
    </xf>
    <xf numFmtId="0" fontId="1" fillId="0" borderId="6" xfId="0" applyFont="1" applyBorder="1"/>
    <xf numFmtId="9" fontId="0" fillId="0" borderId="6" xfId="0" applyNumberFormat="1" applyBorder="1"/>
    <xf numFmtId="9" fontId="0" fillId="0" borderId="26" xfId="0" applyNumberFormat="1" applyBorder="1"/>
    <xf numFmtId="168" fontId="1" fillId="0" borderId="0" xfId="0" applyNumberFormat="1" applyFont="1"/>
    <xf numFmtId="2" fontId="1" fillId="0" borderId="4" xfId="0" applyNumberFormat="1" applyFont="1" applyBorder="1"/>
    <xf numFmtId="170" fontId="0" fillId="0" borderId="0" xfId="0" applyNumberFormat="1"/>
    <xf numFmtId="170" fontId="0" fillId="0" borderId="28" xfId="0" applyNumberFormat="1" applyBorder="1"/>
    <xf numFmtId="170" fontId="0" fillId="0" borderId="26" xfId="0" applyNumberFormat="1" applyBorder="1"/>
    <xf numFmtId="170" fontId="0" fillId="0" borderId="29" xfId="0" applyNumberFormat="1" applyBorder="1"/>
    <xf numFmtId="170" fontId="0" fillId="0" borderId="31" xfId="0" applyNumberFormat="1" applyBorder="1"/>
    <xf numFmtId="170" fontId="0" fillId="0" borderId="32" xfId="0" applyNumberFormat="1" applyBorder="1"/>
    <xf numFmtId="0" fontId="1" fillId="0" borderId="0" xfId="0" applyFont="1" applyAlignment="1">
      <alignment horizontal="center"/>
    </xf>
    <xf numFmtId="0" fontId="0" fillId="0" borderId="12" xfId="0" applyBorder="1"/>
    <xf numFmtId="0" fontId="0" fillId="0" borderId="2" xfId="0" applyBorder="1"/>
    <xf numFmtId="0" fontId="1" fillId="0" borderId="2" xfId="0" applyFont="1" applyBorder="1"/>
    <xf numFmtId="10" fontId="1" fillId="0" borderId="2" xfId="0" applyNumberFormat="1" applyFont="1" applyBorder="1"/>
    <xf numFmtId="0" fontId="0" fillId="0" borderId="17" xfId="0" applyBorder="1"/>
    <xf numFmtId="0" fontId="0" fillId="0" borderId="18" xfId="0" applyBorder="1"/>
    <xf numFmtId="0" fontId="1" fillId="0" borderId="26" xfId="0" applyFont="1" applyBorder="1"/>
    <xf numFmtId="0" fontId="1" fillId="0" borderId="33" xfId="0" applyFont="1" applyBorder="1"/>
    <xf numFmtId="9" fontId="1" fillId="0" borderId="27" xfId="0" applyNumberFormat="1" applyFont="1" applyBorder="1"/>
    <xf numFmtId="0" fontId="1" fillId="0" borderId="34" xfId="0" applyFont="1" applyBorder="1"/>
    <xf numFmtId="168" fontId="1" fillId="0" borderId="29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0" fontId="1" fillId="0" borderId="11" xfId="0" applyFont="1" applyBorder="1"/>
    <xf numFmtId="2" fontId="1" fillId="0" borderId="9" xfId="0" applyNumberFormat="1" applyFont="1" applyBorder="1"/>
    <xf numFmtId="0" fontId="0" fillId="0" borderId="33" xfId="0" applyBorder="1"/>
    <xf numFmtId="0" fontId="0" fillId="0" borderId="27" xfId="0" applyBorder="1"/>
    <xf numFmtId="0" fontId="0" fillId="0" borderId="35" xfId="0" applyBorder="1"/>
    <xf numFmtId="2" fontId="0" fillId="0" borderId="28" xfId="0" applyNumberFormat="1" applyBorder="1"/>
    <xf numFmtId="0" fontId="1" fillId="0" borderId="17" xfId="0" applyFont="1" applyBorder="1"/>
    <xf numFmtId="2" fontId="1" fillId="0" borderId="19" xfId="0" applyNumberFormat="1" applyFont="1" applyBorder="1"/>
    <xf numFmtId="43" fontId="0" fillId="0" borderId="28" xfId="0" applyNumberFormat="1" applyBorder="1"/>
    <xf numFmtId="43" fontId="1" fillId="0" borderId="19" xfId="0" applyNumberFormat="1" applyFont="1" applyBorder="1"/>
    <xf numFmtId="43" fontId="1" fillId="0" borderId="27" xfId="0" applyNumberFormat="1" applyFont="1" applyBorder="1"/>
    <xf numFmtId="0" fontId="0" fillId="0" borderId="28" xfId="0" applyBorder="1"/>
    <xf numFmtId="0" fontId="1" fillId="0" borderId="35" xfId="0" applyFont="1" applyBorder="1"/>
    <xf numFmtId="171" fontId="1" fillId="0" borderId="29" xfId="0" applyNumberFormat="1" applyFont="1" applyBorder="1"/>
    <xf numFmtId="10" fontId="11" fillId="0" borderId="0" xfId="6" applyNumberFormat="1" applyFont="1" applyBorder="1"/>
    <xf numFmtId="2" fontId="1" fillId="0" borderId="24" xfId="0" applyNumberFormat="1" applyFont="1" applyBorder="1"/>
    <xf numFmtId="0" fontId="1" fillId="0" borderId="7" xfId="0" applyFont="1" applyBorder="1"/>
    <xf numFmtId="0" fontId="1" fillId="0" borderId="36" xfId="0" applyFont="1" applyBorder="1"/>
    <xf numFmtId="0" fontId="18" fillId="0" borderId="0" xfId="0" applyFont="1"/>
    <xf numFmtId="0" fontId="18" fillId="0" borderId="10" xfId="0" applyFont="1" applyBorder="1"/>
    <xf numFmtId="166" fontId="18" fillId="0" borderId="0" xfId="0" applyNumberFormat="1" applyFont="1"/>
    <xf numFmtId="0" fontId="2" fillId="0" borderId="0" xfId="0" applyFont="1"/>
    <xf numFmtId="2" fontId="5" fillId="0" borderId="0" xfId="0" applyNumberFormat="1" applyFont="1"/>
    <xf numFmtId="166" fontId="5" fillId="0" borderId="0" xfId="0" applyNumberFormat="1" applyFo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9" fillId="0" borderId="0" xfId="0" applyFont="1"/>
    <xf numFmtId="172" fontId="0" fillId="0" borderId="0" xfId="0" applyNumberFormat="1"/>
    <xf numFmtId="0" fontId="0" fillId="9" borderId="0" xfId="0" applyFill="1"/>
    <xf numFmtId="172" fontId="0" fillId="9" borderId="0" xfId="0" applyNumberFormat="1" applyFill="1"/>
    <xf numFmtId="0" fontId="1" fillId="9" borderId="0" xfId="0" applyFont="1" applyFill="1"/>
    <xf numFmtId="172" fontId="1" fillId="9" borderId="0" xfId="0" applyNumberFormat="1" applyFont="1" applyFill="1"/>
    <xf numFmtId="0" fontId="22" fillId="0" borderId="1" xfId="0" applyFont="1" applyBorder="1"/>
    <xf numFmtId="0" fontId="22" fillId="0" borderId="0" xfId="0" applyFont="1"/>
    <xf numFmtId="10" fontId="23" fillId="0" borderId="0" xfId="6" applyNumberFormat="1" applyFont="1"/>
    <xf numFmtId="166" fontId="11" fillId="0" borderId="1" xfId="0" applyNumberFormat="1" applyFont="1" applyBorder="1"/>
    <xf numFmtId="0" fontId="0" fillId="0" borderId="37" xfId="0" applyBorder="1"/>
    <xf numFmtId="0" fontId="0" fillId="9" borderId="38" xfId="0" applyFill="1" applyBorder="1"/>
    <xf numFmtId="0" fontId="0" fillId="0" borderId="38" xfId="0" applyBorder="1"/>
    <xf numFmtId="0" fontId="0" fillId="9" borderId="0" xfId="0" applyFill="1" applyAlignment="1">
      <alignment horizontal="left"/>
    </xf>
    <xf numFmtId="2" fontId="0" fillId="9" borderId="0" xfId="0" applyNumberFormat="1" applyFill="1"/>
    <xf numFmtId="172" fontId="0" fillId="9" borderId="1" xfId="0" applyNumberFormat="1" applyFill="1" applyBorder="1"/>
    <xf numFmtId="172" fontId="0" fillId="0" borderId="1" xfId="0" applyNumberFormat="1" applyBorder="1"/>
    <xf numFmtId="0" fontId="5" fillId="0" borderId="39" xfId="0" applyFont="1" applyBorder="1"/>
    <xf numFmtId="0" fontId="5" fillId="0" borderId="8" xfId="0" applyFont="1" applyBorder="1"/>
    <xf numFmtId="2" fontId="5" fillId="0" borderId="8" xfId="0" applyNumberFormat="1" applyFont="1" applyBorder="1" applyAlignment="1">
      <alignment horizontal="left"/>
    </xf>
    <xf numFmtId="2" fontId="5" fillId="0" borderId="8" xfId="0" applyNumberFormat="1" applyFont="1" applyBorder="1"/>
    <xf numFmtId="172" fontId="5" fillId="0" borderId="8" xfId="0" applyNumberFormat="1" applyFont="1" applyBorder="1"/>
    <xf numFmtId="172" fontId="5" fillId="0" borderId="7" xfId="0" applyNumberFormat="1" applyFont="1" applyBorder="1"/>
    <xf numFmtId="0" fontId="11" fillId="0" borderId="0" xfId="0" applyFont="1"/>
    <xf numFmtId="0" fontId="2" fillId="10" borderId="16" xfId="0" applyFont="1" applyFill="1" applyBorder="1"/>
    <xf numFmtId="0" fontId="24" fillId="10" borderId="16" xfId="0" applyFont="1" applyFill="1" applyBorder="1"/>
    <xf numFmtId="0" fontId="24" fillId="10" borderId="2" xfId="0" applyFont="1" applyFill="1" applyBorder="1" applyAlignment="1">
      <alignment horizontal="right"/>
    </xf>
    <xf numFmtId="0" fontId="24" fillId="10" borderId="2" xfId="0" applyFont="1" applyFill="1" applyBorder="1" applyAlignment="1">
      <alignment horizontal="right" vertical="center" wrapText="1"/>
    </xf>
    <xf numFmtId="0" fontId="24" fillId="10" borderId="2" xfId="0" applyFont="1" applyFill="1" applyBorder="1" applyAlignment="1">
      <alignment horizontal="right" wrapText="1"/>
    </xf>
    <xf numFmtId="0" fontId="24" fillId="10" borderId="3" xfId="0" applyFont="1" applyFill="1" applyBorder="1" applyAlignment="1">
      <alignment horizontal="right" wrapText="1"/>
    </xf>
    <xf numFmtId="0" fontId="24" fillId="10" borderId="40" xfId="0" applyFont="1" applyFill="1" applyBorder="1"/>
    <xf numFmtId="0" fontId="2" fillId="10" borderId="41" xfId="0" applyFont="1" applyFill="1" applyBorder="1"/>
    <xf numFmtId="0" fontId="0" fillId="0" borderId="0" xfId="0" applyAlignment="1">
      <alignment horizontal="right"/>
    </xf>
    <xf numFmtId="2" fontId="20" fillId="0" borderId="0" xfId="0" applyNumberFormat="1" applyFont="1"/>
    <xf numFmtId="2" fontId="21" fillId="0" borderId="0" xfId="0" applyNumberFormat="1" applyFont="1"/>
    <xf numFmtId="2" fontId="1" fillId="0" borderId="28" xfId="0" applyNumberFormat="1" applyFont="1" applyBorder="1"/>
    <xf numFmtId="2" fontId="0" fillId="0" borderId="35" xfId="0" applyNumberFormat="1" applyBorder="1"/>
    <xf numFmtId="0" fontId="1" fillId="0" borderId="28" xfId="0" applyFont="1" applyBorder="1"/>
    <xf numFmtId="0" fontId="0" fillId="0" borderId="34" xfId="0" applyBorder="1"/>
    <xf numFmtId="0" fontId="0" fillId="0" borderId="26" xfId="0" applyBorder="1"/>
    <xf numFmtId="0" fontId="0" fillId="0" borderId="29" xfId="0" applyBorder="1"/>
    <xf numFmtId="0" fontId="5" fillId="10" borderId="12" xfId="0" applyFont="1" applyFill="1" applyBorder="1"/>
    <xf numFmtId="0" fontId="5" fillId="10" borderId="13" xfId="0" applyFont="1" applyFill="1" applyBorder="1"/>
    <xf numFmtId="0" fontId="2" fillId="10" borderId="39" xfId="0" applyFont="1" applyFill="1" applyBorder="1"/>
    <xf numFmtId="14" fontId="2" fillId="10" borderId="8" xfId="0" applyNumberFormat="1" applyFont="1" applyFill="1" applyBorder="1"/>
    <xf numFmtId="0" fontId="25" fillId="10" borderId="37" xfId="0" applyFont="1" applyFill="1" applyBorder="1" applyAlignment="1">
      <alignment horizontal="left" vertical="center"/>
    </xf>
    <xf numFmtId="14" fontId="24" fillId="10" borderId="8" xfId="0" applyNumberFormat="1" applyFont="1" applyFill="1" applyBorder="1" applyAlignment="1">
      <alignment horizontal="right"/>
    </xf>
    <xf numFmtId="0" fontId="24" fillId="10" borderId="8" xfId="0" applyFont="1" applyFill="1" applyBorder="1" applyAlignment="1">
      <alignment horizontal="right"/>
    </xf>
    <xf numFmtId="0" fontId="24" fillId="10" borderId="7" xfId="0" applyFont="1" applyFill="1" applyBorder="1" applyAlignment="1">
      <alignment horizontal="right"/>
    </xf>
    <xf numFmtId="10" fontId="26" fillId="0" borderId="0" xfId="0" applyNumberFormat="1" applyFont="1"/>
    <xf numFmtId="10" fontId="26" fillId="0" borderId="24" xfId="0" applyNumberFormat="1" applyFont="1" applyBorder="1"/>
    <xf numFmtId="0" fontId="25" fillId="10" borderId="12" xfId="0" applyFont="1" applyFill="1" applyBorder="1"/>
    <xf numFmtId="166" fontId="27" fillId="0" borderId="0" xfId="0" applyNumberFormat="1" applyFont="1"/>
    <xf numFmtId="166" fontId="27" fillId="0" borderId="6" xfId="0" applyNumberFormat="1" applyFont="1" applyBorder="1"/>
    <xf numFmtId="0" fontId="27" fillId="0" borderId="0" xfId="0" applyFont="1"/>
    <xf numFmtId="43" fontId="27" fillId="0" borderId="0" xfId="0" applyNumberFormat="1" applyFont="1"/>
    <xf numFmtId="3" fontId="27" fillId="0" borderId="0" xfId="0" applyNumberFormat="1" applyFont="1"/>
    <xf numFmtId="0" fontId="28" fillId="0" borderId="4" xfId="0" applyFont="1" applyBorder="1"/>
    <xf numFmtId="0" fontId="25" fillId="10" borderId="42" xfId="0" applyFont="1" applyFill="1" applyBorder="1" applyAlignment="1">
      <alignment horizontal="left" vertical="center"/>
    </xf>
    <xf numFmtId="0" fontId="28" fillId="0" borderId="0" xfId="0" applyFont="1"/>
    <xf numFmtId="0" fontId="28" fillId="0" borderId="28" xfId="0" applyFont="1" applyBorder="1"/>
    <xf numFmtId="0" fontId="0" fillId="0" borderId="44" xfId="0" applyBorder="1"/>
    <xf numFmtId="2" fontId="0" fillId="0" borderId="45" xfId="0" applyNumberFormat="1" applyBorder="1"/>
    <xf numFmtId="168" fontId="27" fillId="0" borderId="0" xfId="6" applyNumberFormat="1" applyFont="1" applyBorder="1"/>
    <xf numFmtId="10" fontId="0" fillId="0" borderId="28" xfId="0" applyNumberFormat="1" applyBorder="1"/>
    <xf numFmtId="1" fontId="0" fillId="0" borderId="28" xfId="0" applyNumberFormat="1" applyBorder="1"/>
    <xf numFmtId="1" fontId="27" fillId="0" borderId="0" xfId="0" applyNumberFormat="1" applyFont="1"/>
    <xf numFmtId="2" fontId="27" fillId="0" borderId="0" xfId="6" applyNumberFormat="1" applyFont="1" applyBorder="1"/>
    <xf numFmtId="2" fontId="27" fillId="0" borderId="28" xfId="6" applyNumberFormat="1" applyFont="1" applyBorder="1"/>
    <xf numFmtId="10" fontId="1" fillId="0" borderId="0" xfId="6" applyNumberFormat="1" applyFont="1" applyBorder="1"/>
    <xf numFmtId="10" fontId="1" fillId="0" borderId="28" xfId="6" applyNumberFormat="1" applyFont="1" applyBorder="1"/>
    <xf numFmtId="0" fontId="0" fillId="0" borderId="28" xfId="0" applyBorder="1" applyAlignment="1">
      <alignment horizontal="right"/>
    </xf>
    <xf numFmtId="1" fontId="1" fillId="0" borderId="0" xfId="0" applyNumberFormat="1" applyFont="1"/>
    <xf numFmtId="1" fontId="1" fillId="0" borderId="28" xfId="0" applyNumberFormat="1" applyFont="1" applyBorder="1"/>
    <xf numFmtId="9" fontId="0" fillId="0" borderId="0" xfId="6" applyFont="1" applyBorder="1"/>
    <xf numFmtId="9" fontId="0" fillId="0" borderId="28" xfId="0" applyNumberFormat="1" applyBorder="1"/>
    <xf numFmtId="0" fontId="14" fillId="0" borderId="46" xfId="0" applyFont="1" applyBorder="1"/>
    <xf numFmtId="9" fontId="0" fillId="0" borderId="28" xfId="6" applyFont="1" applyBorder="1"/>
    <xf numFmtId="9" fontId="15" fillId="0" borderId="0" xfId="0" applyNumberFormat="1" applyFont="1"/>
    <xf numFmtId="9" fontId="15" fillId="0" borderId="28" xfId="0" applyNumberFormat="1" applyFont="1" applyBorder="1"/>
    <xf numFmtId="168" fontId="0" fillId="0" borderId="28" xfId="0" applyNumberFormat="1" applyBorder="1"/>
    <xf numFmtId="9" fontId="1" fillId="0" borderId="0" xfId="0" applyNumberFormat="1" applyFont="1"/>
    <xf numFmtId="9" fontId="1" fillId="0" borderId="28" xfId="0" applyNumberFormat="1" applyFont="1" applyBorder="1"/>
    <xf numFmtId="0" fontId="25" fillId="10" borderId="48" xfId="0" applyFont="1" applyFill="1" applyBorder="1" applyAlignment="1">
      <alignment horizontal="left" vertical="center"/>
    </xf>
    <xf numFmtId="0" fontId="0" fillId="0" borderId="49" xfId="0" applyBorder="1"/>
    <xf numFmtId="0" fontId="1" fillId="0" borderId="49" xfId="0" applyFont="1" applyBorder="1"/>
    <xf numFmtId="169" fontId="0" fillId="0" borderId="28" xfId="0" applyNumberFormat="1" applyBorder="1"/>
    <xf numFmtId="0" fontId="0" fillId="0" borderId="50" xfId="0" applyBorder="1"/>
    <xf numFmtId="2" fontId="0" fillId="0" borderId="47" xfId="0" applyNumberFormat="1" applyBorder="1"/>
    <xf numFmtId="1" fontId="0" fillId="0" borderId="47" xfId="0" applyNumberFormat="1" applyBorder="1"/>
    <xf numFmtId="0" fontId="25" fillId="10" borderId="48" xfId="0" applyFont="1" applyFill="1" applyBorder="1" applyAlignment="1">
      <alignment horizontal="left" vertical="center" wrapText="1"/>
    </xf>
    <xf numFmtId="0" fontId="0" fillId="0" borderId="42" xfId="0" applyBorder="1"/>
    <xf numFmtId="0" fontId="1" fillId="0" borderId="10" xfId="0" applyFont="1" applyBorder="1"/>
    <xf numFmtId="2" fontId="1" fillId="0" borderId="1" xfId="0" applyNumberFormat="1" applyFont="1" applyBorder="1"/>
    <xf numFmtId="1" fontId="0" fillId="0" borderId="1" xfId="0" applyNumberFormat="1" applyBorder="1"/>
    <xf numFmtId="0" fontId="1" fillId="0" borderId="51" xfId="0" applyFont="1" applyBorder="1"/>
    <xf numFmtId="0" fontId="0" fillId="0" borderId="52" xfId="0" applyBorder="1"/>
    <xf numFmtId="2" fontId="0" fillId="0" borderId="52" xfId="0" applyNumberFormat="1" applyBorder="1"/>
    <xf numFmtId="2" fontId="0" fillId="0" borderId="53" xfId="0" applyNumberFormat="1" applyBorder="1"/>
    <xf numFmtId="0" fontId="29" fillId="11" borderId="30" xfId="0" applyFont="1" applyFill="1" applyBorder="1" applyAlignment="1">
      <alignment horizontal="center"/>
    </xf>
    <xf numFmtId="0" fontId="29" fillId="11" borderId="6" xfId="0" applyFont="1" applyFill="1" applyBorder="1" applyAlignment="1">
      <alignment horizontal="center"/>
    </xf>
    <xf numFmtId="0" fontId="29" fillId="11" borderId="27" xfId="0" applyFont="1" applyFill="1" applyBorder="1" applyAlignment="1">
      <alignment horizontal="center"/>
    </xf>
    <xf numFmtId="0" fontId="1" fillId="0" borderId="54" xfId="0" applyFont="1" applyBorder="1"/>
    <xf numFmtId="0" fontId="0" fillId="0" borderId="55" xfId="0" applyBorder="1"/>
    <xf numFmtId="2" fontId="0" fillId="0" borderId="55" xfId="0" applyNumberFormat="1" applyBorder="1"/>
    <xf numFmtId="2" fontId="0" fillId="0" borderId="56" xfId="0" applyNumberFormat="1" applyBorder="1"/>
    <xf numFmtId="0" fontId="0" fillId="0" borderId="57" xfId="0" applyBorder="1"/>
    <xf numFmtId="0" fontId="0" fillId="0" borderId="58" xfId="0" applyBorder="1"/>
    <xf numFmtId="2" fontId="0" fillId="0" borderId="58" xfId="0" applyNumberFormat="1" applyBorder="1"/>
    <xf numFmtId="2" fontId="0" fillId="0" borderId="59" xfId="0" applyNumberFormat="1" applyBorder="1"/>
    <xf numFmtId="9" fontId="0" fillId="0" borderId="52" xfId="0" applyNumberFormat="1" applyBorder="1"/>
    <xf numFmtId="9" fontId="0" fillId="0" borderId="53" xfId="0" applyNumberFormat="1" applyBorder="1"/>
    <xf numFmtId="2" fontId="1" fillId="0" borderId="27" xfId="0" applyNumberFormat="1" applyFont="1" applyBorder="1"/>
    <xf numFmtId="0" fontId="0" fillId="0" borderId="30" xfId="0" applyBorder="1"/>
    <xf numFmtId="2" fontId="0" fillId="0" borderId="32" xfId="0" applyNumberFormat="1" applyBorder="1" applyAlignment="1">
      <alignment horizontal="center"/>
    </xf>
    <xf numFmtId="1" fontId="27" fillId="0" borderId="60" xfId="0" applyNumberFormat="1" applyFont="1" applyBorder="1"/>
    <xf numFmtId="0" fontId="0" fillId="0" borderId="61" xfId="0" applyBorder="1"/>
    <xf numFmtId="0" fontId="25" fillId="10" borderId="37" xfId="0" applyFont="1" applyFill="1" applyBorder="1" applyAlignment="1">
      <alignment horizontal="right" vertical="center"/>
    </xf>
    <xf numFmtId="0" fontId="25" fillId="10" borderId="14" xfId="0" applyFont="1" applyFill="1" applyBorder="1" applyAlignment="1">
      <alignment horizontal="right" vertical="center"/>
    </xf>
    <xf numFmtId="0" fontId="25" fillId="10" borderId="13" xfId="0" applyFont="1" applyFill="1" applyBorder="1" applyAlignment="1">
      <alignment horizontal="right" vertical="center"/>
    </xf>
    <xf numFmtId="0" fontId="25" fillId="10" borderId="43" xfId="0" applyFont="1" applyFill="1" applyBorder="1" applyAlignment="1">
      <alignment horizontal="right" vertical="center"/>
    </xf>
    <xf numFmtId="0" fontId="25" fillId="10" borderId="12" xfId="0" applyFont="1" applyFill="1" applyBorder="1" applyAlignment="1">
      <alignment horizontal="right"/>
    </xf>
    <xf numFmtId="0" fontId="25" fillId="10" borderId="13" xfId="0" applyFont="1" applyFill="1" applyBorder="1" applyAlignment="1">
      <alignment horizontal="right"/>
    </xf>
    <xf numFmtId="0" fontId="25" fillId="10" borderId="42" xfId="0" applyFont="1" applyFill="1" applyBorder="1" applyAlignment="1">
      <alignment horizontal="right" vertical="center"/>
    </xf>
    <xf numFmtId="0" fontId="25" fillId="10" borderId="48" xfId="0" applyFont="1" applyFill="1" applyBorder="1" applyAlignment="1">
      <alignment horizontal="right" vertical="center"/>
    </xf>
    <xf numFmtId="0" fontId="24" fillId="10" borderId="2" xfId="0" applyFont="1" applyFill="1" applyBorder="1" applyAlignment="1">
      <alignment horizontal="left" vertical="center" wrapText="1"/>
    </xf>
    <xf numFmtId="0" fontId="5" fillId="0" borderId="6" xfId="0" applyFont="1" applyBorder="1"/>
    <xf numFmtId="2" fontId="5" fillId="0" borderId="6" xfId="0" applyNumberFormat="1" applyFont="1" applyBorder="1"/>
    <xf numFmtId="9" fontId="5" fillId="0" borderId="6" xfId="0" applyNumberFormat="1" applyFont="1" applyBorder="1"/>
    <xf numFmtId="10" fontId="5" fillId="0" borderId="6" xfId="0" applyNumberFormat="1" applyFont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10" fontId="1" fillId="0" borderId="65" xfId="6" applyNumberFormat="1" applyFont="1" applyBorder="1"/>
    <xf numFmtId="0" fontId="0" fillId="0" borderId="29" xfId="0" applyBorder="1" applyAlignment="1">
      <alignment horizontal="left" indent="2"/>
    </xf>
    <xf numFmtId="10" fontId="0" fillId="0" borderId="0" xfId="6" applyNumberFormat="1" applyFont="1" applyBorder="1"/>
    <xf numFmtId="10" fontId="1" fillId="0" borderId="65" xfId="0" applyNumberFormat="1" applyFont="1" applyBorder="1"/>
    <xf numFmtId="168" fontId="1" fillId="0" borderId="8" xfId="0" applyNumberFormat="1" applyFont="1" applyBorder="1"/>
    <xf numFmtId="0" fontId="0" fillId="0" borderId="45" xfId="0" applyBorder="1"/>
    <xf numFmtId="0" fontId="1" fillId="0" borderId="64" xfId="0" applyFont="1" applyBorder="1"/>
    <xf numFmtId="2" fontId="1" fillId="0" borderId="65" xfId="0" applyNumberFormat="1" applyFont="1" applyBorder="1"/>
    <xf numFmtId="3" fontId="0" fillId="0" borderId="1" xfId="0" applyNumberFormat="1" applyBorder="1"/>
    <xf numFmtId="2" fontId="1" fillId="0" borderId="18" xfId="0" applyNumberFormat="1" applyFont="1" applyBorder="1"/>
    <xf numFmtId="169" fontId="0" fillId="0" borderId="18" xfId="0" applyNumberFormat="1" applyBorder="1"/>
    <xf numFmtId="2" fontId="0" fillId="0" borderId="18" xfId="0" applyNumberFormat="1" applyBorder="1"/>
    <xf numFmtId="169" fontId="1" fillId="0" borderId="18" xfId="0" applyNumberFormat="1" applyFont="1" applyBorder="1"/>
    <xf numFmtId="0" fontId="1" fillId="0" borderId="18" xfId="0" applyFont="1" applyBorder="1"/>
    <xf numFmtId="0" fontId="25" fillId="10" borderId="63" xfId="0" applyFont="1" applyFill="1" applyBorder="1" applyAlignment="1">
      <alignment horizontal="right" vertical="center"/>
    </xf>
    <xf numFmtId="0" fontId="25" fillId="10" borderId="62" xfId="0" applyFont="1" applyFill="1" applyBorder="1" applyAlignment="1">
      <alignment horizontal="right" vertical="center"/>
    </xf>
    <xf numFmtId="0" fontId="0" fillId="0" borderId="0" xfId="0" applyAlignment="1">
      <alignment textRotation="90"/>
    </xf>
    <xf numFmtId="0" fontId="30" fillId="0" borderId="0" xfId="0" applyFont="1"/>
    <xf numFmtId="9" fontId="0" fillId="0" borderId="0" xfId="0" applyNumberFormat="1" applyAlignment="1">
      <alignment horizontal="right"/>
    </xf>
    <xf numFmtId="0" fontId="0" fillId="0" borderId="36" xfId="0" applyBorder="1"/>
    <xf numFmtId="0" fontId="31" fillId="0" borderId="0" xfId="0" applyFont="1"/>
    <xf numFmtId="1" fontId="14" fillId="0" borderId="4" xfId="0" applyNumberFormat="1" applyFont="1" applyBorder="1"/>
    <xf numFmtId="1" fontId="14" fillId="0" borderId="47" xfId="0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7">
    <dxf>
      <font>
        <b/>
        <i val="0"/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Relationship Id="rId30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6">
  <tableColumns count="14">
    <tableColumn id="1" xr3:uid="{00000000-0010-0000-0000-000001000000}" name="Column1" headerRowDxfId="35" dataDxfId="34"/>
    <tableColumn id="2" xr3:uid="{00000000-0010-0000-0000-000002000000}" name="Column2" headerRowDxfId="33"/>
    <tableColumn id="3" xr3:uid="{00000000-0010-0000-0000-000003000000}" name="Column3" headerRowDxfId="32"/>
    <tableColumn id="4" xr3:uid="{00000000-0010-0000-0000-000004000000}" name="Column4" headerRowDxfId="31"/>
    <tableColumn id="5" xr3:uid="{00000000-0010-0000-0000-000005000000}" name="Column5" headerRowDxfId="30"/>
    <tableColumn id="6" xr3:uid="{00000000-0010-0000-0000-000006000000}" name="Column6" headerRowDxfId="29"/>
    <tableColumn id="7" xr3:uid="{00000000-0010-0000-0000-000007000000}" name="Column7" headerRowDxfId="28"/>
    <tableColumn id="8" xr3:uid="{00000000-0010-0000-0000-000008000000}" name="Column8" headerRowDxfId="27"/>
    <tableColumn id="9" xr3:uid="{00000000-0010-0000-0000-000009000000}" name="Column9" headerRowDxfId="26"/>
    <tableColumn id="10" xr3:uid="{00000000-0010-0000-0000-00000A000000}" name="Column10" headerRowDxfId="25"/>
    <tableColumn id="11" xr3:uid="{00000000-0010-0000-0000-00000B000000}" name="Column11" headerRowDxfId="24"/>
    <tableColumn id="12" xr3:uid="{00000000-0010-0000-0000-00000C000000}" name="Column12" headerRowDxfId="23"/>
    <tableColumn id="13" xr3:uid="{00000000-0010-0000-0000-00000D000000}" name="Column13" headerRowDxfId="22" dataDxfId="21"/>
    <tableColumn id="14" xr3:uid="{00000000-0010-0000-0000-00000E000000}" name="Column14" headerRowDxfId="20" dataDxfId="19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8">
  <tableColumns count="11">
    <tableColumn id="1" xr3:uid="{00000000-0010-0000-0100-000001000000}" name="Column1" headerRowDxfId="17"/>
    <tableColumn id="2" xr3:uid="{00000000-0010-0000-0100-000002000000}" name="Column2" headerRowDxfId="16"/>
    <tableColumn id="3" xr3:uid="{00000000-0010-0000-0100-000003000000}" name="Column3" headerRowDxfId="15"/>
    <tableColumn id="4" xr3:uid="{00000000-0010-0000-0100-000004000000}" name="Column4" headerRowDxfId="14"/>
    <tableColumn id="5" xr3:uid="{00000000-0010-0000-0100-000005000000}" name="Column5" headerRowDxfId="13"/>
    <tableColumn id="6" xr3:uid="{00000000-0010-0000-0100-000006000000}" name="Column6" headerRowDxfId="12"/>
    <tableColumn id="7" xr3:uid="{00000000-0010-0000-0100-000007000000}" name="Column7" headerRowDxfId="11"/>
    <tableColumn id="8" xr3:uid="{00000000-0010-0000-0100-000008000000}" name="Column8" headerRowDxfId="10"/>
    <tableColumn id="9" xr3:uid="{00000000-0010-0000-0100-000009000000}" name="Column9" headerRowDxfId="9"/>
    <tableColumn id="10" xr3:uid="{00000000-0010-0000-0100-00000A000000}" name="Column10" headerRowDxfId="8"/>
    <tableColumn id="11" xr3:uid="{00000000-0010-0000-0100-00000B000000}" name="Column11" headerRowDxfId="7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seindia.com/get-quotes/equity?symbol=BAJAJ-AUTO" TargetMode="External"/><Relationship Id="rId2" Type="http://schemas.openxmlformats.org/officeDocument/2006/relationships/hyperlink" Target="https://www.nseindia.com/get-quotes/equity?symbol=TVSMOTOR" TargetMode="External"/><Relationship Id="rId1" Type="http://schemas.openxmlformats.org/officeDocument/2006/relationships/hyperlink" Target="https://www.nseindia.com/get-quotes/equity?symbol=EICHERMOT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S@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creener.in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creener.in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creener.in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creener.in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creener.in/exce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CBAD-E38A-4FC3-BB14-B58EB0EE326A}">
  <sheetPr>
    <tabColor rgb="FFFF0000"/>
    <pageSetUpPr fitToPage="1"/>
  </sheetPr>
  <dimension ref="A2:U126"/>
  <sheetViews>
    <sheetView showGridLines="0" tabSelected="1" zoomScale="71" zoomScaleNormal="71" workbookViewId="0">
      <selection activeCell="O32" sqref="O32"/>
    </sheetView>
  </sheetViews>
  <sheetFormatPr defaultRowHeight="15"/>
  <cols>
    <col min="1" max="1" width="4.42578125" customWidth="1"/>
    <col min="2" max="2" width="6.28515625" customWidth="1"/>
    <col min="3" max="3" width="48.42578125" bestFit="1" customWidth="1"/>
    <col min="4" max="4" width="3.5703125" customWidth="1"/>
    <col min="5" max="6" width="13.28515625" bestFit="1" customWidth="1"/>
    <col min="7" max="9" width="14.28515625" bestFit="1" customWidth="1"/>
    <col min="10" max="10" width="15.5703125" customWidth="1"/>
    <col min="11" max="11" width="16" customWidth="1"/>
    <col min="12" max="13" width="17.5703125" customWidth="1"/>
    <col min="15" max="17" width="12.85546875" bestFit="1" customWidth="1"/>
    <col min="18" max="19" width="11.42578125" bestFit="1" customWidth="1"/>
    <col min="20" max="21" width="9.7109375" bestFit="1" customWidth="1"/>
  </cols>
  <sheetData>
    <row r="2" spans="1:16" ht="26.25">
      <c r="A2" t="s">
        <v>116</v>
      </c>
      <c r="C2" s="65" t="str">
        <f>'Profit &amp; Loss'!A1</f>
        <v>EICHER MOTORS LTD</v>
      </c>
    </row>
    <row r="3" spans="1:16" ht="27" thickBot="1">
      <c r="C3" s="65" t="s">
        <v>476</v>
      </c>
      <c r="D3" s="41"/>
    </row>
    <row r="4" spans="1:16" ht="21.75" customHeight="1">
      <c r="C4" s="221" t="s">
        <v>476</v>
      </c>
      <c r="D4" s="217"/>
      <c r="E4" s="217"/>
      <c r="F4" s="217"/>
      <c r="G4" s="217"/>
      <c r="H4" s="217"/>
      <c r="I4" s="217"/>
      <c r="J4" s="217"/>
      <c r="K4" s="217"/>
      <c r="L4" s="217"/>
      <c r="M4" s="218"/>
    </row>
    <row r="5" spans="1:16" ht="19.5" thickBot="1">
      <c r="C5" s="219"/>
      <c r="D5" s="220"/>
      <c r="E5" s="222" t="s">
        <v>94</v>
      </c>
      <c r="F5" s="223" t="s">
        <v>95</v>
      </c>
      <c r="G5" s="223" t="s">
        <v>96</v>
      </c>
      <c r="H5" s="223" t="s">
        <v>97</v>
      </c>
      <c r="I5" s="223" t="s">
        <v>98</v>
      </c>
      <c r="J5" s="223" t="s">
        <v>103</v>
      </c>
      <c r="K5" s="223" t="s">
        <v>99</v>
      </c>
      <c r="L5" s="223" t="s">
        <v>100</v>
      </c>
      <c r="M5" s="224" t="s">
        <v>101</v>
      </c>
    </row>
    <row r="6" spans="1:16">
      <c r="C6" s="33" t="s">
        <v>93</v>
      </c>
    </row>
    <row r="7" spans="1:16">
      <c r="C7" s="33" t="s">
        <v>6</v>
      </c>
      <c r="E7" s="228">
        <f>IFERROR('Profit &amp; Loss'!G4,0)</f>
        <v>9153.58</v>
      </c>
      <c r="F7" s="228">
        <f>IFERROR('Profit &amp; Loss'!H4,0)</f>
        <v>8720.35</v>
      </c>
      <c r="G7" s="228">
        <f>IFERROR('Profit &amp; Loss'!I4,0)</f>
        <v>10297.83</v>
      </c>
      <c r="H7" s="228">
        <f>IFERROR('Profit &amp; Loss'!J4,0)</f>
        <v>14442.18</v>
      </c>
      <c r="I7" s="228">
        <f>IFERROR('Profit &amp; Loss'!K4,0)</f>
        <v>16535.78</v>
      </c>
      <c r="J7" s="25">
        <f>('Revenue Schdule'!J33)</f>
        <v>18959.922045296687</v>
      </c>
      <c r="K7" s="25">
        <f>('Revenue Schdule'!K33)</f>
        <v>22556.218039432442</v>
      </c>
      <c r="L7" s="25">
        <f>('Revenue Schdule'!L33)</f>
        <v>26680.436195219154</v>
      </c>
      <c r="M7" s="25">
        <f>('Revenue Schdule'!M33)</f>
        <v>30555.914365131775</v>
      </c>
      <c r="P7">
        <v>10000000</v>
      </c>
    </row>
    <row r="8" spans="1:16">
      <c r="C8" s="34" t="s">
        <v>22</v>
      </c>
      <c r="D8" s="199"/>
      <c r="E8" s="199"/>
      <c r="F8" s="164">
        <f>F7/E7-1</f>
        <v>-4.732902318000165E-2</v>
      </c>
      <c r="G8" s="164">
        <f t="shared" ref="G8:M8" si="0">G7/F7-1</f>
        <v>0.18089640897441028</v>
      </c>
      <c r="H8" s="164">
        <f t="shared" si="0"/>
        <v>0.40244886544058311</v>
      </c>
      <c r="I8" s="164">
        <f t="shared" si="0"/>
        <v>0.14496426439775711</v>
      </c>
      <c r="J8" s="164">
        <f t="shared" si="0"/>
        <v>0.1465998002692761</v>
      </c>
      <c r="K8" s="164">
        <f t="shared" si="0"/>
        <v>0.18967883863361523</v>
      </c>
      <c r="L8" s="164">
        <f t="shared" si="0"/>
        <v>0.18284174007259613</v>
      </c>
      <c r="M8" s="164">
        <f t="shared" si="0"/>
        <v>0.14525542766827271</v>
      </c>
    </row>
    <row r="9" spans="1:16">
      <c r="C9" s="32"/>
    </row>
    <row r="10" spans="1:16">
      <c r="C10" s="33" t="s">
        <v>104</v>
      </c>
      <c r="E10" s="25">
        <f>IFERROR(SUM('Data Sheet'!G18,'Data Sheet'!G20:G22)*1-'Data Sheet'!G19,0)</f>
        <v>6113.8899999999994</v>
      </c>
      <c r="F10" s="25">
        <f>IFERROR(SUM('Data Sheet'!H18,'Data Sheet'!H20:H22)*1-'Data Sheet'!H19,0)</f>
        <v>6261.01</v>
      </c>
      <c r="G10" s="25">
        <f>IFERROR(SUM('Data Sheet'!I18,'Data Sheet'!I20:I22)*1-'Data Sheet'!I19,0)</f>
        <v>7167.9</v>
      </c>
      <c r="H10" s="25">
        <f>IFERROR(SUM('Data Sheet'!J18,'Data Sheet'!J20:J22)*1-'Data Sheet'!J19,0)</f>
        <v>9689.9</v>
      </c>
      <c r="I10" s="25">
        <f>IFERROR(SUM('Data Sheet'!K18,'Data Sheet'!K20:K22)*1-'Data Sheet'!K19,0)</f>
        <v>10700.980000000001</v>
      </c>
      <c r="J10" s="25">
        <f>'Revenue Schdule'!J47</f>
        <v>12892.917228642893</v>
      </c>
      <c r="K10" s="25">
        <f>'Revenue Schdule'!K47</f>
        <v>15392.95192130891</v>
      </c>
      <c r="L10" s="25">
        <f>'Revenue Schdule'!L47</f>
        <v>18017.723782807865</v>
      </c>
      <c r="M10" s="25">
        <f>'Revenue Schdule'!M47</f>
        <v>20508.129677569032</v>
      </c>
    </row>
    <row r="11" spans="1:16">
      <c r="C11" s="34" t="s">
        <v>105</v>
      </c>
      <c r="D11" s="199"/>
      <c r="E11" s="164">
        <f>E10/E7</f>
        <v>0.66792336987277101</v>
      </c>
      <c r="F11" s="164">
        <f t="shared" ref="F11:M11" si="1">F10/F7</f>
        <v>0.71797691606414882</v>
      </c>
      <c r="G11" s="164">
        <f t="shared" si="1"/>
        <v>0.6960592668552501</v>
      </c>
      <c r="H11" s="164">
        <f t="shared" si="1"/>
        <v>0.67094441420893514</v>
      </c>
      <c r="I11" s="164">
        <f t="shared" si="1"/>
        <v>0.64714092712892901</v>
      </c>
      <c r="J11" s="164">
        <f t="shared" si="1"/>
        <v>0.68000897882600675</v>
      </c>
      <c r="K11" s="164">
        <f t="shared" si="1"/>
        <v>0.68242610061665399</v>
      </c>
      <c r="L11" s="164">
        <f t="shared" si="1"/>
        <v>0.67531593752715502</v>
      </c>
      <c r="M11" s="164">
        <f t="shared" si="1"/>
        <v>0.67116727166153611</v>
      </c>
    </row>
    <row r="12" spans="1:16">
      <c r="C12" s="32"/>
    </row>
    <row r="13" spans="1:16">
      <c r="C13" s="47" t="s">
        <v>106</v>
      </c>
      <c r="D13" s="38"/>
      <c r="E13" s="229">
        <f>E7-E10</f>
        <v>3039.6900000000005</v>
      </c>
      <c r="F13" s="229">
        <f t="shared" ref="F13:M13" si="2">F7-F10</f>
        <v>2459.34</v>
      </c>
      <c r="G13" s="229">
        <f t="shared" si="2"/>
        <v>3129.9300000000003</v>
      </c>
      <c r="H13" s="229">
        <f t="shared" si="2"/>
        <v>4752.2800000000007</v>
      </c>
      <c r="I13" s="229">
        <f t="shared" si="2"/>
        <v>5834.7999999999975</v>
      </c>
      <c r="J13" s="39">
        <f t="shared" si="2"/>
        <v>6067.0048166537945</v>
      </c>
      <c r="K13" s="39">
        <f t="shared" si="2"/>
        <v>7163.2661181235326</v>
      </c>
      <c r="L13" s="39">
        <f t="shared" si="2"/>
        <v>8662.7124124112888</v>
      </c>
      <c r="M13" s="39">
        <f t="shared" si="2"/>
        <v>10047.784687562744</v>
      </c>
    </row>
    <row r="14" spans="1:16">
      <c r="C14" s="34" t="s">
        <v>107</v>
      </c>
      <c r="E14" s="164">
        <f>E13/E7</f>
        <v>0.33207663012722899</v>
      </c>
      <c r="F14" s="164">
        <f t="shared" ref="F14:M14" si="3">F13/F7</f>
        <v>0.28202308393585118</v>
      </c>
      <c r="G14" s="164">
        <f t="shared" si="3"/>
        <v>0.30394073314474995</v>
      </c>
      <c r="H14" s="164">
        <f t="shared" si="3"/>
        <v>0.32905558579106481</v>
      </c>
      <c r="I14" s="164">
        <f t="shared" si="3"/>
        <v>0.35285907287107099</v>
      </c>
      <c r="J14" s="164">
        <f t="shared" si="3"/>
        <v>0.31999102117399331</v>
      </c>
      <c r="K14" s="164">
        <f t="shared" si="3"/>
        <v>0.31757389938334601</v>
      </c>
      <c r="L14" s="164">
        <f t="shared" si="3"/>
        <v>0.32468406247284493</v>
      </c>
      <c r="M14" s="164">
        <f t="shared" si="3"/>
        <v>0.32883272833846389</v>
      </c>
    </row>
    <row r="16" spans="1:16">
      <c r="C16" s="33" t="s">
        <v>108</v>
      </c>
      <c r="E16" s="228">
        <f>IFERROR(SUM('Data Sheet'!G23:G24),0)</f>
        <v>856.8</v>
      </c>
      <c r="F16" s="228">
        <f>IFERROR(SUM('Data Sheet'!H23:H24),0)</f>
        <v>676.11</v>
      </c>
      <c r="G16" s="228">
        <f>IFERROR(SUM('Data Sheet'!I23:I24),0)</f>
        <v>952.36</v>
      </c>
      <c r="H16" s="228">
        <f>IFERROR(SUM('Data Sheet'!J23:J24),0)</f>
        <v>1306.56</v>
      </c>
      <c r="I16" s="228">
        <f>IFERROR(SUM('Data Sheet'!K23:K24),0)</f>
        <v>1505.43</v>
      </c>
      <c r="J16" s="25">
        <f>'Revenue Schdule'!J50</f>
        <v>1973.4754110712895</v>
      </c>
      <c r="K16" s="25">
        <f>'Revenue Schdule'!K50</f>
        <v>1765.7062699843386</v>
      </c>
      <c r="L16" s="25">
        <f>'Revenue Schdule'!L50</f>
        <v>1994.2447548665655</v>
      </c>
      <c r="M16" s="25">
        <f>'Revenue Schdule'!M50</f>
        <v>2201.6127967239358</v>
      </c>
    </row>
    <row r="17" spans="3:17">
      <c r="C17" s="34" t="s">
        <v>110</v>
      </c>
      <c r="E17" s="31">
        <f>E16/E7</f>
        <v>9.3602721558122604E-2</v>
      </c>
      <c r="F17" s="31">
        <f t="shared" ref="F17:M17" si="4">F16/F7</f>
        <v>7.7532438491574304E-2</v>
      </c>
      <c r="G17" s="31">
        <f t="shared" si="4"/>
        <v>9.2481619914098409E-2</v>
      </c>
      <c r="H17" s="31">
        <f t="shared" si="4"/>
        <v>9.046833649767555E-2</v>
      </c>
      <c r="I17" s="164">
        <f t="shared" si="4"/>
        <v>9.1040761306693738E-2</v>
      </c>
      <c r="J17" s="164">
        <f t="shared" si="4"/>
        <v>0.10408668381423233</v>
      </c>
      <c r="K17" s="31">
        <f t="shared" si="4"/>
        <v>7.8280244804229029E-2</v>
      </c>
      <c r="L17" s="31">
        <f t="shared" si="4"/>
        <v>7.4745582878585487E-2</v>
      </c>
      <c r="M17" s="31">
        <f t="shared" si="4"/>
        <v>7.2051936342518982E-2</v>
      </c>
    </row>
    <row r="18" spans="3:17">
      <c r="C18" s="32"/>
    </row>
    <row r="19" spans="3:17" ht="15.75" thickBot="1">
      <c r="C19" s="48" t="s">
        <v>109</v>
      </c>
      <c r="D19" s="43"/>
      <c r="E19" s="44">
        <f>IFERROR(E13-E16,0)</f>
        <v>2182.8900000000003</v>
      </c>
      <c r="F19" s="44">
        <f t="shared" ref="F19:M19" si="5">IFERROR(F13-F16,0)</f>
        <v>1783.23</v>
      </c>
      <c r="G19" s="44">
        <f t="shared" si="5"/>
        <v>2177.5700000000002</v>
      </c>
      <c r="H19" s="44">
        <f t="shared" si="5"/>
        <v>3445.7200000000007</v>
      </c>
      <c r="I19" s="44">
        <f t="shared" si="5"/>
        <v>4329.3699999999972</v>
      </c>
      <c r="J19" s="44">
        <f t="shared" si="5"/>
        <v>4093.5294055825052</v>
      </c>
      <c r="K19" s="44">
        <f t="shared" si="5"/>
        <v>5397.5598481391935</v>
      </c>
      <c r="L19" s="44">
        <f t="shared" si="5"/>
        <v>6668.4676575447229</v>
      </c>
      <c r="M19" s="44">
        <f t="shared" si="5"/>
        <v>7846.1718908388084</v>
      </c>
    </row>
    <row r="20" spans="3:17">
      <c r="C20" s="32"/>
    </row>
    <row r="21" spans="3:17">
      <c r="C21" s="33" t="s">
        <v>111</v>
      </c>
      <c r="D21" s="82"/>
      <c r="E21" s="230">
        <f>IFERROR('Data Sheet'!G26,0)</f>
        <v>381.54</v>
      </c>
      <c r="F21" s="230">
        <f>IFERROR('Data Sheet'!H26,0)</f>
        <v>450.73</v>
      </c>
      <c r="G21" s="230">
        <f>IFERROR('Data Sheet'!I26,0)</f>
        <v>451.93</v>
      </c>
      <c r="H21" s="230">
        <f>IFERROR('Data Sheet'!J26,0)</f>
        <v>526.21</v>
      </c>
      <c r="I21" s="230">
        <f>IFERROR('Data Sheet'!K26,0)</f>
        <v>597.6</v>
      </c>
      <c r="J21">
        <f>SUM('Data Sheet'!H45:K45)</f>
        <v>661.48</v>
      </c>
      <c r="K21" s="89">
        <f>'Depriciation schedule'!K8</f>
        <v>782.80823566388983</v>
      </c>
      <c r="L21" s="89">
        <f>'Depriciation schedule'!L8</f>
        <v>883.47294859004762</v>
      </c>
      <c r="M21" s="89">
        <f>'Depriciation schedule'!M8</f>
        <v>909.09793628988575</v>
      </c>
    </row>
    <row r="22" spans="3:17">
      <c r="C22" s="34"/>
      <c r="D22" s="82"/>
      <c r="E22" s="184">
        <f>E21/E7</f>
        <v>4.1682052268074352E-2</v>
      </c>
      <c r="F22" s="31">
        <f t="shared" ref="F22:M22" si="6">F21/F7</f>
        <v>5.1687145584752903E-2</v>
      </c>
      <c r="G22" s="31">
        <f t="shared" si="6"/>
        <v>4.3885944902955283E-2</v>
      </c>
      <c r="H22" s="31">
        <f t="shared" si="6"/>
        <v>3.643563506340456E-2</v>
      </c>
      <c r="I22" s="164">
        <f t="shared" si="6"/>
        <v>3.6139813180872025E-2</v>
      </c>
      <c r="J22" s="164">
        <f t="shared" si="6"/>
        <v>3.4888329098594094E-2</v>
      </c>
      <c r="K22" s="31">
        <f t="shared" si="6"/>
        <v>3.4704764526366796E-2</v>
      </c>
      <c r="L22" s="31">
        <f t="shared" si="6"/>
        <v>3.3113137361238359E-2</v>
      </c>
      <c r="M22" s="31">
        <f t="shared" si="6"/>
        <v>2.9751946723848767E-2</v>
      </c>
    </row>
    <row r="23" spans="3:17">
      <c r="C23" s="33" t="s">
        <v>112</v>
      </c>
      <c r="E23" s="228">
        <f t="shared" ref="E23:M23" si="7">E19-E21</f>
        <v>1801.3500000000004</v>
      </c>
      <c r="F23" s="228">
        <f t="shared" si="7"/>
        <v>1332.5</v>
      </c>
      <c r="G23" s="228">
        <f t="shared" si="7"/>
        <v>1725.64</v>
      </c>
      <c r="H23" s="228">
        <f t="shared" si="7"/>
        <v>2919.5100000000007</v>
      </c>
      <c r="I23" s="228">
        <f t="shared" si="7"/>
        <v>3731.7699999999973</v>
      </c>
      <c r="J23" s="25">
        <f t="shared" si="7"/>
        <v>3432.0494055825052</v>
      </c>
      <c r="K23" s="25">
        <f t="shared" si="7"/>
        <v>4614.7516124753038</v>
      </c>
      <c r="L23" s="25">
        <f t="shared" si="7"/>
        <v>5784.9947089546749</v>
      </c>
      <c r="M23" s="25">
        <f t="shared" si="7"/>
        <v>6937.0739545489223</v>
      </c>
    </row>
    <row r="24" spans="3:17">
      <c r="C24" s="33" t="s">
        <v>9</v>
      </c>
      <c r="E24" s="228">
        <f>IFERROR('Data Sheet'!G25,0)</f>
        <v>572.41999999999996</v>
      </c>
      <c r="F24" s="228">
        <f>IFERROR('Data Sheet'!H25,0)</f>
        <v>482.34</v>
      </c>
      <c r="G24" s="228">
        <f>IFERROR('Data Sheet'!I25,0)</f>
        <v>495.65</v>
      </c>
      <c r="H24" s="228">
        <f>IFERROR('Data Sheet'!J25,0)</f>
        <v>908.14</v>
      </c>
      <c r="I24" s="228">
        <f>IFERROR('Data Sheet'!K25,0)</f>
        <v>1521.13</v>
      </c>
      <c r="J24" s="25">
        <f>'Growth drivers'!F43</f>
        <v>2044.9474813550758</v>
      </c>
      <c r="K24" s="114">
        <f>'Growth drivers'!G43</f>
        <v>3005.6488612510361</v>
      </c>
      <c r="L24" s="114">
        <f>'Growth drivers'!H43</f>
        <v>4749.9537424025139</v>
      </c>
      <c r="M24" s="114">
        <f>'Growth drivers'!I43</f>
        <v>7207.4500132984222</v>
      </c>
    </row>
    <row r="25" spans="3:17">
      <c r="C25" s="32"/>
      <c r="E25" s="25"/>
      <c r="F25" s="25"/>
      <c r="G25" s="25"/>
      <c r="H25" s="25"/>
      <c r="I25" s="25"/>
      <c r="J25" s="25"/>
    </row>
    <row r="26" spans="3:17">
      <c r="C26" s="33" t="s">
        <v>11</v>
      </c>
      <c r="E26" s="230">
        <f>IFERROR('Data Sheet'!G27,0)</f>
        <v>18.88</v>
      </c>
      <c r="F26" s="230">
        <f>IFERROR('Data Sheet'!H27,0)</f>
        <v>16.45</v>
      </c>
      <c r="G26" s="230">
        <f>IFERROR('Data Sheet'!I27,0)</f>
        <v>18.78</v>
      </c>
      <c r="H26" s="230">
        <f>IFERROR('Data Sheet'!J27,0)</f>
        <v>28.02</v>
      </c>
      <c r="I26" s="230">
        <f>IFERROR('Data Sheet'!K27,0)</f>
        <v>50.88</v>
      </c>
      <c r="J26">
        <f>IFERROR(SUM('Data Sheet'!H46:K46),0)</f>
        <v>53.18</v>
      </c>
      <c r="K26" s="89">
        <f>'Growth drivers'!G33</f>
        <v>43.785126481429977</v>
      </c>
      <c r="L26" s="89">
        <f>'Growth drivers'!H33</f>
        <v>50.372293976171761</v>
      </c>
      <c r="M26" s="89">
        <f>'Growth drivers'!I33</f>
        <v>55.885178052558921</v>
      </c>
      <c r="Q26" s="75"/>
    </row>
    <row r="27" spans="3:17">
      <c r="C27" s="32"/>
    </row>
    <row r="28" spans="3:17" ht="15.75" thickBot="1">
      <c r="C28" s="48" t="s">
        <v>113</v>
      </c>
      <c r="D28" s="43"/>
      <c r="E28" s="44">
        <f>SUM(E23:E24)-E26</f>
        <v>2354.8900000000003</v>
      </c>
      <c r="F28" s="44">
        <f t="shared" ref="F28:M28" si="8">SUM(F23:F24)-F26</f>
        <v>1798.3899999999999</v>
      </c>
      <c r="G28" s="44">
        <f t="shared" si="8"/>
        <v>2202.5099999999998</v>
      </c>
      <c r="H28" s="44">
        <f t="shared" si="8"/>
        <v>3799.6300000000006</v>
      </c>
      <c r="I28" s="44">
        <f t="shared" si="8"/>
        <v>5202.0199999999977</v>
      </c>
      <c r="J28" s="44">
        <f t="shared" si="8"/>
        <v>5423.8168869375804</v>
      </c>
      <c r="K28" s="115">
        <f t="shared" si="8"/>
        <v>7576.6153472449105</v>
      </c>
      <c r="L28" s="115">
        <f t="shared" si="8"/>
        <v>10484.576157381016</v>
      </c>
      <c r="M28" s="115">
        <f t="shared" si="8"/>
        <v>14088.638789794786</v>
      </c>
    </row>
    <row r="29" spans="3:17">
      <c r="C29" s="182"/>
      <c r="O29" s="183"/>
      <c r="P29" s="183"/>
      <c r="Q29" s="183"/>
    </row>
    <row r="30" spans="3:17">
      <c r="C30" s="33" t="s">
        <v>13</v>
      </c>
      <c r="E30" s="230">
        <f>IFERROR('Data Sheet'!G29,0)</f>
        <v>527.45000000000005</v>
      </c>
      <c r="F30" s="230">
        <f>IFERROR('Data Sheet'!H29,0)</f>
        <v>451.5</v>
      </c>
      <c r="G30" s="230">
        <f>IFERROR('Data Sheet'!I29,0)</f>
        <v>525.91</v>
      </c>
      <c r="H30" s="230">
        <f>IFERROR('Data Sheet'!J29,0)</f>
        <v>885.69</v>
      </c>
      <c r="I30" s="230">
        <f>IFERROR('Data Sheet'!K29,0)</f>
        <v>1201.01</v>
      </c>
      <c r="J30">
        <f>IFERROR(SUM('Data Sheet'!H48:K48),0)</f>
        <v>1217.77</v>
      </c>
      <c r="K30" s="25">
        <f>K28*K31</f>
        <v>1894.1538368112276</v>
      </c>
      <c r="L30" s="25">
        <f t="shared" ref="L30:M30" si="9">L28*L31</f>
        <v>2621.144039345254</v>
      </c>
      <c r="M30" s="25">
        <f t="shared" si="9"/>
        <v>3522.1596974486965</v>
      </c>
    </row>
    <row r="31" spans="3:17">
      <c r="C31" s="185"/>
      <c r="E31" s="31">
        <f>E30/E28</f>
        <v>0.22398073795378975</v>
      </c>
      <c r="F31" s="31">
        <f t="shared" ref="F31:J31" si="10">F30/F28</f>
        <v>0.25105789066887607</v>
      </c>
      <c r="G31" s="31">
        <f t="shared" si="10"/>
        <v>0.23877757649227474</v>
      </c>
      <c r="H31" s="31">
        <f t="shared" si="10"/>
        <v>0.23309901227224755</v>
      </c>
      <c r="I31" s="164">
        <f t="shared" si="10"/>
        <v>0.23087377595626324</v>
      </c>
      <c r="J31" s="164">
        <f t="shared" si="10"/>
        <v>0.22452269783163398</v>
      </c>
      <c r="K31" s="31">
        <f>'Growth drivers'!F35</f>
        <v>0.25</v>
      </c>
      <c r="L31" s="31">
        <f>'Growth drivers'!G35</f>
        <v>0.25</v>
      </c>
      <c r="M31" s="31">
        <f>'Growth drivers'!H35</f>
        <v>0.25</v>
      </c>
      <c r="O31" s="183"/>
      <c r="P31" s="183"/>
      <c r="Q31" s="183"/>
    </row>
    <row r="32" spans="3:17">
      <c r="C32" s="32"/>
      <c r="E32" s="31"/>
      <c r="F32" s="31"/>
      <c r="G32" s="31"/>
      <c r="H32" s="31"/>
      <c r="I32" s="164"/>
      <c r="J32" s="164"/>
      <c r="K32" s="31"/>
      <c r="L32" s="31"/>
      <c r="M32" s="31"/>
    </row>
    <row r="33" spans="1:13">
      <c r="C33" s="47" t="s">
        <v>114</v>
      </c>
      <c r="D33" s="38"/>
      <c r="E33" s="39">
        <f>E28-E30</f>
        <v>1827.4400000000003</v>
      </c>
      <c r="F33" s="39">
        <f t="shared" ref="F33:J33" si="11">F28-F30</f>
        <v>1346.8899999999999</v>
      </c>
      <c r="G33" s="39">
        <f t="shared" si="11"/>
        <v>1676.6</v>
      </c>
      <c r="H33" s="39">
        <f t="shared" si="11"/>
        <v>2913.9400000000005</v>
      </c>
      <c r="I33" s="39">
        <f t="shared" si="11"/>
        <v>4001.0099999999975</v>
      </c>
      <c r="J33" s="39">
        <f t="shared" si="11"/>
        <v>4206.04688693758</v>
      </c>
      <c r="K33" s="39">
        <f>K28-K30</f>
        <v>5682.4615104336826</v>
      </c>
      <c r="L33" s="39">
        <f t="shared" ref="L33:M33" si="12">L28-L30</f>
        <v>7863.432118035762</v>
      </c>
      <c r="M33" s="39">
        <f t="shared" si="12"/>
        <v>10566.47909234609</v>
      </c>
    </row>
    <row r="34" spans="1:13">
      <c r="C34" s="34" t="s">
        <v>429</v>
      </c>
      <c r="E34" s="25"/>
      <c r="F34" s="164">
        <f>F33/E33-1</f>
        <v>-0.26296348990938156</v>
      </c>
      <c r="G34" s="164">
        <f t="shared" ref="G34:M34" si="13">G33/F33-1</f>
        <v>0.24479356146381659</v>
      </c>
      <c r="H34" s="164">
        <f t="shared" si="13"/>
        <v>0.73800548729571802</v>
      </c>
      <c r="I34" s="164">
        <f t="shared" si="13"/>
        <v>0.3730584706617146</v>
      </c>
      <c r="J34" s="164">
        <f t="shared" si="13"/>
        <v>5.1246282048178493E-2</v>
      </c>
      <c r="K34" s="164">
        <f t="shared" si="13"/>
        <v>0.35102191278021611</v>
      </c>
      <c r="L34" s="164">
        <f t="shared" si="13"/>
        <v>0.38380737002750576</v>
      </c>
      <c r="M34" s="164">
        <f t="shared" si="13"/>
        <v>0.34374900599835434</v>
      </c>
    </row>
    <row r="35" spans="1:13" ht="15.75" thickBot="1">
      <c r="C35" s="40" t="s">
        <v>120</v>
      </c>
      <c r="D35" s="41"/>
      <c r="E35" s="42">
        <f t="shared" ref="E35:M35" si="14">E33/E7</f>
        <v>0.19964210724110132</v>
      </c>
      <c r="F35" s="42">
        <f t="shared" si="14"/>
        <v>0.15445366298371049</v>
      </c>
      <c r="G35" s="42">
        <f t="shared" si="14"/>
        <v>0.16281099998737597</v>
      </c>
      <c r="H35" s="42">
        <f t="shared" si="14"/>
        <v>0.20176593838326351</v>
      </c>
      <c r="I35" s="42">
        <f t="shared" si="14"/>
        <v>0.24196076628982713</v>
      </c>
      <c r="J35" s="42">
        <f t="shared" si="14"/>
        <v>0.22183882807582309</v>
      </c>
      <c r="K35" s="42">
        <f t="shared" si="14"/>
        <v>0.25192439177967196</v>
      </c>
      <c r="L35" s="42">
        <f t="shared" si="14"/>
        <v>0.2947265202300105</v>
      </c>
      <c r="M35" s="42">
        <f t="shared" si="14"/>
        <v>0.3458079822479081</v>
      </c>
    </row>
    <row r="36" spans="1:13">
      <c r="C36" s="37"/>
      <c r="E36" s="25"/>
      <c r="F36" s="25"/>
      <c r="G36" s="25"/>
      <c r="H36" s="25"/>
      <c r="I36" s="25"/>
      <c r="J36" s="25"/>
    </row>
    <row r="37" spans="1:13">
      <c r="C37" s="33" t="s">
        <v>117</v>
      </c>
      <c r="E37" s="231">
        <f>'Data Sheet'!G93</f>
        <v>27.31</v>
      </c>
      <c r="F37" s="231">
        <f>'Data Sheet'!H93</f>
        <v>27.33</v>
      </c>
      <c r="G37" s="231">
        <f>'Data Sheet'!I93</f>
        <v>27.34</v>
      </c>
      <c r="H37" s="231">
        <f>'Data Sheet'!J93</f>
        <v>27.35</v>
      </c>
      <c r="I37" s="231">
        <f>'Data Sheet'!K93</f>
        <v>27.38</v>
      </c>
      <c r="J37" s="46">
        <f>I37</f>
        <v>27.38</v>
      </c>
      <c r="K37" s="46">
        <f t="shared" ref="K37:M37" si="15">J37</f>
        <v>27.38</v>
      </c>
      <c r="L37" s="46">
        <f t="shared" si="15"/>
        <v>27.38</v>
      </c>
      <c r="M37" s="46">
        <f t="shared" si="15"/>
        <v>27.38</v>
      </c>
    </row>
    <row r="38" spans="1:13">
      <c r="C38" s="32"/>
    </row>
    <row r="39" spans="1:13">
      <c r="C39" s="33" t="s">
        <v>119</v>
      </c>
      <c r="E39" s="45">
        <f>E33/E37</f>
        <v>66.914683266202871</v>
      </c>
      <c r="F39" s="45">
        <f t="shared" ref="F39:M39" si="16">F33/F37</f>
        <v>49.282473472374676</v>
      </c>
      <c r="G39" s="45">
        <f t="shared" si="16"/>
        <v>61.324067300658371</v>
      </c>
      <c r="H39" s="45">
        <f t="shared" si="16"/>
        <v>106.54259597806217</v>
      </c>
      <c r="I39" s="45">
        <f t="shared" si="16"/>
        <v>146.12892622352072</v>
      </c>
      <c r="J39" s="45">
        <f t="shared" si="16"/>
        <v>153.61749039216875</v>
      </c>
      <c r="K39" s="45">
        <f t="shared" si="16"/>
        <v>207.54059570612429</v>
      </c>
      <c r="L39" s="45">
        <f t="shared" si="16"/>
        <v>287.19620591803368</v>
      </c>
      <c r="M39" s="45">
        <f t="shared" si="16"/>
        <v>385.91961622885646</v>
      </c>
    </row>
    <row r="40" spans="1:13">
      <c r="C40" s="32"/>
    </row>
    <row r="41" spans="1:13">
      <c r="C41" s="33" t="s">
        <v>121</v>
      </c>
      <c r="E41" s="5">
        <f>'Profit &amp; Loss'!G18</f>
        <v>0.18673663704417107</v>
      </c>
      <c r="F41" s="5">
        <f>'Profit &amp; Loss'!H18</f>
        <v>0.34495021865185721</v>
      </c>
      <c r="G41" s="5">
        <f>'Profit &amp; Loss'!I18</f>
        <v>0.34244303948467136</v>
      </c>
      <c r="H41" s="5">
        <f>'Profit &amp; Loss'!J18</f>
        <v>0.34727894191369763</v>
      </c>
      <c r="I41" s="5">
        <f>'Profit &amp; Loss'!K18</f>
        <v>0.34900687576386963</v>
      </c>
      <c r="J41" s="225">
        <v>0.3</v>
      </c>
      <c r="K41" s="226">
        <v>0.3</v>
      </c>
      <c r="L41" s="226">
        <v>0.3</v>
      </c>
      <c r="M41" s="226">
        <v>0.3</v>
      </c>
    </row>
    <row r="42" spans="1:13">
      <c r="C42" s="32"/>
    </row>
    <row r="43" spans="1:13">
      <c r="C43" s="33" t="s">
        <v>122</v>
      </c>
      <c r="E43" s="25">
        <f>E33*E41</f>
        <v>341.25</v>
      </c>
      <c r="F43" s="25">
        <f t="shared" ref="F43:J43" si="17">F33*F41</f>
        <v>464.6099999999999</v>
      </c>
      <c r="G43" s="25">
        <f t="shared" si="17"/>
        <v>574.14</v>
      </c>
      <c r="H43" s="25">
        <f t="shared" si="17"/>
        <v>1011.9500000000003</v>
      </c>
      <c r="I43" s="25">
        <f t="shared" si="17"/>
        <v>1396.3799999999992</v>
      </c>
      <c r="J43" s="25">
        <f t="shared" si="17"/>
        <v>1261.8140660812739</v>
      </c>
      <c r="K43" s="25">
        <f>K33*K41</f>
        <v>1704.7384531301047</v>
      </c>
      <c r="L43" s="25">
        <f t="shared" ref="L43:M43" si="18">L33*L41</f>
        <v>2359.0296354107286</v>
      </c>
      <c r="M43" s="25">
        <f t="shared" si="18"/>
        <v>3169.9437277038269</v>
      </c>
    </row>
    <row r="44" spans="1:13">
      <c r="C44" s="32"/>
    </row>
    <row r="45" spans="1:13">
      <c r="C45" s="33" t="s">
        <v>123</v>
      </c>
      <c r="E45" s="25"/>
      <c r="F45" s="25">
        <f t="shared" ref="F45:J45" si="19">F33*(1-F41)</f>
        <v>882.28000000000009</v>
      </c>
      <c r="G45" s="25">
        <f t="shared" si="19"/>
        <v>1102.46</v>
      </c>
      <c r="H45" s="25">
        <f t="shared" si="19"/>
        <v>1901.99</v>
      </c>
      <c r="I45" s="25">
        <f t="shared" si="19"/>
        <v>2604.6299999999987</v>
      </c>
      <c r="J45" s="25">
        <f t="shared" si="19"/>
        <v>2944.2328208563058</v>
      </c>
      <c r="K45" s="25">
        <f>K33-K43</f>
        <v>3977.7230573035777</v>
      </c>
      <c r="L45" s="25">
        <f t="shared" ref="L45:M45" si="20">L33-L43</f>
        <v>5504.4024826250334</v>
      </c>
      <c r="M45" s="25">
        <f t="shared" si="20"/>
        <v>7396.5353646422627</v>
      </c>
    </row>
    <row r="46" spans="1:13">
      <c r="E46" s="25"/>
      <c r="F46" s="25"/>
      <c r="G46" s="25"/>
      <c r="H46" s="25"/>
      <c r="I46" s="25"/>
      <c r="J46" s="25" t="s">
        <v>220</v>
      </c>
    </row>
    <row r="47" spans="1:13" ht="27" thickBot="1">
      <c r="A47" t="s">
        <v>116</v>
      </c>
      <c r="C47" s="65" t="s">
        <v>124</v>
      </c>
    </row>
    <row r="48" spans="1:13" ht="21">
      <c r="C48" s="221" t="s">
        <v>102</v>
      </c>
      <c r="D48" s="227"/>
      <c r="E48" s="297" t="s">
        <v>94</v>
      </c>
      <c r="F48" s="297" t="s">
        <v>95</v>
      </c>
      <c r="G48" s="297" t="s">
        <v>96</v>
      </c>
      <c r="H48" s="297" t="s">
        <v>97</v>
      </c>
      <c r="I48" s="297" t="s">
        <v>98</v>
      </c>
      <c r="J48" s="297" t="s">
        <v>103</v>
      </c>
      <c r="K48" s="297" t="s">
        <v>99</v>
      </c>
      <c r="L48" s="297" t="s">
        <v>100</v>
      </c>
      <c r="M48" s="298" t="s">
        <v>101</v>
      </c>
    </row>
    <row r="49" spans="3:19">
      <c r="C49" s="32"/>
    </row>
    <row r="50" spans="3:19">
      <c r="C50" s="32" t="s">
        <v>24</v>
      </c>
      <c r="E50" s="228">
        <v>27.3</v>
      </c>
      <c r="F50" s="228">
        <v>27.33</v>
      </c>
      <c r="G50" s="228">
        <v>27.34</v>
      </c>
      <c r="H50" s="228">
        <v>27.35</v>
      </c>
      <c r="I50" s="228">
        <v>27.38</v>
      </c>
      <c r="J50" s="228">
        <v>27.38</v>
      </c>
      <c r="K50" s="228">
        <v>27.38</v>
      </c>
      <c r="L50" s="228">
        <v>27.38</v>
      </c>
      <c r="M50" s="228">
        <v>27.38</v>
      </c>
    </row>
    <row r="51" spans="3:19">
      <c r="C51" s="32" t="s">
        <v>25</v>
      </c>
      <c r="E51" s="228">
        <v>9953.6299999999992</v>
      </c>
      <c r="F51" s="228">
        <v>11410.75</v>
      </c>
      <c r="G51" s="228">
        <v>12580.66</v>
      </c>
      <c r="H51" s="228">
        <v>14962.93</v>
      </c>
      <c r="I51" s="228">
        <v>18018.150000000001</v>
      </c>
      <c r="J51" s="25">
        <f>I51+J33-J43</f>
        <v>20962.382820856306</v>
      </c>
      <c r="K51" s="25">
        <f t="shared" ref="K51:M51" si="21">J51+K33-K43</f>
        <v>24940.105878159888</v>
      </c>
      <c r="L51" s="114">
        <f t="shared" si="21"/>
        <v>30444.508360784923</v>
      </c>
      <c r="M51" s="114">
        <f t="shared" si="21"/>
        <v>37841.043725427182</v>
      </c>
    </row>
    <row r="52" spans="3:19">
      <c r="C52" s="32" t="s">
        <v>71</v>
      </c>
      <c r="E52" s="228">
        <v>249</v>
      </c>
      <c r="F52" s="228">
        <v>219.25</v>
      </c>
      <c r="G52" s="228">
        <v>107.71</v>
      </c>
      <c r="H52" s="228">
        <v>288.41000000000003</v>
      </c>
      <c r="I52" s="228">
        <v>419.44</v>
      </c>
      <c r="J52" s="25">
        <f>'Depriciation schedule'!J64</f>
        <v>419.44</v>
      </c>
      <c r="K52" s="25">
        <f>'Depriciation schedule'!K64</f>
        <v>419.44</v>
      </c>
      <c r="L52" s="114">
        <f>'Depriciation schedule'!L64</f>
        <v>419.44</v>
      </c>
      <c r="M52" s="114">
        <f>'Depriciation schedule'!M64</f>
        <v>419.44</v>
      </c>
    </row>
    <row r="53" spans="3:19">
      <c r="C53" s="32" t="s">
        <v>163</v>
      </c>
      <c r="E53" s="228">
        <v>1211.79</v>
      </c>
      <c r="F53" s="228">
        <v>1388.2800000000002</v>
      </c>
      <c r="G53" s="228">
        <v>1636.12</v>
      </c>
      <c r="H53" s="228">
        <v>2108.9499999999998</v>
      </c>
      <c r="I53" s="228">
        <v>2560.16</v>
      </c>
      <c r="J53" s="25"/>
      <c r="K53" s="25"/>
      <c r="L53" s="114"/>
      <c r="M53" s="114"/>
    </row>
    <row r="54" spans="3:19">
      <c r="C54" s="32" t="s">
        <v>162</v>
      </c>
      <c r="E54" s="228">
        <v>1008</v>
      </c>
      <c r="F54" s="228">
        <v>1513</v>
      </c>
      <c r="G54" s="228">
        <v>1788</v>
      </c>
      <c r="H54" s="228">
        <v>1810</v>
      </c>
      <c r="I54" s="228">
        <v>2090</v>
      </c>
      <c r="J54" s="25">
        <f>'working capital schedle'!J14</f>
        <v>2676.7549588572751</v>
      </c>
      <c r="K54" s="25">
        <f>'working capital schedle'!K14</f>
        <v>3327.3890354104883</v>
      </c>
      <c r="L54" s="25">
        <f>'working capital schedle'!L14</f>
        <v>3802.9095070801895</v>
      </c>
      <c r="M54" s="25">
        <f>'working capital schedle'!M14</f>
        <v>4171.1243028909903</v>
      </c>
    </row>
    <row r="55" spans="3:19" ht="15.75" thickBot="1">
      <c r="C55" s="48" t="s">
        <v>125</v>
      </c>
      <c r="D55" s="43"/>
      <c r="E55" s="62">
        <f>IFERROR(SUM(E50:E54),0)</f>
        <v>12449.719999999998</v>
      </c>
      <c r="F55" s="62">
        <f t="shared" ref="F55:M55" si="22">IFERROR(SUM(F50:F54),0)</f>
        <v>14558.61</v>
      </c>
      <c r="G55" s="62">
        <f t="shared" si="22"/>
        <v>16139.829999999998</v>
      </c>
      <c r="H55" s="62">
        <f t="shared" si="22"/>
        <v>19197.64</v>
      </c>
      <c r="I55" s="62">
        <f t="shared" si="22"/>
        <v>23115.13</v>
      </c>
      <c r="J55" s="62">
        <f t="shared" si="22"/>
        <v>24085.957779713583</v>
      </c>
      <c r="K55" s="62">
        <f t="shared" si="22"/>
        <v>28714.314913570375</v>
      </c>
      <c r="L55" s="62">
        <f t="shared" si="22"/>
        <v>34694.237867865115</v>
      </c>
      <c r="M55" s="62">
        <f t="shared" si="22"/>
        <v>42458.98802831817</v>
      </c>
    </row>
    <row r="56" spans="3:19">
      <c r="C56" s="32"/>
      <c r="E56" s="25"/>
      <c r="F56" s="25"/>
      <c r="G56" s="25"/>
      <c r="H56" s="25"/>
      <c r="I56" s="25"/>
      <c r="J56" s="25"/>
      <c r="K56" s="25"/>
      <c r="L56" s="25"/>
      <c r="M56" s="25"/>
      <c r="P56" s="25" t="s">
        <v>220</v>
      </c>
      <c r="Q56" s="25"/>
      <c r="R56" s="25"/>
      <c r="S56" s="25"/>
    </row>
    <row r="57" spans="3:19">
      <c r="C57" t="s">
        <v>27</v>
      </c>
      <c r="D57" s="52"/>
      <c r="E57" s="228">
        <v>2377.52</v>
      </c>
      <c r="F57" s="228">
        <v>2433.3000000000002</v>
      </c>
      <c r="G57" s="228">
        <v>2424.2800000000002</v>
      </c>
      <c r="H57" s="228">
        <v>2689.99</v>
      </c>
      <c r="I57" s="228">
        <v>2914.38</v>
      </c>
      <c r="J57" s="25">
        <f>'Depriciation schedule'!J32</f>
        <v>3312.8430104904023</v>
      </c>
      <c r="K57" s="25">
        <f>'Depriciation schedule'!K32</f>
        <v>3997.4027140666085</v>
      </c>
      <c r="L57" s="25">
        <f>'Depriciation schedule'!L32</f>
        <v>4010.1220334917352</v>
      </c>
      <c r="M57" s="25">
        <f>'Depriciation schedule'!M32</f>
        <v>4069.8986605364662</v>
      </c>
    </row>
    <row r="58" spans="3:19">
      <c r="C58" t="s">
        <v>28</v>
      </c>
      <c r="D58" s="52"/>
      <c r="E58" s="228">
        <v>312.17</v>
      </c>
      <c r="F58" s="228">
        <v>314.29000000000002</v>
      </c>
      <c r="G58" s="228">
        <v>504.78</v>
      </c>
      <c r="H58" s="228">
        <v>472.07</v>
      </c>
      <c r="I58" s="228">
        <v>555.1</v>
      </c>
      <c r="J58" s="25">
        <f>'Depriciation schedule'!J50</f>
        <v>655.56919725150169</v>
      </c>
      <c r="K58" s="114">
        <f>'Depriciation schedule'!K50</f>
        <v>802.77294602307541</v>
      </c>
      <c r="L58" s="114">
        <f>'Depriciation schedule'!L50</f>
        <v>906.45524906949754</v>
      </c>
      <c r="M58" s="114">
        <f>'Depriciation schedule'!M50</f>
        <v>1067.4817040005819</v>
      </c>
    </row>
    <row r="59" spans="3:19">
      <c r="C59" t="s">
        <v>29</v>
      </c>
      <c r="D59" s="52"/>
      <c r="E59" s="228">
        <v>5748.77</v>
      </c>
      <c r="F59" s="228">
        <v>3902.14</v>
      </c>
      <c r="G59" s="228">
        <v>7720.58</v>
      </c>
      <c r="H59" s="228">
        <v>12320.66</v>
      </c>
      <c r="I59" s="228">
        <v>13526.96</v>
      </c>
      <c r="J59" s="25">
        <f>'Depriciation schedule'!J41</f>
        <v>18095.88590560895</v>
      </c>
      <c r="K59" s="114">
        <f>'Depriciation schedule'!K41</f>
        <v>24208.032455837576</v>
      </c>
      <c r="L59" s="114">
        <f>'Depriciation schedule'!L41</f>
        <v>32384.644688837347</v>
      </c>
      <c r="M59" s="114">
        <f>'Depriciation schedule'!M41</f>
        <v>43323.025674866003</v>
      </c>
      <c r="O59" s="82">
        <v>1</v>
      </c>
      <c r="P59" s="167" t="s">
        <v>449</v>
      </c>
      <c r="Q59" s="167">
        <v>1</v>
      </c>
    </row>
    <row r="60" spans="3:19" ht="15.75" thickBot="1">
      <c r="C60" s="63" t="s">
        <v>156</v>
      </c>
      <c r="D60" s="43"/>
      <c r="E60" s="62">
        <f>IFERROR(SUM(E57:E59),0)</f>
        <v>8438.4600000000009</v>
      </c>
      <c r="F60" s="62">
        <f t="shared" ref="F60:M60" si="23">IFERROR(SUM(F57:F59),0)</f>
        <v>6649.73</v>
      </c>
      <c r="G60" s="62">
        <f t="shared" si="23"/>
        <v>10649.64</v>
      </c>
      <c r="H60" s="62">
        <f t="shared" si="23"/>
        <v>15482.72</v>
      </c>
      <c r="I60" s="62">
        <f t="shared" si="23"/>
        <v>16996.439999999999</v>
      </c>
      <c r="J60" s="62">
        <f t="shared" si="23"/>
        <v>22064.298113350855</v>
      </c>
      <c r="K60" s="62">
        <f t="shared" si="23"/>
        <v>29008.20811592726</v>
      </c>
      <c r="L60" s="62">
        <f t="shared" si="23"/>
        <v>37301.221971398583</v>
      </c>
      <c r="M60" s="62">
        <f t="shared" si="23"/>
        <v>48460.406039403053</v>
      </c>
      <c r="O60" s="82">
        <v>2</v>
      </c>
    </row>
    <row r="61" spans="3:19">
      <c r="D61" s="52"/>
      <c r="E61" s="25"/>
      <c r="F61" s="25"/>
      <c r="G61" s="25"/>
      <c r="H61" s="25"/>
      <c r="I61" s="25"/>
      <c r="J61" s="25"/>
      <c r="K61" s="25"/>
      <c r="L61" s="25"/>
      <c r="M61" s="25"/>
    </row>
    <row r="62" spans="3:19">
      <c r="C62" s="6" t="s">
        <v>78</v>
      </c>
      <c r="D62" s="52"/>
      <c r="E62" s="228">
        <v>86.76</v>
      </c>
      <c r="F62" s="228">
        <v>158.16</v>
      </c>
      <c r="G62" s="228">
        <v>302.04000000000002</v>
      </c>
      <c r="H62" s="228">
        <v>368.92</v>
      </c>
      <c r="I62" s="228">
        <v>373.78</v>
      </c>
      <c r="J62" s="25">
        <f>'working capital schedle'!J12</f>
        <v>398.51683012430993</v>
      </c>
      <c r="K62" s="25">
        <f>'working capital schedle'!K12</f>
        <v>526.16971323240909</v>
      </c>
      <c r="L62" s="25">
        <f>'working capital schedle'!L12</f>
        <v>650.07058929195739</v>
      </c>
      <c r="M62" s="25">
        <f>'working capital schedle'!M12</f>
        <v>714.15249404007272</v>
      </c>
    </row>
    <row r="63" spans="3:19">
      <c r="C63" s="6" t="s">
        <v>45</v>
      </c>
      <c r="D63" s="52"/>
      <c r="E63" s="228">
        <v>572.35</v>
      </c>
      <c r="F63" s="228">
        <v>874.6</v>
      </c>
      <c r="G63" s="228">
        <v>1132.4000000000001</v>
      </c>
      <c r="H63" s="228">
        <v>1278.44</v>
      </c>
      <c r="I63" s="228">
        <v>1409.64</v>
      </c>
      <c r="J63" s="25">
        <f>'working capital schedle'!J13</f>
        <v>1688.8485027419952</v>
      </c>
      <c r="K63" s="25">
        <f>'working capital schedle'!K13</f>
        <v>2131.3935577561961</v>
      </c>
      <c r="L63" s="25">
        <f>'working capital schedle'!L13</f>
        <v>2490.4219586001127</v>
      </c>
      <c r="M63" s="25">
        <f>'working capital schedle'!M13</f>
        <v>2753.5935144032433</v>
      </c>
    </row>
    <row r="64" spans="3:19">
      <c r="C64" s="4" t="s">
        <v>87</v>
      </c>
      <c r="D64" s="52"/>
      <c r="E64" s="228">
        <v>2950.59</v>
      </c>
      <c r="F64" s="228">
        <v>5830.36</v>
      </c>
      <c r="G64" s="228">
        <v>2722.47</v>
      </c>
      <c r="H64" s="228">
        <v>765.58</v>
      </c>
      <c r="I64" s="228">
        <v>146.31</v>
      </c>
      <c r="J64" s="25">
        <f>J126</f>
        <v>-2914.9556665035789</v>
      </c>
      <c r="K64" s="114">
        <f t="shared" ref="K64:M64" si="24">K126</f>
        <v>-7685.4654366381528</v>
      </c>
      <c r="L64" s="114">
        <f t="shared" si="24"/>
        <v>-13109.216821558197</v>
      </c>
      <c r="M64" s="114">
        <f t="shared" si="24"/>
        <v>-20358.576771185937</v>
      </c>
    </row>
    <row r="65" spans="3:13">
      <c r="C65" s="61" t="s">
        <v>159</v>
      </c>
      <c r="D65" s="52"/>
      <c r="E65" s="228">
        <v>401.55999999999995</v>
      </c>
      <c r="F65" s="228">
        <v>1045.7600000000002</v>
      </c>
      <c r="G65" s="228">
        <v>1333.2799999999997</v>
      </c>
      <c r="H65" s="228">
        <v>1301.98</v>
      </c>
      <c r="I65" s="228">
        <v>4188.9599999999991</v>
      </c>
      <c r="J65" s="25"/>
      <c r="K65" s="114"/>
      <c r="L65" s="114"/>
      <c r="M65" s="114"/>
    </row>
    <row r="66" spans="3:13">
      <c r="C66" s="168" t="str">
        <f>IF(Q59=1,"Mismatch entry"," ")</f>
        <v>Mismatch entry</v>
      </c>
      <c r="D66" s="169"/>
      <c r="E66" s="170">
        <f>IF($Q$59=1,E75," ")</f>
        <v>0</v>
      </c>
      <c r="F66" s="170">
        <f t="shared" ref="F66:M66" si="25">IF($Q$59=1,F75," ")</f>
        <v>0</v>
      </c>
      <c r="G66" s="170">
        <f t="shared" si="25"/>
        <v>0</v>
      </c>
      <c r="H66" s="170">
        <f t="shared" si="25"/>
        <v>0</v>
      </c>
      <c r="I66" s="170">
        <f t="shared" si="25"/>
        <v>0</v>
      </c>
      <c r="J66" s="170">
        <f t="shared" si="25"/>
        <v>2849.2500000000036</v>
      </c>
      <c r="K66" s="170">
        <f t="shared" si="25"/>
        <v>4734.0089632926683</v>
      </c>
      <c r="L66" s="170">
        <f t="shared" si="25"/>
        <v>7361.7401701326598</v>
      </c>
      <c r="M66" s="170">
        <f t="shared" si="25"/>
        <v>10889.412751657739</v>
      </c>
    </row>
    <row r="67" spans="3:13" ht="15.75" thickBot="1">
      <c r="C67" s="63" t="s">
        <v>157</v>
      </c>
      <c r="D67" s="64"/>
      <c r="E67" s="62">
        <f>IFERROR(SUM(E62:E66),0)</f>
        <v>4011.26</v>
      </c>
      <c r="F67" s="62">
        <f t="shared" ref="F67:M67" si="26">IFERROR(SUM(F62:F66),0)</f>
        <v>7908.88</v>
      </c>
      <c r="G67" s="62">
        <f t="shared" si="26"/>
        <v>5490.19</v>
      </c>
      <c r="H67" s="62">
        <f t="shared" si="26"/>
        <v>3714.92</v>
      </c>
      <c r="I67" s="62">
        <f t="shared" si="26"/>
        <v>6118.6899999999987</v>
      </c>
      <c r="J67" s="62">
        <f t="shared" si="26"/>
        <v>2021.6596663627297</v>
      </c>
      <c r="K67" s="62">
        <f t="shared" si="26"/>
        <v>-293.89320235687956</v>
      </c>
      <c r="L67" s="62">
        <f t="shared" si="26"/>
        <v>-2606.9841035334666</v>
      </c>
      <c r="M67" s="62">
        <f t="shared" si="26"/>
        <v>-6001.4180110848829</v>
      </c>
    </row>
    <row r="68" spans="3:13">
      <c r="C68" s="32"/>
      <c r="E68" s="25"/>
      <c r="F68" s="25"/>
      <c r="G68" s="25"/>
      <c r="H68" s="25"/>
      <c r="I68" s="25"/>
      <c r="J68" s="25"/>
      <c r="K68" s="25"/>
      <c r="L68" s="25"/>
      <c r="M68" s="25"/>
    </row>
    <row r="69" spans="3:13" ht="15.75" thickBot="1">
      <c r="C69" s="48" t="s">
        <v>158</v>
      </c>
      <c r="D69" s="63"/>
      <c r="E69" s="62">
        <f>IFERROR(SUM(E67,E60),0)</f>
        <v>12449.720000000001</v>
      </c>
      <c r="F69" s="62">
        <f t="shared" ref="F69:M69" si="27">IFERROR(SUM(F67,F60),0)</f>
        <v>14558.61</v>
      </c>
      <c r="G69" s="62">
        <f t="shared" si="27"/>
        <v>16139.829999999998</v>
      </c>
      <c r="H69" s="62">
        <f t="shared" si="27"/>
        <v>19197.64</v>
      </c>
      <c r="I69" s="62">
        <f t="shared" si="27"/>
        <v>23115.129999999997</v>
      </c>
      <c r="J69" s="62">
        <f t="shared" si="27"/>
        <v>24085.957779713586</v>
      </c>
      <c r="K69" s="62">
        <f t="shared" si="27"/>
        <v>28714.314913570379</v>
      </c>
      <c r="L69" s="62">
        <f t="shared" si="27"/>
        <v>34694.237867865115</v>
      </c>
      <c r="M69" s="62">
        <f t="shared" si="27"/>
        <v>42458.98802831817</v>
      </c>
    </row>
    <row r="70" spans="3:13">
      <c r="C70" s="137"/>
      <c r="E70" s="173">
        <f>E69-E55</f>
        <v>0</v>
      </c>
      <c r="F70" s="173">
        <f t="shared" ref="F70:M70" si="28">F69-F55</f>
        <v>0</v>
      </c>
      <c r="G70" s="173">
        <f t="shared" si="28"/>
        <v>0</v>
      </c>
      <c r="H70" s="173">
        <f t="shared" si="28"/>
        <v>0</v>
      </c>
      <c r="I70" s="173">
        <f t="shared" si="28"/>
        <v>0</v>
      </c>
      <c r="J70" s="173">
        <f t="shared" si="28"/>
        <v>0</v>
      </c>
      <c r="K70" s="173">
        <f t="shared" si="28"/>
        <v>0</v>
      </c>
      <c r="L70" s="173">
        <f t="shared" si="28"/>
        <v>0</v>
      </c>
      <c r="M70" s="173">
        <f t="shared" si="28"/>
        <v>0</v>
      </c>
    </row>
    <row r="71" spans="3:13">
      <c r="E71" s="174" t="str">
        <f>IF(E70=0,"TRUE","FALSE")</f>
        <v>TRUE</v>
      </c>
      <c r="F71" s="175" t="str">
        <f t="shared" ref="F71:M71" si="29">IF(F70=0,"TRUE","FALSE")</f>
        <v>TRUE</v>
      </c>
      <c r="G71" s="175" t="str">
        <f t="shared" si="29"/>
        <v>TRUE</v>
      </c>
      <c r="H71" s="175" t="str">
        <f t="shared" si="29"/>
        <v>TRUE</v>
      </c>
      <c r="I71" s="175" t="str">
        <f t="shared" si="29"/>
        <v>TRUE</v>
      </c>
      <c r="J71" s="175" t="str">
        <f t="shared" si="29"/>
        <v>TRUE</v>
      </c>
      <c r="K71" s="175" t="str">
        <f t="shared" si="29"/>
        <v>TRUE</v>
      </c>
      <c r="L71" s="175" t="str">
        <f t="shared" si="29"/>
        <v>TRUE</v>
      </c>
      <c r="M71" s="175" t="str">
        <f t="shared" si="29"/>
        <v>TRUE</v>
      </c>
    </row>
    <row r="72" spans="3:13" ht="8.25" customHeight="1"/>
    <row r="73" spans="3:13" ht="3.75" customHeight="1">
      <c r="C73" s="82" t="s">
        <v>450</v>
      </c>
      <c r="D73" s="82"/>
      <c r="E73" s="173">
        <v>12449.720000000001</v>
      </c>
      <c r="F73" s="173">
        <v>14558.61</v>
      </c>
      <c r="G73" s="173">
        <v>16139.829999999998</v>
      </c>
      <c r="H73" s="173">
        <v>19197.64</v>
      </c>
      <c r="I73" s="173">
        <v>23115.129999999997</v>
      </c>
      <c r="J73" s="173">
        <v>21236.707779713579</v>
      </c>
      <c r="K73" s="173">
        <v>23980.305950277711</v>
      </c>
      <c r="L73" s="173">
        <v>27332.497697732455</v>
      </c>
      <c r="M73" s="173">
        <v>31569.575276660431</v>
      </c>
    </row>
    <row r="74" spans="3:13">
      <c r="C74" t="s">
        <v>447</v>
      </c>
      <c r="E74" s="25">
        <f>SUM(E52:E54)+SUM(E50:E51)</f>
        <v>12449.719999999998</v>
      </c>
      <c r="F74" s="25">
        <f t="shared" ref="F74:M74" si="30">SUM(F52:F54)+SUM(F50:F51)</f>
        <v>14558.61</v>
      </c>
      <c r="G74" s="25">
        <f t="shared" si="30"/>
        <v>16139.83</v>
      </c>
      <c r="H74" s="25">
        <f t="shared" si="30"/>
        <v>19197.64</v>
      </c>
      <c r="I74" s="25">
        <f t="shared" si="30"/>
        <v>23115.130000000005</v>
      </c>
      <c r="J74" s="25">
        <f t="shared" si="30"/>
        <v>24085.957779713583</v>
      </c>
      <c r="K74" s="25">
        <f t="shared" si="30"/>
        <v>28714.314913570379</v>
      </c>
      <c r="L74" s="25">
        <f t="shared" si="30"/>
        <v>34694.237867865115</v>
      </c>
      <c r="M74" s="25">
        <f t="shared" si="30"/>
        <v>42458.98802831817</v>
      </c>
    </row>
    <row r="75" spans="3:13">
      <c r="C75" s="171" t="s">
        <v>448</v>
      </c>
      <c r="D75" s="82"/>
      <c r="E75" s="172">
        <f>E74-E73</f>
        <v>0</v>
      </c>
      <c r="F75" s="172">
        <f t="shared" ref="F75:M75" si="31">F74-F73</f>
        <v>0</v>
      </c>
      <c r="G75" s="172">
        <f t="shared" si="31"/>
        <v>0</v>
      </c>
      <c r="H75" s="172">
        <f t="shared" si="31"/>
        <v>0</v>
      </c>
      <c r="I75" s="172">
        <f t="shared" si="31"/>
        <v>0</v>
      </c>
      <c r="J75" s="172">
        <f t="shared" si="31"/>
        <v>2849.2500000000036</v>
      </c>
      <c r="K75" s="172">
        <f t="shared" si="31"/>
        <v>4734.0089632926683</v>
      </c>
      <c r="L75" s="172">
        <f t="shared" si="31"/>
        <v>7361.7401701326598</v>
      </c>
      <c r="M75" s="172">
        <f t="shared" si="31"/>
        <v>10889.412751657739</v>
      </c>
    </row>
    <row r="76" spans="3:13">
      <c r="C76" t="s">
        <v>308</v>
      </c>
      <c r="E76">
        <f t="shared" ref="E76:M76" si="32">IFERROR(E69-SUM(E52:E54),"na")</f>
        <v>9980.93</v>
      </c>
      <c r="F76">
        <f t="shared" si="32"/>
        <v>11438.08</v>
      </c>
      <c r="G76">
        <f t="shared" si="32"/>
        <v>12607.999999999998</v>
      </c>
      <c r="H76">
        <f t="shared" si="32"/>
        <v>14990.279999999999</v>
      </c>
      <c r="I76">
        <f t="shared" si="32"/>
        <v>18045.53</v>
      </c>
      <c r="J76" s="89">
        <f t="shared" si="32"/>
        <v>20989.762820856311</v>
      </c>
      <c r="K76" s="89">
        <f t="shared" si="32"/>
        <v>24967.485878159889</v>
      </c>
      <c r="L76" s="89">
        <f t="shared" si="32"/>
        <v>30471.888360784927</v>
      </c>
      <c r="M76" s="89">
        <f t="shared" si="32"/>
        <v>37868.423725427179</v>
      </c>
    </row>
    <row r="77" spans="3:13">
      <c r="C77" t="s">
        <v>309</v>
      </c>
    </row>
    <row r="79" spans="3:13">
      <c r="C79" t="s">
        <v>310</v>
      </c>
      <c r="E79" s="89" cm="1">
        <f t="array" ref="E79">IFERROR(E69-E54,N/A)</f>
        <v>11441.720000000001</v>
      </c>
      <c r="F79" s="89" cm="1">
        <f t="array" ref="F79">IFERROR(F69-F54,N/A)</f>
        <v>13045.61</v>
      </c>
      <c r="G79" s="89" cm="1">
        <f t="array" ref="G79">IFERROR(G69-G54,N/A)</f>
        <v>14351.829999999998</v>
      </c>
      <c r="H79" s="89" cm="1">
        <f t="array" ref="H79">IFERROR(H69-H54,N/A)</f>
        <v>17387.64</v>
      </c>
      <c r="I79" s="89" cm="1">
        <f t="array" ref="I79">IFERROR(I69-I54,N/A)</f>
        <v>21025.129999999997</v>
      </c>
      <c r="J79" s="89" cm="1">
        <f t="array" ref="J79">IFERROR(J69-J54,N/A)</f>
        <v>21409.20282085631</v>
      </c>
      <c r="K79" s="89" cm="1">
        <f t="array" ref="K79">IFERROR(K69-K54,N/A)</f>
        <v>25386.925878159891</v>
      </c>
      <c r="L79" s="89" cm="1">
        <f t="array" ref="L79">IFERROR(L69-L54,N/A)</f>
        <v>30891.328360784926</v>
      </c>
      <c r="M79" s="89" cm="1">
        <f t="array" ref="M79">IFERROR(M69-M54,N/A)</f>
        <v>38287.863725427182</v>
      </c>
    </row>
    <row r="80" spans="3:13">
      <c r="C80" t="s">
        <v>311</v>
      </c>
    </row>
    <row r="82" spans="1:21">
      <c r="M82" s="114"/>
    </row>
    <row r="83" spans="1:21" ht="27" thickBot="1">
      <c r="A83" t="s">
        <v>116</v>
      </c>
      <c r="C83" s="65" t="s">
        <v>160</v>
      </c>
    </row>
    <row r="84" spans="1:21" ht="21">
      <c r="C84" s="221" t="s">
        <v>102</v>
      </c>
      <c r="D84" s="221"/>
      <c r="E84" s="293" t="s">
        <v>94</v>
      </c>
      <c r="F84" s="293" t="s">
        <v>95</v>
      </c>
      <c r="G84" s="293" t="s">
        <v>96</v>
      </c>
      <c r="H84" s="293" t="s">
        <v>97</v>
      </c>
      <c r="I84" s="293" t="s">
        <v>98</v>
      </c>
      <c r="J84" s="293" t="s">
        <v>103</v>
      </c>
      <c r="K84" s="293" t="s">
        <v>99</v>
      </c>
      <c r="L84" s="293" t="s">
        <v>100</v>
      </c>
      <c r="M84" s="293" t="s">
        <v>101</v>
      </c>
    </row>
    <row r="85" spans="1:21">
      <c r="C85" s="32"/>
      <c r="Q85" s="49"/>
      <c r="R85" s="49"/>
      <c r="S85" s="49"/>
      <c r="T85" s="49"/>
      <c r="U85" s="49"/>
    </row>
    <row r="86" spans="1:21">
      <c r="C86" s="33" t="s">
        <v>164</v>
      </c>
      <c r="Q86" s="25"/>
      <c r="R86" s="25"/>
      <c r="S86" s="25"/>
      <c r="T86" s="25"/>
      <c r="U86" s="25"/>
    </row>
    <row r="87" spans="1:21">
      <c r="C87" s="32" t="s">
        <v>189</v>
      </c>
      <c r="E87" s="25">
        <f>'Cashflow statement'!C6</f>
        <v>2236</v>
      </c>
      <c r="F87" s="25">
        <f>'Cashflow statement'!D6</f>
        <v>1912</v>
      </c>
      <c r="G87" s="25">
        <f>'Cashflow statement'!E6</f>
        <v>2172</v>
      </c>
      <c r="H87" s="25">
        <f>'Cashflow statement'!F6</f>
        <v>3527</v>
      </c>
      <c r="I87" s="25">
        <f>'Cashflow statement'!G6</f>
        <v>4404</v>
      </c>
      <c r="J87" s="25">
        <f>IFERROR(J33,0)</f>
        <v>4206.04688693758</v>
      </c>
      <c r="K87" s="25">
        <f>K33</f>
        <v>5682.4615104336826</v>
      </c>
      <c r="L87" s="25">
        <f>L33</f>
        <v>7863.432118035762</v>
      </c>
      <c r="M87" s="25">
        <f>M33</f>
        <v>10566.47909234609</v>
      </c>
    </row>
    <row r="88" spans="1:21">
      <c r="C88" s="32" t="s">
        <v>238</v>
      </c>
      <c r="E88" s="25"/>
      <c r="F88" s="25"/>
      <c r="G88" s="25"/>
      <c r="H88" s="25"/>
      <c r="I88" s="25"/>
      <c r="J88" s="25">
        <f>J21</f>
        <v>661.48</v>
      </c>
      <c r="K88" s="25">
        <f>K21</f>
        <v>782.80823566388983</v>
      </c>
      <c r="L88" s="25">
        <f>L21</f>
        <v>883.47294859004762</v>
      </c>
      <c r="M88" s="25">
        <f>M21</f>
        <v>909.09793628988575</v>
      </c>
    </row>
    <row r="89" spans="1:21">
      <c r="C89" s="32" t="s">
        <v>78</v>
      </c>
      <c r="E89" s="228">
        <f>'Cashflow statement'!C7</f>
        <v>0</v>
      </c>
      <c r="F89" s="228">
        <f>'Cashflow statement'!D7</f>
        <v>-73</v>
      </c>
      <c r="G89" s="228">
        <f>'Cashflow statement'!E7</f>
        <v>-147</v>
      </c>
      <c r="H89" s="228">
        <f>'Cashflow statement'!F7</f>
        <v>-59</v>
      </c>
      <c r="I89" s="228">
        <f>'Cashflow statement'!G7</f>
        <v>-5</v>
      </c>
      <c r="J89" s="25">
        <f t="shared" ref="J89:M90" si="33">I62-J62</f>
        <v>-24.736830124309961</v>
      </c>
      <c r="K89" s="25">
        <f t="shared" si="33"/>
        <v>-127.65288310809916</v>
      </c>
      <c r="L89" s="25">
        <f t="shared" si="33"/>
        <v>-123.9008760595483</v>
      </c>
      <c r="M89" s="25">
        <f t="shared" si="33"/>
        <v>-64.081904748115335</v>
      </c>
      <c r="Q89" s="25"/>
      <c r="R89" s="25"/>
      <c r="S89" s="25"/>
      <c r="T89" s="25"/>
      <c r="U89" s="25"/>
    </row>
    <row r="90" spans="1:21">
      <c r="C90" s="32" t="s">
        <v>45</v>
      </c>
      <c r="E90" s="228">
        <f>'Cashflow statement'!C8</f>
        <v>61</v>
      </c>
      <c r="F90" s="228">
        <f>'Cashflow statement'!D8</f>
        <v>-302</v>
      </c>
      <c r="G90" s="228">
        <f>'Cashflow statement'!E8</f>
        <v>-258</v>
      </c>
      <c r="H90" s="228">
        <f>'Cashflow statement'!F8</f>
        <v>-146</v>
      </c>
      <c r="I90" s="228">
        <f>'Cashflow statement'!G8</f>
        <v>-131</v>
      </c>
      <c r="J90" s="25">
        <f t="shared" si="33"/>
        <v>-279.20850274199506</v>
      </c>
      <c r="K90" s="25">
        <f t="shared" si="33"/>
        <v>-442.5450550142009</v>
      </c>
      <c r="L90" s="25">
        <f t="shared" si="33"/>
        <v>-359.02840084391664</v>
      </c>
      <c r="M90" s="25">
        <f t="shared" si="33"/>
        <v>-263.17155580313056</v>
      </c>
    </row>
    <row r="91" spans="1:21">
      <c r="C91" s="32" t="s">
        <v>161</v>
      </c>
      <c r="E91" s="228">
        <f>'Cashflow statement'!C9</f>
        <v>-235</v>
      </c>
      <c r="F91" s="228">
        <f>'Cashflow statement'!D9</f>
        <v>495</v>
      </c>
      <c r="G91" s="228">
        <f>'Cashflow statement'!E9</f>
        <v>283</v>
      </c>
      <c r="H91" s="228">
        <f>'Cashflow statement'!F9</f>
        <v>22</v>
      </c>
      <c r="I91" s="228">
        <f>'Cashflow statement'!G9</f>
        <v>304</v>
      </c>
      <c r="J91" s="25">
        <f>J54-I54</f>
        <v>586.75495885727514</v>
      </c>
      <c r="K91" s="25">
        <f>K54-J54</f>
        <v>650.63407655321316</v>
      </c>
      <c r="L91" s="25">
        <f>L54-K54</f>
        <v>475.52047166970124</v>
      </c>
      <c r="M91" s="25">
        <f>M54-L54</f>
        <v>368.21479581080075</v>
      </c>
    </row>
    <row r="92" spans="1:21">
      <c r="C92" s="32" t="s">
        <v>190</v>
      </c>
      <c r="E92" s="228">
        <f>'Cashflow statement'!C10</f>
        <v>1</v>
      </c>
      <c r="F92" s="228">
        <f>'Cashflow statement'!D10</f>
        <v>0</v>
      </c>
      <c r="G92" s="228">
        <f>'Cashflow statement'!E10</f>
        <v>0</v>
      </c>
      <c r="H92" s="228">
        <f>'Cashflow statement'!F10</f>
        <v>0</v>
      </c>
      <c r="I92" s="228">
        <f>'Cashflow statement'!G10</f>
        <v>0</v>
      </c>
      <c r="J92" s="228">
        <v>0</v>
      </c>
      <c r="K92" s="228">
        <v>0</v>
      </c>
      <c r="L92" s="228">
        <v>0</v>
      </c>
      <c r="M92" s="228">
        <v>0</v>
      </c>
    </row>
    <row r="93" spans="1:21">
      <c r="C93" s="32" t="s">
        <v>191</v>
      </c>
      <c r="E93" s="228">
        <f>'Cashflow statement'!C11</f>
        <v>259</v>
      </c>
      <c r="F93" s="228">
        <f>'Cashflow statement'!D11</f>
        <v>115</v>
      </c>
      <c r="G93" s="228">
        <f>'Cashflow statement'!E11</f>
        <v>-10</v>
      </c>
      <c r="H93" s="228">
        <f>'Cashflow statement'!F11</f>
        <v>249</v>
      </c>
      <c r="I93" s="228">
        <f>'Cashflow statement'!G11</f>
        <v>220</v>
      </c>
      <c r="J93" s="228">
        <v>0</v>
      </c>
      <c r="K93" s="228">
        <v>0</v>
      </c>
      <c r="L93" s="228">
        <v>0</v>
      </c>
      <c r="M93" s="228">
        <v>0</v>
      </c>
    </row>
    <row r="94" spans="1:21">
      <c r="C94" s="32" t="s">
        <v>192</v>
      </c>
      <c r="E94" s="228">
        <f>'Cashflow statement'!C12</f>
        <v>86</v>
      </c>
      <c r="F94" s="228">
        <f>'Cashflow statement'!D12</f>
        <v>235</v>
      </c>
      <c r="G94" s="228">
        <f>'Cashflow statement'!E12</f>
        <v>-131</v>
      </c>
      <c r="H94" s="228">
        <f>'Cashflow statement'!F12</f>
        <v>66</v>
      </c>
      <c r="I94" s="228">
        <f>'Cashflow statement'!G12</f>
        <v>0</v>
      </c>
      <c r="J94" s="228">
        <v>0</v>
      </c>
      <c r="K94" s="228">
        <v>0</v>
      </c>
      <c r="L94" s="228">
        <v>0</v>
      </c>
      <c r="M94" s="228">
        <v>0</v>
      </c>
    </row>
    <row r="95" spans="1:21">
      <c r="C95" s="32" t="s">
        <v>193</v>
      </c>
      <c r="E95" s="228">
        <f>'Cashflow statement'!C13</f>
        <v>-628</v>
      </c>
      <c r="F95" s="228">
        <f>'Cashflow statement'!D13</f>
        <v>-457</v>
      </c>
      <c r="G95" s="228">
        <f>'Cashflow statement'!E13</f>
        <v>-514</v>
      </c>
      <c r="H95" s="228">
        <f>'Cashflow statement'!F13</f>
        <v>-770</v>
      </c>
      <c r="I95" s="228">
        <f>'Cashflow statement'!G13</f>
        <v>-1068</v>
      </c>
      <c r="J95" s="25">
        <f>-J30</f>
        <v>-1217.77</v>
      </c>
      <c r="K95" s="25">
        <f>-K30</f>
        <v>-1894.1538368112276</v>
      </c>
      <c r="L95" s="25">
        <f>-L30</f>
        <v>-2621.144039345254</v>
      </c>
      <c r="M95" s="25">
        <f>-M30</f>
        <v>-3522.1596974486965</v>
      </c>
    </row>
    <row r="96" spans="1:21">
      <c r="C96" s="33" t="s">
        <v>202</v>
      </c>
      <c r="D96" s="2"/>
      <c r="E96" s="67">
        <f>SUM(E95,E94,E87)</f>
        <v>1694</v>
      </c>
      <c r="F96" s="67">
        <f t="shared" ref="F96:I96" si="34">SUM(F95,F94,F87)</f>
        <v>1690</v>
      </c>
      <c r="G96" s="67">
        <f t="shared" si="34"/>
        <v>1527</v>
      </c>
      <c r="H96" s="67">
        <f t="shared" si="34"/>
        <v>2823</v>
      </c>
      <c r="I96" s="67">
        <f t="shared" si="34"/>
        <v>3336</v>
      </c>
      <c r="J96" s="67">
        <f>SUM(J87:J95)</f>
        <v>3932.5665129285503</v>
      </c>
      <c r="K96" s="67">
        <f t="shared" ref="K96:M96" si="35">SUM(K87:K95)</f>
        <v>4651.5520477172568</v>
      </c>
      <c r="L96" s="67">
        <f t="shared" si="35"/>
        <v>6118.352222046793</v>
      </c>
      <c r="M96" s="67">
        <f t="shared" si="35"/>
        <v>7994.3786664468353</v>
      </c>
    </row>
    <row r="97" spans="3:13">
      <c r="C97" s="32"/>
      <c r="E97" s="25"/>
      <c r="F97" s="25"/>
      <c r="G97" s="25"/>
      <c r="H97" s="25"/>
      <c r="I97" s="25"/>
      <c r="J97" s="25"/>
    </row>
    <row r="98" spans="3:13">
      <c r="C98" s="33" t="s">
        <v>167</v>
      </c>
    </row>
    <row r="99" spans="3:13">
      <c r="C99" s="32" t="s">
        <v>171</v>
      </c>
      <c r="E99" s="228">
        <v>-546</v>
      </c>
      <c r="F99" s="228">
        <v>-532</v>
      </c>
      <c r="G99" s="228">
        <v>-641</v>
      </c>
      <c r="H99" s="228">
        <v>-682</v>
      </c>
      <c r="I99" s="228">
        <v>-819</v>
      </c>
      <c r="J99" s="49">
        <f>-'Depriciation schedule'!J28</f>
        <v>-1060.3230104904023</v>
      </c>
      <c r="K99" s="117">
        <f>-'Depriciation schedule'!K28</f>
        <v>-1467.3679392400963</v>
      </c>
      <c r="L99" s="117">
        <f>-'Depriciation schedule'!L28</f>
        <v>-896.1922680151747</v>
      </c>
      <c r="M99" s="117">
        <f>-'Depriciation schedule'!M28</f>
        <v>-968.87456333461705</v>
      </c>
    </row>
    <row r="100" spans="3:13">
      <c r="C100" s="32" t="s">
        <v>172</v>
      </c>
      <c r="E100" s="228">
        <v>1</v>
      </c>
      <c r="F100" s="228">
        <v>17</v>
      </c>
      <c r="G100" s="228">
        <v>2</v>
      </c>
      <c r="H100" s="228">
        <v>9</v>
      </c>
      <c r="I100" s="228">
        <v>4</v>
      </c>
      <c r="J100" s="228">
        <v>0</v>
      </c>
      <c r="K100" s="228">
        <v>0</v>
      </c>
      <c r="L100" s="228">
        <v>0</v>
      </c>
      <c r="M100" s="228">
        <v>0</v>
      </c>
    </row>
    <row r="101" spans="3:13">
      <c r="C101" s="32" t="s">
        <v>173</v>
      </c>
      <c r="E101" s="228">
        <v>-8746</v>
      </c>
      <c r="F101" s="228">
        <v>-3983</v>
      </c>
      <c r="G101" s="228">
        <v>-7134</v>
      </c>
      <c r="H101" s="228">
        <v>-9103</v>
      </c>
      <c r="I101" s="228">
        <v>-6106</v>
      </c>
      <c r="J101" s="25">
        <f>-'Depriciation schedule'!J46</f>
        <v>-4568.9259056089504</v>
      </c>
      <c r="K101" s="25">
        <f>-'Depriciation schedule'!K46</f>
        <v>-6112.1465502286264</v>
      </c>
      <c r="L101" s="25">
        <f>-'Depriciation schedule'!L46</f>
        <v>-8176.6122329997706</v>
      </c>
      <c r="M101" s="25">
        <f>-'Depriciation schedule'!M46</f>
        <v>-10938.380986028656</v>
      </c>
    </row>
    <row r="102" spans="3:13">
      <c r="C102" s="32" t="s">
        <v>174</v>
      </c>
      <c r="E102" s="228">
        <v>8176</v>
      </c>
      <c r="F102" s="228">
        <v>5971</v>
      </c>
      <c r="G102" s="228">
        <v>3500</v>
      </c>
      <c r="H102" s="228">
        <v>5080</v>
      </c>
      <c r="I102" s="228">
        <v>5968</v>
      </c>
      <c r="J102" s="228">
        <v>0</v>
      </c>
      <c r="K102" s="228">
        <v>0</v>
      </c>
      <c r="L102" s="228">
        <v>0</v>
      </c>
      <c r="M102" s="228">
        <v>0</v>
      </c>
    </row>
    <row r="103" spans="3:13">
      <c r="C103" s="32" t="s">
        <v>175</v>
      </c>
      <c r="E103" s="228">
        <v>204</v>
      </c>
      <c r="F103" s="228">
        <v>192</v>
      </c>
      <c r="G103" s="228">
        <v>398</v>
      </c>
      <c r="H103" s="228">
        <v>204</v>
      </c>
      <c r="I103" s="228">
        <v>112</v>
      </c>
      <c r="J103" s="228">
        <v>0</v>
      </c>
      <c r="K103" s="228">
        <v>0</v>
      </c>
      <c r="L103" s="228">
        <v>0</v>
      </c>
      <c r="M103" s="228">
        <v>0</v>
      </c>
    </row>
    <row r="104" spans="3:13">
      <c r="C104" s="32" t="s">
        <v>176</v>
      </c>
      <c r="E104" s="228">
        <v>68</v>
      </c>
      <c r="F104" s="228">
        <v>0</v>
      </c>
      <c r="G104" s="228">
        <v>27</v>
      </c>
      <c r="H104" s="228">
        <v>41</v>
      </c>
      <c r="I104" s="228">
        <v>95</v>
      </c>
      <c r="J104" s="228">
        <v>0</v>
      </c>
      <c r="K104" s="228">
        <v>0</v>
      </c>
      <c r="L104" s="228">
        <v>0</v>
      </c>
      <c r="M104" s="228">
        <v>0</v>
      </c>
    </row>
    <row r="105" spans="3:13">
      <c r="C105" s="32" t="s">
        <v>177</v>
      </c>
      <c r="E105" s="228">
        <v>-1</v>
      </c>
      <c r="F105" s="228">
        <v>0</v>
      </c>
      <c r="G105" s="228">
        <v>0</v>
      </c>
      <c r="H105" s="228">
        <v>0</v>
      </c>
      <c r="I105" s="228">
        <v>0</v>
      </c>
      <c r="J105" s="228">
        <v>0</v>
      </c>
      <c r="K105" s="228">
        <v>0</v>
      </c>
      <c r="L105" s="228">
        <v>0</v>
      </c>
      <c r="M105" s="228">
        <v>0</v>
      </c>
    </row>
    <row r="106" spans="3:13">
      <c r="C106" s="32" t="s">
        <v>178</v>
      </c>
      <c r="E106" s="228">
        <v>-665</v>
      </c>
      <c r="F106" s="228">
        <v>-3290</v>
      </c>
      <c r="G106" s="228">
        <v>2864</v>
      </c>
      <c r="H106" s="228">
        <v>2055</v>
      </c>
      <c r="I106" s="228">
        <v>-2089</v>
      </c>
      <c r="J106" s="25">
        <f>-'Depriciation schedule'!J55</f>
        <v>-100.46919725150167</v>
      </c>
      <c r="K106" s="25">
        <f>-'Depriciation schedule'!K55</f>
        <v>-147.20374877157371</v>
      </c>
      <c r="L106" s="25">
        <f>-'Depriciation schedule'!L55</f>
        <v>-103.68230304642213</v>
      </c>
      <c r="M106" s="25">
        <f>-'Depriciation schedule'!M55</f>
        <v>-161.02645493108434</v>
      </c>
    </row>
    <row r="107" spans="3:13">
      <c r="C107" s="33" t="s">
        <v>203</v>
      </c>
      <c r="E107" s="67">
        <f>SUM(E99:E106)</f>
        <v>-1509</v>
      </c>
      <c r="F107" s="67">
        <f t="shared" ref="F107:I107" si="36">SUM(F99:F106)</f>
        <v>-1625</v>
      </c>
      <c r="G107" s="67">
        <f t="shared" si="36"/>
        <v>-984</v>
      </c>
      <c r="H107" s="67">
        <f t="shared" si="36"/>
        <v>-2396</v>
      </c>
      <c r="I107" s="67">
        <f t="shared" si="36"/>
        <v>-2835</v>
      </c>
      <c r="J107" s="67">
        <f>SUM(J99:J106)</f>
        <v>-5729.7181133508548</v>
      </c>
      <c r="K107" s="67">
        <f t="shared" ref="K107:M107" si="37">SUM(K99:K106)</f>
        <v>-7726.7182382402962</v>
      </c>
      <c r="L107" s="67">
        <f t="shared" si="37"/>
        <v>-9176.4868040613674</v>
      </c>
      <c r="M107" s="67">
        <f t="shared" si="37"/>
        <v>-12068.282004294359</v>
      </c>
    </row>
    <row r="108" spans="3:13">
      <c r="C108" s="32"/>
      <c r="E108" s="49"/>
    </row>
    <row r="109" spans="3:13">
      <c r="C109" s="33" t="s">
        <v>204</v>
      </c>
      <c r="E109" s="2"/>
      <c r="F109" s="2"/>
      <c r="G109" s="2"/>
      <c r="H109" s="2"/>
      <c r="I109" s="2"/>
    </row>
    <row r="110" spans="3:13">
      <c r="C110" s="32" t="s">
        <v>195</v>
      </c>
      <c r="E110" s="228">
        <v>29</v>
      </c>
      <c r="F110" s="228">
        <v>38</v>
      </c>
      <c r="G110" s="228">
        <v>6</v>
      </c>
      <c r="H110" s="228">
        <v>11</v>
      </c>
      <c r="I110" s="228">
        <v>47</v>
      </c>
    </row>
    <row r="111" spans="3:13">
      <c r="C111" s="32" t="s">
        <v>196</v>
      </c>
      <c r="E111" s="228">
        <v>267</v>
      </c>
      <c r="F111" s="228">
        <v>40</v>
      </c>
      <c r="G111" s="228">
        <v>32</v>
      </c>
      <c r="H111" s="228">
        <v>202</v>
      </c>
      <c r="I111" s="228">
        <v>322</v>
      </c>
    </row>
    <row r="112" spans="3:13">
      <c r="C112" s="32" t="s">
        <v>197</v>
      </c>
      <c r="E112" s="228">
        <v>-298</v>
      </c>
      <c r="F112" s="228">
        <v>-27</v>
      </c>
      <c r="G112" s="228">
        <v>-137</v>
      </c>
      <c r="H112" s="228">
        <v>-20</v>
      </c>
      <c r="I112" s="228">
        <v>-127</v>
      </c>
    </row>
    <row r="113" spans="3:13">
      <c r="C113" s="32" t="s">
        <v>198</v>
      </c>
      <c r="E113" s="228">
        <v>-8</v>
      </c>
      <c r="F113" s="228">
        <v>-16</v>
      </c>
      <c r="G113" s="228">
        <v>-19</v>
      </c>
      <c r="H113" s="228">
        <v>-18</v>
      </c>
      <c r="I113" s="228">
        <v>-35</v>
      </c>
      <c r="J113" s="89">
        <f>I26-J26</f>
        <v>-2.2999999999999972</v>
      </c>
      <c r="K113" s="116">
        <f>J26-K26</f>
        <v>9.394873518570023</v>
      </c>
      <c r="L113" s="116">
        <f>K26-L26</f>
        <v>-6.5871674947417844</v>
      </c>
      <c r="M113" s="116">
        <f>L26-M26</f>
        <v>-5.5128840763871594</v>
      </c>
    </row>
    <row r="114" spans="3:13">
      <c r="C114" s="32" t="s">
        <v>199</v>
      </c>
      <c r="E114" s="228">
        <v>-682</v>
      </c>
      <c r="F114" s="228">
        <v>0</v>
      </c>
      <c r="G114" s="228">
        <v>-465</v>
      </c>
      <c r="H114" s="228">
        <v>-574</v>
      </c>
      <c r="I114" s="228">
        <v>-1013</v>
      </c>
      <c r="J114" s="25">
        <f>-J43</f>
        <v>-1261.8140660812739</v>
      </c>
      <c r="K114" s="114">
        <f>-K43</f>
        <v>-1704.7384531301047</v>
      </c>
      <c r="L114" s="114">
        <f>-L43</f>
        <v>-2359.0296354107286</v>
      </c>
      <c r="M114" s="114">
        <f>-M43</f>
        <v>-3169.9437277038269</v>
      </c>
    </row>
    <row r="115" spans="3:13">
      <c r="C115" s="32" t="s">
        <v>200</v>
      </c>
      <c r="E115" s="228">
        <v>-40</v>
      </c>
      <c r="F115" s="228">
        <v>-39</v>
      </c>
      <c r="G115" s="228">
        <v>-17</v>
      </c>
      <c r="H115" s="228">
        <v>-19</v>
      </c>
      <c r="I115" s="228">
        <v>-37</v>
      </c>
    </row>
    <row r="116" spans="3:13">
      <c r="C116" s="32" t="s">
        <v>201</v>
      </c>
      <c r="E116" s="228">
        <v>-126</v>
      </c>
      <c r="F116" s="228">
        <v>-11</v>
      </c>
      <c r="G116" s="228">
        <v>5</v>
      </c>
      <c r="H116" s="228">
        <v>0</v>
      </c>
      <c r="I116" s="228">
        <v>0</v>
      </c>
    </row>
    <row r="117" spans="3:13">
      <c r="C117" s="33" t="s">
        <v>205</v>
      </c>
      <c r="D117" s="2"/>
      <c r="E117" s="67">
        <f>SUM(E110:E116)</f>
        <v>-858</v>
      </c>
      <c r="F117" s="67">
        <f t="shared" ref="F117:I117" si="38">SUM(F110:F116)</f>
        <v>-15</v>
      </c>
      <c r="G117" s="67">
        <f t="shared" si="38"/>
        <v>-595</v>
      </c>
      <c r="H117" s="67">
        <f t="shared" si="38"/>
        <v>-418</v>
      </c>
      <c r="I117" s="67">
        <f t="shared" si="38"/>
        <v>-843</v>
      </c>
      <c r="J117" s="91">
        <f>SUM(J110:J116)</f>
        <v>-1264.1140660812739</v>
      </c>
      <c r="K117" s="165">
        <f t="shared" ref="K117:M117" si="39">SUM(K110:K116)</f>
        <v>-1695.3435796115348</v>
      </c>
      <c r="L117" s="165">
        <f t="shared" si="39"/>
        <v>-2365.6168029054702</v>
      </c>
      <c r="M117" s="165">
        <f t="shared" si="39"/>
        <v>-3175.4566117802142</v>
      </c>
    </row>
    <row r="118" spans="3:13" ht="15.75" thickBot="1">
      <c r="C118" s="32"/>
      <c r="E118" s="25"/>
      <c r="F118" s="25"/>
      <c r="G118" s="25"/>
      <c r="H118" s="25"/>
      <c r="I118" s="25"/>
    </row>
    <row r="119" spans="3:13">
      <c r="C119" s="68" t="s">
        <v>35</v>
      </c>
      <c r="D119" s="69"/>
      <c r="E119" s="70">
        <f>E117+E107+E96</f>
        <v>-673</v>
      </c>
      <c r="F119" s="70">
        <f t="shared" ref="F119:H119" si="40">F117+F107+F96</f>
        <v>50</v>
      </c>
      <c r="G119" s="70">
        <f t="shared" si="40"/>
        <v>-52</v>
      </c>
      <c r="H119" s="70">
        <f t="shared" si="40"/>
        <v>9</v>
      </c>
      <c r="I119" s="70">
        <f>I117+I107+I96</f>
        <v>-342</v>
      </c>
      <c r="J119" s="70">
        <f>SUM(J117,J107,J96)</f>
        <v>-3061.2656665035788</v>
      </c>
      <c r="K119" s="70">
        <f t="shared" ref="K119:M119" si="41">K117+K107+K96</f>
        <v>-4770.509770134574</v>
      </c>
      <c r="L119" s="70">
        <f t="shared" si="41"/>
        <v>-5423.7513849200441</v>
      </c>
      <c r="M119" s="70">
        <f t="shared" si="41"/>
        <v>-7249.3599496277384</v>
      </c>
    </row>
    <row r="120" spans="3:13">
      <c r="C120" s="32"/>
    </row>
    <row r="121" spans="3:13">
      <c r="C121" s="32"/>
      <c r="E121" s="25"/>
      <c r="F121" s="25"/>
    </row>
    <row r="122" spans="3:13">
      <c r="C122" s="32" t="s">
        <v>425</v>
      </c>
    </row>
    <row r="123" spans="3:13">
      <c r="C123" s="32"/>
      <c r="E123" s="25"/>
    </row>
    <row r="124" spans="3:13">
      <c r="C124" s="32" t="s">
        <v>426</v>
      </c>
      <c r="E124" s="25">
        <f>E126-E125</f>
        <v>3623.59</v>
      </c>
      <c r="F124" s="25">
        <f>E126</f>
        <v>2950.59</v>
      </c>
      <c r="G124" s="25">
        <f t="shared" ref="G124:I124" si="42">F126</f>
        <v>5830.36</v>
      </c>
      <c r="H124" s="25">
        <f t="shared" si="42"/>
        <v>2722.47</v>
      </c>
      <c r="I124" s="25">
        <f t="shared" si="42"/>
        <v>765.58</v>
      </c>
      <c r="J124" s="25">
        <f>I126</f>
        <v>146.31</v>
      </c>
      <c r="K124" s="25">
        <f t="shared" ref="K124:M124" si="43">J126</f>
        <v>-2914.9556665035789</v>
      </c>
      <c r="L124" s="25">
        <f t="shared" si="43"/>
        <v>-7685.4654366381528</v>
      </c>
      <c r="M124" s="25">
        <f t="shared" si="43"/>
        <v>-13109.216821558197</v>
      </c>
    </row>
    <row r="125" spans="3:13">
      <c r="C125" s="32" t="s">
        <v>427</v>
      </c>
      <c r="E125" s="25">
        <f>E119</f>
        <v>-673</v>
      </c>
      <c r="F125" s="25">
        <f>F119</f>
        <v>50</v>
      </c>
      <c r="G125" s="25">
        <f t="shared" ref="G125:I125" si="44">G119</f>
        <v>-52</v>
      </c>
      <c r="H125" s="25">
        <f t="shared" si="44"/>
        <v>9</v>
      </c>
      <c r="I125" s="25">
        <f t="shared" si="44"/>
        <v>-342</v>
      </c>
      <c r="J125" s="25">
        <f>J119</f>
        <v>-3061.2656665035788</v>
      </c>
      <c r="K125" s="25">
        <f t="shared" ref="K125:M125" si="45">K119</f>
        <v>-4770.509770134574</v>
      </c>
      <c r="L125" s="25">
        <f t="shared" si="45"/>
        <v>-5423.7513849200441</v>
      </c>
      <c r="M125" s="25">
        <f t="shared" si="45"/>
        <v>-7249.3599496277384</v>
      </c>
    </row>
    <row r="126" spans="3:13" ht="15.75" thickBot="1">
      <c r="C126" s="48" t="s">
        <v>428</v>
      </c>
      <c r="D126" s="63"/>
      <c r="E126" s="62">
        <f>E64</f>
        <v>2950.59</v>
      </c>
      <c r="F126" s="62">
        <f>F64</f>
        <v>5830.36</v>
      </c>
      <c r="G126" s="62">
        <f>G64</f>
        <v>2722.47</v>
      </c>
      <c r="H126" s="62">
        <f>H64</f>
        <v>765.58</v>
      </c>
      <c r="I126" s="62">
        <f>I64</f>
        <v>146.31</v>
      </c>
      <c r="J126" s="62">
        <f>SUM(J124:J125)</f>
        <v>-2914.9556665035789</v>
      </c>
      <c r="K126" s="62">
        <f t="shared" ref="K126:M126" si="46">SUM(K124:K125)</f>
        <v>-7685.4654366381528</v>
      </c>
      <c r="L126" s="62">
        <f t="shared" si="46"/>
        <v>-13109.216821558197</v>
      </c>
      <c r="M126" s="62">
        <f t="shared" si="46"/>
        <v>-20358.576771185937</v>
      </c>
    </row>
  </sheetData>
  <conditionalFormatting sqref="E71:I71">
    <cfRule type="containsText" dxfId="6" priority="3" operator="containsText" text="FALSE">
      <formula>NOT(ISERROR(SEARCH("FALSE",E71)))</formula>
    </cfRule>
    <cfRule type="expression" dxfId="5" priority="4">
      <formula>$E$71:$M$71="FALSE"</formula>
    </cfRule>
  </conditionalFormatting>
  <conditionalFormatting sqref="E71:M71">
    <cfRule type="containsText" dxfId="4" priority="1" operator="containsText" text="FALSE">
      <formula>NOT(ISERROR(SEARCH("FALSE",E71)))</formula>
    </cfRule>
  </conditionalFormatting>
  <dataValidations disablePrompts="1" count="1">
    <dataValidation type="list" allowBlank="1" showInputMessage="1" showErrorMessage="1" sqref="Q59" xr:uid="{963D928B-FD6E-4B72-802C-9AB698CA1D2D}">
      <formula1>$O$59:$O$60</formula1>
    </dataValidation>
  </dataValidations>
  <pageMargins left="0.7" right="0.7" top="0.75" bottom="0.75" header="0.3" footer="0.3"/>
  <pageSetup paperSize="9"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993-660E-4113-AC2D-2B35F2210E6E}">
  <sheetPr>
    <tabColor rgb="FFFF0000"/>
  </sheetPr>
  <dimension ref="A2:M50"/>
  <sheetViews>
    <sheetView zoomScale="92" workbookViewId="0">
      <selection activeCell="C3" sqref="C3:M50"/>
    </sheetView>
  </sheetViews>
  <sheetFormatPr defaultRowHeight="15"/>
  <cols>
    <col min="1" max="1" width="5.28515625" customWidth="1"/>
    <col min="2" max="2" width="6.140625" customWidth="1"/>
    <col min="3" max="3" width="41.140625" bestFit="1" customWidth="1"/>
    <col min="4" max="4" width="3.140625" customWidth="1"/>
    <col min="5" max="9" width="9.42578125" bestFit="1" customWidth="1"/>
    <col min="10" max="10" width="11" bestFit="1" customWidth="1"/>
    <col min="11" max="13" width="9" bestFit="1" customWidth="1"/>
  </cols>
  <sheetData>
    <row r="2" spans="1:13" ht="15.75" thickBot="1"/>
    <row r="3" spans="1:13" ht="21.75" thickBot="1">
      <c r="A3" s="110" t="s">
        <v>116</v>
      </c>
      <c r="C3" s="259" t="s">
        <v>273</v>
      </c>
      <c r="D3" s="259"/>
      <c r="E3" s="300" t="s">
        <v>94</v>
      </c>
      <c r="F3" s="300" t="s">
        <v>95</v>
      </c>
      <c r="G3" s="300" t="s">
        <v>96</v>
      </c>
      <c r="H3" s="300" t="s">
        <v>97</v>
      </c>
      <c r="I3" s="324" t="s">
        <v>98</v>
      </c>
      <c r="J3" s="323" t="s">
        <v>103</v>
      </c>
      <c r="K3" s="300" t="s">
        <v>99</v>
      </c>
      <c r="L3" s="300" t="s">
        <v>100</v>
      </c>
      <c r="M3" s="300" t="s">
        <v>101</v>
      </c>
    </row>
    <row r="4" spans="1:13" ht="15.75" thickTop="1">
      <c r="D4" s="96"/>
    </row>
    <row r="5" spans="1:13">
      <c r="C5" t="s">
        <v>208</v>
      </c>
      <c r="D5" s="32"/>
      <c r="E5">
        <f>'Income Statement'!E7</f>
        <v>9153.58</v>
      </c>
      <c r="F5">
        <f>'Income Statement'!F7</f>
        <v>8720.35</v>
      </c>
      <c r="G5">
        <f>'Income Statement'!G7</f>
        <v>10297.83</v>
      </c>
      <c r="H5">
        <f>'Income Statement'!H7</f>
        <v>14442.18</v>
      </c>
      <c r="I5">
        <f>'Income Statement'!I7</f>
        <v>16535.78</v>
      </c>
      <c r="J5" s="89">
        <f>'Income Statement'!J7</f>
        <v>18959.922045296687</v>
      </c>
      <c r="K5" s="89">
        <f>'Income Statement'!K7</f>
        <v>22556.218039432442</v>
      </c>
      <c r="L5" s="89">
        <f>'Income Statement'!L7</f>
        <v>26680.436195219154</v>
      </c>
      <c r="M5" s="89">
        <f>'Income Statement'!M7</f>
        <v>30555.914365131775</v>
      </c>
    </row>
    <row r="6" spans="1:13">
      <c r="C6" t="s">
        <v>209</v>
      </c>
      <c r="D6" s="32"/>
      <c r="E6">
        <f>'Income Statement'!E10</f>
        <v>6113.8899999999994</v>
      </c>
      <c r="F6">
        <f>'Income Statement'!F10</f>
        <v>6261.01</v>
      </c>
      <c r="G6">
        <f>'Income Statement'!G10</f>
        <v>7167.9</v>
      </c>
      <c r="H6">
        <f>'Income Statement'!H10</f>
        <v>9689.9</v>
      </c>
      <c r="I6">
        <f>'Income Statement'!I10</f>
        <v>10700.980000000001</v>
      </c>
      <c r="J6" s="89">
        <f>'Income Statement'!J10</f>
        <v>12892.917228642893</v>
      </c>
      <c r="K6" s="89">
        <f>'Income Statement'!K10</f>
        <v>15392.95192130891</v>
      </c>
      <c r="L6" s="89">
        <f>'Income Statement'!L10</f>
        <v>18017.723782807865</v>
      </c>
      <c r="M6" s="89">
        <f>'Income Statement'!M10</f>
        <v>20508.129677569032</v>
      </c>
    </row>
    <row r="7" spans="1:13">
      <c r="C7" t="s">
        <v>45</v>
      </c>
      <c r="D7" s="32"/>
      <c r="E7">
        <f>'Income Statement'!E63</f>
        <v>572.35</v>
      </c>
      <c r="F7">
        <f>'Income Statement'!F63</f>
        <v>874.6</v>
      </c>
      <c r="G7">
        <f>'Income Statement'!G63</f>
        <v>1132.4000000000001</v>
      </c>
      <c r="H7">
        <f>'Income Statement'!H63</f>
        <v>1278.44</v>
      </c>
      <c r="I7">
        <f>'Income Statement'!I63</f>
        <v>1409.64</v>
      </c>
      <c r="J7" s="89">
        <f>'Income Statement'!J63</f>
        <v>1688.8485027419952</v>
      </c>
      <c r="K7" s="89">
        <f>'Income Statement'!K63</f>
        <v>2131.3935577561961</v>
      </c>
      <c r="L7" s="89">
        <f>'Income Statement'!L63</f>
        <v>2490.4219586001127</v>
      </c>
      <c r="M7" s="89">
        <f>'Income Statement'!M63</f>
        <v>2753.5935144032433</v>
      </c>
    </row>
    <row r="8" spans="1:13">
      <c r="C8" t="s">
        <v>161</v>
      </c>
      <c r="D8" s="32"/>
      <c r="E8">
        <f>'Income Statement'!E54</f>
        <v>1008</v>
      </c>
      <c r="F8">
        <f>'Income Statement'!F54</f>
        <v>1513</v>
      </c>
      <c r="G8">
        <f>'Income Statement'!G54</f>
        <v>1788</v>
      </c>
      <c r="H8">
        <f>'Income Statement'!H54</f>
        <v>1810</v>
      </c>
      <c r="I8">
        <f>'Income Statement'!I54</f>
        <v>2090</v>
      </c>
      <c r="J8" s="89">
        <f>'Income Statement'!J54</f>
        <v>2676.7549588572751</v>
      </c>
      <c r="K8" s="89">
        <f>'Income Statement'!K54</f>
        <v>3327.3890354104883</v>
      </c>
      <c r="L8" s="89">
        <f>'Income Statement'!L54</f>
        <v>3802.9095070801895</v>
      </c>
      <c r="M8" s="89">
        <f>'Income Statement'!M54</f>
        <v>4171.1243028909903</v>
      </c>
    </row>
    <row r="9" spans="1:13">
      <c r="C9" t="s">
        <v>312</v>
      </c>
      <c r="D9" s="32"/>
      <c r="E9">
        <f>'Income Statement'!E62</f>
        <v>86.76</v>
      </c>
      <c r="F9">
        <f>'Income Statement'!F62</f>
        <v>158.16</v>
      </c>
      <c r="G9">
        <f>'Income Statement'!G62</f>
        <v>302.04000000000002</v>
      </c>
      <c r="H9">
        <f>'Income Statement'!H62</f>
        <v>368.92</v>
      </c>
      <c r="I9">
        <f>'Income Statement'!I62</f>
        <v>373.78</v>
      </c>
      <c r="J9" s="89">
        <f>'Income Statement'!J62</f>
        <v>398.51683012430993</v>
      </c>
      <c r="K9" s="89">
        <f>'Income Statement'!K62</f>
        <v>526.16971323240909</v>
      </c>
      <c r="L9" s="89">
        <f>'Income Statement'!L62</f>
        <v>650.07058929195739</v>
      </c>
      <c r="M9" s="89">
        <f>'Income Statement'!M62</f>
        <v>714.15249404007272</v>
      </c>
    </row>
    <row r="10" spans="1:13">
      <c r="C10" t="s">
        <v>313</v>
      </c>
      <c r="D10" s="32"/>
      <c r="E10">
        <f>SUM(E7,E9)-E8</f>
        <v>-348.89</v>
      </c>
      <c r="F10">
        <f t="shared" ref="F10:M10" si="0">SUM(F7,F9)-F8</f>
        <v>-480.24</v>
      </c>
      <c r="G10">
        <f t="shared" si="0"/>
        <v>-353.55999999999995</v>
      </c>
      <c r="H10">
        <f t="shared" si="0"/>
        <v>-162.63999999999987</v>
      </c>
      <c r="I10">
        <f t="shared" si="0"/>
        <v>-306.57999999999993</v>
      </c>
      <c r="J10" s="89">
        <f t="shared" si="0"/>
        <v>-589.38962599097022</v>
      </c>
      <c r="K10" s="89">
        <f t="shared" si="0"/>
        <v>-669.82576442188338</v>
      </c>
      <c r="L10" s="89">
        <f t="shared" si="0"/>
        <v>-662.41695918811956</v>
      </c>
      <c r="M10" s="89">
        <f t="shared" si="0"/>
        <v>-703.37829444767431</v>
      </c>
    </row>
    <row r="11" spans="1:13">
      <c r="C11" t="s">
        <v>314</v>
      </c>
      <c r="D11" s="32"/>
      <c r="E11">
        <f>'Income Statement'!E50</f>
        <v>27.3</v>
      </c>
      <c r="F11">
        <f>'Income Statement'!F50</f>
        <v>27.33</v>
      </c>
      <c r="G11">
        <f>'Income Statement'!G50</f>
        <v>27.34</v>
      </c>
      <c r="H11">
        <f>'Income Statement'!H50</f>
        <v>27.35</v>
      </c>
      <c r="I11">
        <f>'Income Statement'!I50</f>
        <v>27.38</v>
      </c>
      <c r="J11">
        <f>'Income Statement'!J50</f>
        <v>27.38</v>
      </c>
      <c r="K11">
        <f>'Income Statement'!K50</f>
        <v>27.38</v>
      </c>
      <c r="L11">
        <f>'Income Statement'!L50</f>
        <v>27.38</v>
      </c>
      <c r="M11">
        <f>'Income Statement'!M50</f>
        <v>27.38</v>
      </c>
    </row>
    <row r="12" spans="1:13" ht="15.75" thickBot="1">
      <c r="D12" s="32"/>
    </row>
    <row r="13" spans="1:13" ht="21">
      <c r="C13" s="259" t="s">
        <v>274</v>
      </c>
      <c r="D13" s="259"/>
    </row>
    <row r="14" spans="1:13">
      <c r="D14" s="32"/>
      <c r="E14" s="89"/>
      <c r="F14" s="89"/>
      <c r="G14" s="89"/>
      <c r="H14" s="89"/>
      <c r="I14" s="89"/>
      <c r="J14" s="89"/>
      <c r="K14" s="89"/>
      <c r="L14" s="89"/>
      <c r="M14" s="89"/>
    </row>
    <row r="15" spans="1:13">
      <c r="C15" s="2" t="s">
        <v>275</v>
      </c>
      <c r="D15" s="32"/>
      <c r="E15" s="90">
        <f>('Income Statement'!E13/'Income Statement'!E7)</f>
        <v>0.33207663012722899</v>
      </c>
      <c r="F15" s="90">
        <f>('Income Statement'!F13/'Income Statement'!F7)</f>
        <v>0.28202308393585118</v>
      </c>
      <c r="G15" s="90">
        <f>('Income Statement'!G13/'Income Statement'!G7)</f>
        <v>0.30394073314474995</v>
      </c>
      <c r="H15" s="90">
        <f>('Income Statement'!H13/'Income Statement'!H7)</f>
        <v>0.32905558579106481</v>
      </c>
      <c r="I15" s="90">
        <f>('Income Statement'!I13/'Income Statement'!I7)</f>
        <v>0.35285907287107099</v>
      </c>
      <c r="J15" s="90">
        <f>('Income Statement'!J13/'Income Statement'!J7)</f>
        <v>0.31999102117399331</v>
      </c>
      <c r="K15" s="90">
        <f>('Income Statement'!K13/'Income Statement'!K7)</f>
        <v>0.31757389938334601</v>
      </c>
      <c r="L15" s="90">
        <f>('Income Statement'!L13/'Income Statement'!L7)</f>
        <v>0.32468406247284493</v>
      </c>
      <c r="M15" s="90">
        <f>('Income Statement'!M13/'Income Statement'!M7)</f>
        <v>0.32883272833846389</v>
      </c>
    </row>
    <row r="16" spans="1:13">
      <c r="C16" t="s">
        <v>276</v>
      </c>
      <c r="D16" s="32"/>
      <c r="E16" s="90"/>
      <c r="F16" s="90"/>
      <c r="G16" s="90"/>
      <c r="H16" s="90"/>
      <c r="I16" s="90"/>
      <c r="J16" s="90"/>
      <c r="K16" s="90"/>
      <c r="L16" s="90"/>
      <c r="M16" s="90"/>
    </row>
    <row r="17" spans="3:13">
      <c r="C17" s="2" t="s">
        <v>277</v>
      </c>
      <c r="D17" s="32"/>
      <c r="E17" s="90">
        <f>('Income Statement'!E23/'Income Statement'!E7)</f>
        <v>0.19679185630103199</v>
      </c>
      <c r="F17" s="90">
        <f>('Income Statement'!F23/'Income Statement'!F7)</f>
        <v>0.15280349985952399</v>
      </c>
      <c r="G17" s="90">
        <f>('Income Statement'!G23/'Income Statement'!G7)</f>
        <v>0.16757316832769623</v>
      </c>
      <c r="H17" s="90">
        <f>('Income Statement'!H23/'Income Statement'!H7)</f>
        <v>0.20215161422998471</v>
      </c>
      <c r="I17" s="90">
        <f>('Income Statement'!I23/'Income Statement'!I7)</f>
        <v>0.2256784983835052</v>
      </c>
      <c r="J17" s="90">
        <f>('Income Statement'!J23/'Income Statement'!J7)</f>
        <v>0.18101600826116687</v>
      </c>
      <c r="K17" s="90">
        <f>('Income Statement'!K23/'Income Statement'!K7)</f>
        <v>0.20458889005275016</v>
      </c>
      <c r="L17" s="90">
        <f>('Income Statement'!L23/'Income Statement'!L7)</f>
        <v>0.21682534223302105</v>
      </c>
      <c r="M17" s="90">
        <f>('Income Statement'!M23/'Income Statement'!M7)</f>
        <v>0.22702884527209616</v>
      </c>
    </row>
    <row r="18" spans="3:13">
      <c r="C18" t="s">
        <v>278</v>
      </c>
      <c r="D18" s="32"/>
      <c r="E18" s="90"/>
      <c r="F18" s="90"/>
      <c r="G18" s="90"/>
      <c r="H18" s="90"/>
      <c r="I18" s="90"/>
      <c r="J18" s="90"/>
      <c r="K18" s="90"/>
      <c r="L18" s="90"/>
      <c r="M18" s="90"/>
    </row>
    <row r="19" spans="3:13">
      <c r="C19" s="2" t="s">
        <v>279</v>
      </c>
      <c r="D19" s="32"/>
      <c r="E19" s="90">
        <f>('Income Statement'!E33/'Income Statement'!E7)</f>
        <v>0.19964210724110132</v>
      </c>
      <c r="F19" s="90">
        <f>('Income Statement'!F33/'Income Statement'!F7)</f>
        <v>0.15445366298371049</v>
      </c>
      <c r="G19" s="90">
        <f>('Income Statement'!G33/'Income Statement'!G7)</f>
        <v>0.16281099998737597</v>
      </c>
      <c r="H19" s="90">
        <f>('Income Statement'!H33/'Income Statement'!H7)</f>
        <v>0.20176593838326351</v>
      </c>
      <c r="I19" s="90">
        <f>('Income Statement'!I33/'Income Statement'!I7)</f>
        <v>0.24196076628982713</v>
      </c>
      <c r="J19" s="90">
        <f>('Income Statement'!J33/'Income Statement'!J7)</f>
        <v>0.22183882807582309</v>
      </c>
      <c r="K19" s="90">
        <f>('Income Statement'!K33/'Income Statement'!K7)</f>
        <v>0.25192439177967196</v>
      </c>
      <c r="L19" s="90">
        <f>('Income Statement'!L33/'Income Statement'!L7)</f>
        <v>0.2947265202300105</v>
      </c>
      <c r="M19" s="90">
        <f>('Income Statement'!M33/'Income Statement'!M7)</f>
        <v>0.3458079822479081</v>
      </c>
    </row>
    <row r="20" spans="3:13">
      <c r="C20" t="s">
        <v>280</v>
      </c>
      <c r="D20" s="32"/>
    </row>
    <row r="21" spans="3:13">
      <c r="C21" s="2" t="s">
        <v>281</v>
      </c>
      <c r="D21" s="32"/>
      <c r="E21" s="75">
        <f>('Income Statement'!E33/'Income Statement'!E69)</f>
        <v>0.14678563052020449</v>
      </c>
      <c r="F21" s="75">
        <f>('Income Statement'!F33/'Income Statement'!F69)</f>
        <v>9.2515013452520528E-2</v>
      </c>
      <c r="G21" s="75">
        <f>('Income Statement'!G33/'Income Statement'!G69)</f>
        <v>0.10387965672500889</v>
      </c>
      <c r="H21" s="75">
        <f>('Income Statement'!H33/'Income Statement'!H69)</f>
        <v>0.15178636540741469</v>
      </c>
      <c r="I21" s="75">
        <f>('Income Statement'!I33/'Income Statement'!I69)</f>
        <v>0.17309052555620488</v>
      </c>
      <c r="J21" s="75">
        <f>('Income Statement'!J33/'Income Statement'!J69)</f>
        <v>0.17462651580665503</v>
      </c>
      <c r="K21" s="75">
        <f>('Income Statement'!K33/'Income Statement'!K69)</f>
        <v>0.19789646827855023</v>
      </c>
      <c r="L21" s="75">
        <f>('Income Statement'!L33/'Income Statement'!L69)</f>
        <v>0.2266495130397177</v>
      </c>
      <c r="M21" s="75">
        <f>('Income Statement'!M33/'Income Statement'!M69)</f>
        <v>0.24886318734913654</v>
      </c>
    </row>
    <row r="22" spans="3:13">
      <c r="C22" t="s">
        <v>282</v>
      </c>
      <c r="D22" s="32"/>
    </row>
    <row r="23" spans="3:13">
      <c r="C23" s="2" t="s">
        <v>283</v>
      </c>
      <c r="D23" s="32"/>
      <c r="E23" s="111">
        <f>IFERROR('Income Statement'!E33/'Income Statement'!E76,"N/A")</f>
        <v>0.18309315865355236</v>
      </c>
      <c r="F23" s="75">
        <f>IFERROR('Income Statement'!F33/'Income Statement'!F76,"N/A")</f>
        <v>0.11775490292076991</v>
      </c>
      <c r="G23" s="75">
        <f>IFERROR('Income Statement'!G33/'Income Statement'!G76,"N/A")</f>
        <v>0.13297906091370559</v>
      </c>
      <c r="H23" s="75">
        <f>IFERROR('Income Statement'!H33/'Income Statement'!H76,"N/A")</f>
        <v>0.19438863049923022</v>
      </c>
      <c r="I23" s="75">
        <f>IFERROR('Income Statement'!I33/'Income Statement'!I76,"N/A")</f>
        <v>0.2217175112063762</v>
      </c>
      <c r="J23" s="75">
        <f>IFERROR('Income Statement'!J33/'Income Statement'!J76,"N/A")</f>
        <v>0.20038563193092754</v>
      </c>
      <c r="K23" s="75">
        <f>IFERROR('Income Statement'!K33/'Income Statement'!K76,"N/A")</f>
        <v>0.22759446177976497</v>
      </c>
      <c r="L23" s="75">
        <f>IFERROR('Income Statement'!L33/'Income Statement'!L76,"N/A")</f>
        <v>0.25805529427429313</v>
      </c>
      <c r="M23" s="75">
        <f>IFERROR('Income Statement'!M33/'Income Statement'!M76,"N/A")</f>
        <v>0.27903139483598594</v>
      </c>
    </row>
    <row r="24" spans="3:13">
      <c r="C24" t="s">
        <v>284</v>
      </c>
      <c r="D24" s="32"/>
    </row>
    <row r="25" spans="3:13">
      <c r="C25" s="2" t="s">
        <v>285</v>
      </c>
      <c r="D25" s="32"/>
      <c r="E25" s="75">
        <f>IFERROR(('Income Statement'!E23/'Income Statement'!E79),"NA")</f>
        <v>0.15743699373870365</v>
      </c>
      <c r="F25" s="75">
        <f>IFERROR(('Income Statement'!F23/'Income Statement'!F79),"NA")</f>
        <v>0.1021416399846385</v>
      </c>
      <c r="G25" s="75">
        <f>IFERROR(('Income Statement'!G23/'Income Statement'!G79),"NA")</f>
        <v>0.12023832500803036</v>
      </c>
      <c r="H25" s="75">
        <f>IFERROR(('Income Statement'!H23/'Income Statement'!H79),"NA")</f>
        <v>0.1679072030476822</v>
      </c>
      <c r="I25" s="75">
        <f>IFERROR(('Income Statement'!I23/'Income Statement'!I79),"NA")</f>
        <v>0.17749093584676992</v>
      </c>
      <c r="J25" s="75">
        <f>IFERROR(('Income Statement'!J23/'Income Statement'!J79),"NA")</f>
        <v>0.1603072022018068</v>
      </c>
      <c r="K25" s="75">
        <f>IFERROR(('Income Statement'!K23/'Income Statement'!K79),"NA")</f>
        <v>0.18177670012600172</v>
      </c>
      <c r="L25" s="75">
        <f>IFERROR(('Income Statement'!L23/'Income Statement'!L79),"NA")</f>
        <v>0.18726921165029767</v>
      </c>
      <c r="M25" s="75">
        <f>IFERROR(('Income Statement'!M23/'Income Statement'!M79),"NA")</f>
        <v>0.18118205821814951</v>
      </c>
    </row>
    <row r="26" spans="3:13" ht="15.75" thickBot="1">
      <c r="C26" t="s">
        <v>286</v>
      </c>
      <c r="D26" s="32"/>
    </row>
    <row r="27" spans="3:13" ht="21">
      <c r="C27" s="259" t="s">
        <v>287</v>
      </c>
      <c r="D27" s="259"/>
    </row>
    <row r="28" spans="3:13">
      <c r="D28" s="32"/>
    </row>
    <row r="29" spans="3:13">
      <c r="C29" s="2" t="s">
        <v>288</v>
      </c>
      <c r="D29" s="32"/>
      <c r="E29" s="101">
        <f>IFERROR(('Income Statement'!E67/SUM('Income Statement'!E53:E54)),"NA")</f>
        <v>1.8070448105451418</v>
      </c>
      <c r="F29" s="101">
        <f>IFERROR(('Income Statement'!F67/SUM('Income Statement'!F53:F54)),"NA")</f>
        <v>2.7259968014117906</v>
      </c>
      <c r="G29" s="101">
        <f>IFERROR(('Income Statement'!G67/SUM('Income Statement'!G53:G54)),"NA")</f>
        <v>1.6033871476466945</v>
      </c>
      <c r="H29" s="101">
        <f>IFERROR(('Income Statement'!H67/SUM('Income Statement'!H53:H54)),"NA")</f>
        <v>0.9479375853225992</v>
      </c>
      <c r="I29" s="101">
        <f>IFERROR(('Income Statement'!I67/SUM('Income Statement'!I53:I54)),"NA")</f>
        <v>1.3158020369191594</v>
      </c>
      <c r="J29" s="101">
        <f>IFERROR(('Income Statement'!J67/SUM('Income Statement'!J53:J54)),"NA")</f>
        <v>0.75526512416578839</v>
      </c>
      <c r="K29" s="101">
        <f>IFERROR(('Income Statement'!K67/SUM('Income Statement'!K53:K54)),"NA")</f>
        <v>-8.8325470580455576E-2</v>
      </c>
      <c r="L29" s="101">
        <f>IFERROR(('Income Statement'!L67/SUM('Income Statement'!L53:L54)),"NA")</f>
        <v>-0.68552357048723611</v>
      </c>
      <c r="M29" s="101">
        <f>IFERROR(('Income Statement'!M67/SUM('Income Statement'!M53:M54)),"NA")</f>
        <v>-1.4388010462611538</v>
      </c>
    </row>
    <row r="30" spans="3:13">
      <c r="C30" t="s">
        <v>289</v>
      </c>
      <c r="D30" s="32"/>
    </row>
    <row r="31" spans="3:13">
      <c r="C31" s="2" t="s">
        <v>290</v>
      </c>
      <c r="D31" s="32"/>
      <c r="E31" s="101">
        <f>IFERROR(('Income Statement'!E67-'Income Statement'!E63)/SUM('Income Statement'!E53:E54),"NA")</f>
        <v>1.5492051049874089</v>
      </c>
      <c r="F31" s="101">
        <f>IFERROR(('Income Statement'!F67-'Income Statement'!F63)/SUM('Income Statement'!F53:F54),"NA")</f>
        <v>2.4245436496994426</v>
      </c>
      <c r="G31" s="101">
        <f>IFERROR(('Income Statement'!G67-'Income Statement'!G63)/SUM('Income Statement'!G53:G54),"NA")</f>
        <v>1.272674438979942</v>
      </c>
      <c r="H31" s="101">
        <f>IFERROR(('Income Statement'!H67-'Income Statement'!H63)/SUM('Income Statement'!H53:H54),"NA")</f>
        <v>0.62171755189527811</v>
      </c>
      <c r="I31" s="101">
        <f>IFERROR(('Income Statement'!I67-'Income Statement'!I63)/SUM('Income Statement'!I53:I54),"NA")</f>
        <v>1.0126640803757287</v>
      </c>
      <c r="J31" s="101">
        <f>IFERROR(('Income Statement'!J67-'Income Statement'!J63)/SUM('Income Statement'!J53:J54),"NA")</f>
        <v>0.12433381790121494</v>
      </c>
      <c r="K31" s="101">
        <f>IFERROR(('Income Statement'!K67-'Income Statement'!K63)/SUM('Income Statement'!K53:K54),"NA")</f>
        <v>-0.72888584241363785</v>
      </c>
      <c r="L31" s="101">
        <f>IFERROR(('Income Statement'!L67-'Income Statement'!L63)/SUM('Income Statement'!L53:L54),"NA")</f>
        <v>-1.3403963603770532</v>
      </c>
      <c r="M31" s="101">
        <f>IFERROR(('Income Statement'!M67-'Income Statement'!M63)/SUM('Income Statement'!M53:M54),"NA")</f>
        <v>-2.0989572330462702</v>
      </c>
    </row>
    <row r="32" spans="3:13" ht="15.75" thickBot="1">
      <c r="C32" t="s">
        <v>291</v>
      </c>
      <c r="D32" s="32"/>
    </row>
    <row r="33" spans="3:13" ht="21">
      <c r="C33" s="259" t="s">
        <v>292</v>
      </c>
      <c r="D33" s="259"/>
    </row>
    <row r="34" spans="3:13">
      <c r="D34" s="32"/>
    </row>
    <row r="35" spans="3:13">
      <c r="C35" s="2" t="s">
        <v>293</v>
      </c>
      <c r="D35" s="32"/>
      <c r="E35" s="89">
        <f>E6/'Income Statement'!E63</f>
        <v>10.682082641740193</v>
      </c>
      <c r="F35" s="89">
        <f>F6/'Income Statement'!F63</f>
        <v>7.1587125543105419</v>
      </c>
      <c r="G35" s="89">
        <f>G6/'Income Statement'!G63</f>
        <v>6.3298304486047323</v>
      </c>
      <c r="H35" s="89">
        <f>H6/'Income Statement'!H63</f>
        <v>7.5794718563248953</v>
      </c>
      <c r="I35" s="89">
        <f>I6/'Income Statement'!I63</f>
        <v>7.5912857183394342</v>
      </c>
      <c r="J35" s="89">
        <f>J6/'Income Statement'!J63</f>
        <v>7.6341467027445624</v>
      </c>
      <c r="K35" s="89">
        <f>K6/'Income Statement'!K63</f>
        <v>7.2220129714165466</v>
      </c>
      <c r="L35" s="89">
        <f>L6/'Income Statement'!L63</f>
        <v>7.2348076279153037</v>
      </c>
      <c r="M35" s="89">
        <f>M6/'Income Statement'!M63</f>
        <v>7.4477694584538332</v>
      </c>
    </row>
    <row r="36" spans="3:13">
      <c r="C36" t="s">
        <v>294</v>
      </c>
      <c r="D36" s="32"/>
      <c r="E36" s="89"/>
      <c r="F36" s="89"/>
      <c r="G36" s="89"/>
      <c r="H36" s="89"/>
      <c r="I36" s="89"/>
      <c r="J36" s="89"/>
      <c r="K36" s="89"/>
      <c r="L36" s="89"/>
      <c r="M36" s="89"/>
    </row>
    <row r="37" spans="3:13">
      <c r="C37" s="2" t="s">
        <v>295</v>
      </c>
      <c r="D37" s="32"/>
      <c r="E37" s="89">
        <f>E5/E9</f>
        <v>105.50461041954817</v>
      </c>
      <c r="F37" s="89">
        <f t="shared" ref="F37:M37" si="1">F5/F9</f>
        <v>55.136254425897832</v>
      </c>
      <c r="G37" s="89">
        <f t="shared" si="1"/>
        <v>34.094259038537942</v>
      </c>
      <c r="H37" s="89">
        <f t="shared" si="1"/>
        <v>39.147186381871407</v>
      </c>
      <c r="I37" s="89">
        <f t="shared" si="1"/>
        <v>44.239338648402807</v>
      </c>
      <c r="J37" s="89">
        <f t="shared" si="1"/>
        <v>47.576214132242526</v>
      </c>
      <c r="K37" s="89">
        <f t="shared" si="1"/>
        <v>42.868712265598163</v>
      </c>
      <c r="L37" s="89">
        <f t="shared" si="1"/>
        <v>41.042367759290414</v>
      </c>
      <c r="M37" s="89">
        <f t="shared" si="1"/>
        <v>42.786260105698396</v>
      </c>
    </row>
    <row r="38" spans="3:13">
      <c r="C38" t="s">
        <v>304</v>
      </c>
      <c r="D38" s="32"/>
      <c r="E38" s="89"/>
      <c r="F38" s="89"/>
      <c r="G38" s="89"/>
      <c r="H38" s="89"/>
      <c r="I38" s="89"/>
      <c r="J38" s="89"/>
      <c r="K38" s="89"/>
      <c r="L38" s="89"/>
      <c r="M38" s="89"/>
    </row>
    <row r="39" spans="3:13">
      <c r="C39" s="2" t="s">
        <v>296</v>
      </c>
      <c r="D39" s="32"/>
      <c r="E39" s="89">
        <f>E6/E8</f>
        <v>6.0653670634920633</v>
      </c>
      <c r="F39" s="89">
        <f t="shared" ref="F39:M39" si="2">F6/F8</f>
        <v>4.1381427627230671</v>
      </c>
      <c r="G39" s="89">
        <f t="shared" si="2"/>
        <v>4.0088926174496642</v>
      </c>
      <c r="H39" s="89">
        <f t="shared" si="2"/>
        <v>5.3535359116022097</v>
      </c>
      <c r="I39" s="89">
        <f t="shared" si="2"/>
        <v>5.1200861244019142</v>
      </c>
      <c r="J39" s="89">
        <f t="shared" si="2"/>
        <v>4.816622151378013</v>
      </c>
      <c r="K39" s="89">
        <f t="shared" si="2"/>
        <v>4.6261353143546486</v>
      </c>
      <c r="L39" s="89">
        <f t="shared" si="2"/>
        <v>4.7378786556090242</v>
      </c>
      <c r="M39" s="89">
        <f t="shared" si="2"/>
        <v>4.9166910857475346</v>
      </c>
    </row>
    <row r="40" spans="3:13">
      <c r="C40" t="s">
        <v>305</v>
      </c>
      <c r="D40" s="32"/>
      <c r="E40" s="89"/>
      <c r="F40" s="89"/>
      <c r="G40" s="89"/>
      <c r="H40" s="89"/>
      <c r="I40" s="89"/>
      <c r="J40" s="89"/>
      <c r="K40" s="89"/>
      <c r="L40" s="89"/>
      <c r="M40" s="89"/>
    </row>
    <row r="41" spans="3:13">
      <c r="C41" s="2" t="s">
        <v>306</v>
      </c>
      <c r="D41" s="32"/>
      <c r="E41" s="89">
        <f>E5/E10</f>
        <v>-26.236292241107513</v>
      </c>
      <c r="F41" s="89">
        <f t="shared" ref="F41:M41" si="3">F5/F10</f>
        <v>-18.158316674995834</v>
      </c>
      <c r="G41" s="89">
        <f t="shared" si="3"/>
        <v>-29.126117207828944</v>
      </c>
      <c r="H41" s="89">
        <f t="shared" si="3"/>
        <v>-88.79845056566657</v>
      </c>
      <c r="I41" s="89">
        <f t="shared" si="3"/>
        <v>-53.936264596516416</v>
      </c>
      <c r="J41" s="89">
        <f t="shared" si="3"/>
        <v>-32.16874069240432</v>
      </c>
      <c r="K41" s="89">
        <f t="shared" si="3"/>
        <v>-33.674754298082838</v>
      </c>
      <c r="L41" s="89">
        <f t="shared" si="3"/>
        <v>-40.277405077188227</v>
      </c>
      <c r="M41" s="89">
        <f t="shared" si="3"/>
        <v>-43.44165096696041</v>
      </c>
    </row>
    <row r="42" spans="3:13" ht="15.75" thickBot="1">
      <c r="C42" t="s">
        <v>307</v>
      </c>
      <c r="D42" s="32"/>
    </row>
    <row r="43" spans="3:13" ht="21">
      <c r="C43" s="259" t="s">
        <v>297</v>
      </c>
      <c r="D43" s="259"/>
    </row>
    <row r="44" spans="3:13">
      <c r="D44" s="32"/>
    </row>
    <row r="45" spans="3:13">
      <c r="C45" s="2" t="s">
        <v>298</v>
      </c>
      <c r="D45" s="32"/>
      <c r="E45" s="89">
        <f>'Income Statement'!E52/SUM('Income Statement'!E50:E51)</f>
        <v>2.4947575025573772E-2</v>
      </c>
      <c r="F45" s="89">
        <f>'Income Statement'!F52/SUM('Income Statement'!F50:F51)</f>
        <v>1.916842686884512E-2</v>
      </c>
      <c r="G45" s="89">
        <f>'Income Statement'!G52/SUM('Income Statement'!G50:G51)</f>
        <v>8.5429885786802023E-3</v>
      </c>
      <c r="H45" s="89">
        <f>'Income Statement'!H52/SUM('Income Statement'!H50:H51)</f>
        <v>1.9239800724202616E-2</v>
      </c>
      <c r="I45" s="89">
        <f>'Income Statement'!I52/SUM('Income Statement'!I50:I51)</f>
        <v>2.3243429259212665E-2</v>
      </c>
      <c r="J45" s="89">
        <f>'Income Statement'!J52/SUM('Income Statement'!J50:J51)</f>
        <v>1.9983074776968267E-2</v>
      </c>
      <c r="K45" s="89">
        <f>'Income Statement'!K52/SUM('Income Statement'!K50:K51)</f>
        <v>1.6799448772970044E-2</v>
      </c>
      <c r="L45" s="89">
        <f>'Income Statement'!L52/SUM('Income Statement'!L50:L51)</f>
        <v>1.3764818085241753E-2</v>
      </c>
      <c r="M45" s="89">
        <f>'Income Statement'!M52/SUM('Income Statement'!M50:M51)</f>
        <v>1.1076246612249728E-2</v>
      </c>
    </row>
    <row r="46" spans="3:13">
      <c r="C46" t="s">
        <v>299</v>
      </c>
      <c r="D46" s="32"/>
      <c r="E46" s="89"/>
      <c r="F46" s="89"/>
      <c r="G46" s="89"/>
      <c r="H46" s="89"/>
      <c r="I46" s="89"/>
      <c r="J46" s="89"/>
      <c r="K46" s="89"/>
      <c r="L46" s="89"/>
      <c r="M46" s="89"/>
    </row>
    <row r="47" spans="3:13">
      <c r="C47" s="2" t="s">
        <v>300</v>
      </c>
      <c r="D47" s="32"/>
      <c r="E47" s="89">
        <f>'Income Statement'!E52/'Income Statement'!E67</f>
        <v>6.2075258148312495E-2</v>
      </c>
      <c r="F47" s="89">
        <f>'Income Statement'!F52/'Income Statement'!F67</f>
        <v>2.7722003621245991E-2</v>
      </c>
      <c r="G47" s="89">
        <f>'Income Statement'!G52/'Income Statement'!G67</f>
        <v>1.9618628863481955E-2</v>
      </c>
      <c r="H47" s="89">
        <f>'Income Statement'!H52/'Income Statement'!H67</f>
        <v>7.7635588384137477E-2</v>
      </c>
      <c r="I47" s="89">
        <f>'Income Statement'!I52/'Income Statement'!I67</f>
        <v>6.8550621129686268E-2</v>
      </c>
      <c r="J47" s="89">
        <f>'Income Statement'!J52/'Income Statement'!J67</f>
        <v>0.20747310092733648</v>
      </c>
      <c r="K47" s="89">
        <f>'Income Statement'!K52/'Income Statement'!K67</f>
        <v>-1.4271851020584914</v>
      </c>
      <c r="L47" s="89">
        <f>'Income Statement'!L52/'Income Statement'!L67</f>
        <v>-0.16089089282573585</v>
      </c>
      <c r="M47" s="89">
        <f>'Income Statement'!M52/'Income Statement'!M67</f>
        <v>-6.9890149165626497E-2</v>
      </c>
    </row>
    <row r="48" spans="3:13">
      <c r="C48" t="s">
        <v>301</v>
      </c>
      <c r="D48" s="32"/>
      <c r="E48" s="89"/>
      <c r="F48" s="89"/>
      <c r="G48" s="89"/>
      <c r="H48" s="89"/>
      <c r="I48" s="89"/>
      <c r="J48" s="89"/>
      <c r="K48" s="89"/>
      <c r="L48" s="89"/>
      <c r="M48" s="89"/>
    </row>
    <row r="49" spans="3:13">
      <c r="C49" s="2" t="s">
        <v>302</v>
      </c>
      <c r="D49" s="32"/>
      <c r="E49" s="89">
        <f>'Income Statement'!E23/'Income Statement'!E26</f>
        <v>95.410487288135613</v>
      </c>
      <c r="F49" s="89">
        <f>'Income Statement'!F23/'Income Statement'!F26</f>
        <v>81.00303951367782</v>
      </c>
      <c r="G49" s="89">
        <f>'Income Statement'!G23/'Income Statement'!G26</f>
        <v>91.887113951011713</v>
      </c>
      <c r="H49" s="89">
        <f>'Income Statement'!H23/'Income Statement'!H26</f>
        <v>104.19379014989296</v>
      </c>
      <c r="I49" s="89">
        <f>'Income Statement'!I23/'Income Statement'!I26</f>
        <v>73.344536163521951</v>
      </c>
      <c r="J49" s="89">
        <f>'Income Statement'!J23/'Income Statement'!J26</f>
        <v>64.536468702190774</v>
      </c>
      <c r="K49" s="89">
        <f>'Income Statement'!K23/'Income Statement'!K26</f>
        <v>105.39541582533738</v>
      </c>
      <c r="L49" s="89">
        <f>'Income Statement'!L23/'Income Statement'!L26</f>
        <v>114.84477382926462</v>
      </c>
      <c r="M49" s="89">
        <f>'Income Statement'!M23/'Income Statement'!M26</f>
        <v>124.13083748296802</v>
      </c>
    </row>
    <row r="50" spans="3:13">
      <c r="C50" t="s">
        <v>303</v>
      </c>
      <c r="D50" s="32"/>
      <c r="E50" s="89"/>
      <c r="F50" s="89"/>
      <c r="G50" s="89"/>
      <c r="H50" s="89"/>
      <c r="I50" s="112"/>
      <c r="J50" s="89"/>
      <c r="K50" s="89"/>
      <c r="L50" s="89"/>
      <c r="M50" s="89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0CE7-4711-4C9B-8142-07CB13088AD0}">
  <sheetPr>
    <tabColor theme="5"/>
  </sheetPr>
  <dimension ref="A2:R60"/>
  <sheetViews>
    <sheetView showGridLines="0" zoomScale="85" zoomScaleNormal="85" workbookViewId="0">
      <selection activeCell="C3" sqref="C3"/>
    </sheetView>
  </sheetViews>
  <sheetFormatPr defaultRowHeight="15"/>
  <cols>
    <col min="1" max="1" width="3.140625" customWidth="1"/>
    <col min="2" max="2" width="0.5703125" customWidth="1"/>
    <col min="3" max="3" width="25.5703125" customWidth="1"/>
    <col min="4" max="4" width="3.85546875" customWidth="1"/>
    <col min="5" max="13" width="10.7109375" customWidth="1"/>
    <col min="14" max="14" width="10.5703125" bestFit="1" customWidth="1"/>
  </cols>
  <sheetData>
    <row r="2" spans="1:14">
      <c r="A2" t="s">
        <v>116</v>
      </c>
      <c r="B2" t="s">
        <v>116</v>
      </c>
    </row>
    <row r="3" spans="1:14" ht="28.5">
      <c r="C3" s="81" t="s">
        <v>216</v>
      </c>
    </row>
    <row r="5" spans="1:14" ht="15.75" thickBot="1"/>
    <row r="6" spans="1:14" ht="21">
      <c r="C6" s="234" t="s">
        <v>180</v>
      </c>
      <c r="D6" s="221"/>
      <c r="E6" s="293" t="s">
        <v>94</v>
      </c>
      <c r="F6" s="293" t="s">
        <v>95</v>
      </c>
      <c r="G6" s="293" t="s">
        <v>96</v>
      </c>
      <c r="H6" s="293" t="s">
        <v>97</v>
      </c>
      <c r="I6" s="293" t="s">
        <v>98</v>
      </c>
      <c r="J6" s="293" t="s">
        <v>103</v>
      </c>
      <c r="K6" s="293" t="s">
        <v>99</v>
      </c>
      <c r="L6" s="293" t="s">
        <v>100</v>
      </c>
      <c r="M6" s="296" t="s">
        <v>101</v>
      </c>
    </row>
    <row r="7" spans="1:14">
      <c r="C7" s="154"/>
      <c r="D7" s="32"/>
      <c r="M7" s="161"/>
    </row>
    <row r="8" spans="1:14">
      <c r="C8" s="162" t="s">
        <v>217</v>
      </c>
      <c r="D8" s="33"/>
      <c r="E8" s="235">
        <v>365</v>
      </c>
      <c r="F8" s="235">
        <v>365</v>
      </c>
      <c r="G8" s="235">
        <v>365</v>
      </c>
      <c r="H8" s="235">
        <v>365</v>
      </c>
      <c r="I8" s="235">
        <v>365</v>
      </c>
      <c r="J8" s="235">
        <v>365</v>
      </c>
      <c r="K8" s="235">
        <v>365</v>
      </c>
      <c r="L8" s="235">
        <v>365</v>
      </c>
      <c r="M8" s="236">
        <v>365</v>
      </c>
    </row>
    <row r="9" spans="1:14">
      <c r="C9" s="154"/>
      <c r="D9" s="32"/>
      <c r="M9" s="161"/>
    </row>
    <row r="10" spans="1:14" ht="15.75" thickBot="1">
      <c r="C10" s="237" t="s">
        <v>208</v>
      </c>
      <c r="D10" s="79"/>
      <c r="E10" s="84">
        <f>'Income Statement'!E7</f>
        <v>9153.58</v>
      </c>
      <c r="F10" s="84">
        <f>'Income Statement'!F7</f>
        <v>8720.35</v>
      </c>
      <c r="G10" s="84">
        <f>'Income Statement'!G7</f>
        <v>10297.83</v>
      </c>
      <c r="H10" s="84">
        <f>'Income Statement'!H7</f>
        <v>14442.18</v>
      </c>
      <c r="I10" s="84">
        <f>'Income Statement'!I7</f>
        <v>16535.78</v>
      </c>
      <c r="J10" s="84">
        <f>'Income Statement'!J7</f>
        <v>18959.922045296687</v>
      </c>
      <c r="K10" s="84">
        <f>'Income Statement'!K7</f>
        <v>22556.218039432442</v>
      </c>
      <c r="L10" s="84">
        <f>'Income Statement'!L7</f>
        <v>26680.436195219154</v>
      </c>
      <c r="M10" s="238">
        <f>'Income Statement'!M7</f>
        <v>30555.914365131775</v>
      </c>
    </row>
    <row r="11" spans="1:14">
      <c r="C11" s="162" t="s">
        <v>218</v>
      </c>
      <c r="D11" s="32"/>
      <c r="M11" s="161"/>
    </row>
    <row r="12" spans="1:14">
      <c r="C12" s="154" t="s">
        <v>22</v>
      </c>
      <c r="D12" s="32"/>
      <c r="F12" s="239">
        <v>-0.12640664466686358</v>
      </c>
      <c r="G12" s="239">
        <v>-2.2856795913377526E-2</v>
      </c>
      <c r="H12" s="239">
        <v>0.38388241971941683</v>
      </c>
      <c r="I12" s="239">
        <v>0.10671111294483704</v>
      </c>
      <c r="J12" s="5">
        <f>'Growth drivers'!F7</f>
        <v>5.5067390360156399E-2</v>
      </c>
      <c r="K12" s="5">
        <f>'Growth drivers'!G7</f>
        <v>9.5656389814017473E-2</v>
      </c>
      <c r="L12" s="5">
        <f>'Growth drivers'!H7</f>
        <v>0.12103096255366275</v>
      </c>
      <c r="M12" s="240">
        <f>'Growth drivers'!I7</f>
        <v>7.4784243456259114E-2</v>
      </c>
    </row>
    <row r="13" spans="1:14">
      <c r="C13" s="154"/>
      <c r="D13" s="32"/>
      <c r="F13" s="5"/>
      <c r="G13" s="5"/>
      <c r="H13" s="5"/>
      <c r="I13" s="5"/>
      <c r="J13" s="5"/>
      <c r="K13" s="5"/>
      <c r="L13" s="5"/>
      <c r="M13" s="240"/>
    </row>
    <row r="14" spans="1:14">
      <c r="C14" s="154" t="s">
        <v>225</v>
      </c>
      <c r="D14" s="32"/>
      <c r="E14" s="230">
        <v>697582</v>
      </c>
      <c r="F14" s="230">
        <v>609403</v>
      </c>
      <c r="G14" s="230">
        <v>595474</v>
      </c>
      <c r="H14" s="230">
        <v>824066</v>
      </c>
      <c r="I14" s="230">
        <v>912003</v>
      </c>
      <c r="J14" s="71">
        <f>I14*(1+J12)</f>
        <v>962224.62521063373</v>
      </c>
      <c r="K14" s="71">
        <f>J14*(1+K12)</f>
        <v>1054267.5590484289</v>
      </c>
      <c r="L14" s="71">
        <f>K14*(1+L12)</f>
        <v>1181866.5765091607</v>
      </c>
      <c r="M14" s="241">
        <f>L14*(1+M12)</f>
        <v>1270251.5742996372</v>
      </c>
    </row>
    <row r="15" spans="1:14">
      <c r="C15" s="154" t="s">
        <v>224</v>
      </c>
      <c r="D15" s="32"/>
      <c r="E15" s="242">
        <v>1000000</v>
      </c>
      <c r="F15" s="242">
        <v>1200000</v>
      </c>
      <c r="G15" s="242">
        <v>1200000</v>
      </c>
      <c r="H15" s="242">
        <v>1200000</v>
      </c>
      <c r="I15" s="242">
        <v>1200000</v>
      </c>
      <c r="J15" s="291">
        <v>1200000</v>
      </c>
      <c r="K15" s="243">
        <v>1400000</v>
      </c>
      <c r="L15" s="243">
        <v>1400000</v>
      </c>
      <c r="M15" s="244">
        <v>1400000</v>
      </c>
      <c r="N15" s="77"/>
    </row>
    <row r="16" spans="1:14">
      <c r="C16" s="154"/>
      <c r="D16" s="32"/>
      <c r="M16" s="161"/>
    </row>
    <row r="17" spans="3:15">
      <c r="C17" s="162" t="s">
        <v>226</v>
      </c>
      <c r="D17" s="33"/>
      <c r="E17" s="245">
        <f t="shared" ref="E17:M17" si="0">E14/E15</f>
        <v>0.69758200000000004</v>
      </c>
      <c r="F17" s="245">
        <f t="shared" si="0"/>
        <v>0.50783583333333338</v>
      </c>
      <c r="G17" s="245">
        <f t="shared" si="0"/>
        <v>0.49622833333333333</v>
      </c>
      <c r="H17" s="245">
        <f t="shared" si="0"/>
        <v>0.68672166666666667</v>
      </c>
      <c r="I17" s="245">
        <f t="shared" si="0"/>
        <v>0.76000250000000003</v>
      </c>
      <c r="J17" s="245">
        <f t="shared" si="0"/>
        <v>0.80185385434219481</v>
      </c>
      <c r="K17" s="245">
        <f t="shared" si="0"/>
        <v>0.75304825646316353</v>
      </c>
      <c r="L17" s="245">
        <f t="shared" si="0"/>
        <v>0.84419041179225762</v>
      </c>
      <c r="M17" s="246">
        <f t="shared" si="0"/>
        <v>0.90732255307116949</v>
      </c>
    </row>
    <row r="18" spans="3:15">
      <c r="C18" s="154" t="s">
        <v>253</v>
      </c>
      <c r="D18" s="32"/>
      <c r="E18" s="208" t="str">
        <f>IF(E14&gt;=E15,"Yes","No")</f>
        <v>No</v>
      </c>
      <c r="F18" s="208" t="str">
        <f t="shared" ref="F18:M18" si="1">IF(F14&gt;=F15,"Yes","No")</f>
        <v>No</v>
      </c>
      <c r="G18" s="208" t="str">
        <f t="shared" si="1"/>
        <v>No</v>
      </c>
      <c r="H18" s="208" t="str">
        <f t="shared" si="1"/>
        <v>No</v>
      </c>
      <c r="I18" s="208" t="str">
        <f t="shared" si="1"/>
        <v>No</v>
      </c>
      <c r="J18" s="208" t="str">
        <f t="shared" si="1"/>
        <v>No</v>
      </c>
      <c r="K18" s="208" t="str">
        <f t="shared" si="1"/>
        <v>No</v>
      </c>
      <c r="L18" s="208" t="str">
        <f t="shared" si="1"/>
        <v>No</v>
      </c>
      <c r="M18" s="247" t="str">
        <f t="shared" si="1"/>
        <v>No</v>
      </c>
    </row>
    <row r="19" spans="3:15">
      <c r="C19" s="154"/>
      <c r="D19" s="32"/>
      <c r="M19" s="161"/>
    </row>
    <row r="20" spans="3:15">
      <c r="C20" s="154" t="s">
        <v>207</v>
      </c>
      <c r="D20" s="32"/>
      <c r="E20">
        <f t="shared" ref="E20:M20" si="2">E8</f>
        <v>365</v>
      </c>
      <c r="F20">
        <f t="shared" si="2"/>
        <v>365</v>
      </c>
      <c r="G20">
        <f t="shared" si="2"/>
        <v>365</v>
      </c>
      <c r="H20">
        <f t="shared" si="2"/>
        <v>365</v>
      </c>
      <c r="I20">
        <f t="shared" si="2"/>
        <v>365</v>
      </c>
      <c r="J20">
        <f t="shared" si="2"/>
        <v>365</v>
      </c>
      <c r="K20">
        <f t="shared" si="2"/>
        <v>365</v>
      </c>
      <c r="L20">
        <f t="shared" si="2"/>
        <v>365</v>
      </c>
      <c r="M20" s="161">
        <f t="shared" si="2"/>
        <v>365</v>
      </c>
    </row>
    <row r="21" spans="3:15">
      <c r="C21" s="154"/>
      <c r="D21" s="32"/>
      <c r="M21" s="161"/>
    </row>
    <row r="22" spans="3:15">
      <c r="C22" s="154" t="s">
        <v>227</v>
      </c>
      <c r="D22" s="32"/>
      <c r="E22" s="71">
        <f>E24/E20</f>
        <v>1911.1835616438357</v>
      </c>
      <c r="F22" s="71">
        <f t="shared" ref="F22:M22" si="3">F24/F20</f>
        <v>1669.5972602739726</v>
      </c>
      <c r="G22" s="71">
        <f t="shared" si="3"/>
        <v>1631.4356164383562</v>
      </c>
      <c r="H22" s="71">
        <f t="shared" si="3"/>
        <v>2257.7150684931507</v>
      </c>
      <c r="I22" s="71">
        <f t="shared" si="3"/>
        <v>2498.6383561643834</v>
      </c>
      <c r="J22" s="71">
        <f t="shared" si="3"/>
        <v>2636.2318498921472</v>
      </c>
      <c r="K22" s="71">
        <f t="shared" si="3"/>
        <v>2888.4042713655585</v>
      </c>
      <c r="L22" s="71">
        <f t="shared" si="3"/>
        <v>3237.9906205730431</v>
      </c>
      <c r="M22" s="241">
        <f t="shared" si="3"/>
        <v>3480.1412994510611</v>
      </c>
    </row>
    <row r="23" spans="3:15">
      <c r="C23" s="154"/>
      <c r="D23" s="32"/>
      <c r="M23" s="161"/>
    </row>
    <row r="24" spans="3:15">
      <c r="C24" s="162" t="s">
        <v>225</v>
      </c>
      <c r="D24" s="33"/>
      <c r="E24" s="2">
        <f t="shared" ref="E24:M24" si="4">E14</f>
        <v>697582</v>
      </c>
      <c r="F24" s="2">
        <f t="shared" si="4"/>
        <v>609403</v>
      </c>
      <c r="G24" s="2">
        <f t="shared" si="4"/>
        <v>595474</v>
      </c>
      <c r="H24" s="2">
        <f t="shared" si="4"/>
        <v>824066</v>
      </c>
      <c r="I24" s="2">
        <f t="shared" si="4"/>
        <v>912003</v>
      </c>
      <c r="J24" s="248">
        <f t="shared" si="4"/>
        <v>962224.62521063373</v>
      </c>
      <c r="K24" s="248">
        <f t="shared" si="4"/>
        <v>1054267.5590484289</v>
      </c>
      <c r="L24" s="248">
        <f t="shared" si="4"/>
        <v>1181866.5765091607</v>
      </c>
      <c r="M24" s="249">
        <f t="shared" si="4"/>
        <v>1270251.5742996372</v>
      </c>
    </row>
    <row r="25" spans="3:15" ht="3.75" customHeight="1">
      <c r="C25" s="154"/>
      <c r="D25" s="32"/>
      <c r="M25" s="161"/>
    </row>
    <row r="26" spans="3:15" ht="3.75" customHeight="1">
      <c r="C26" s="154"/>
      <c r="D26" s="32"/>
      <c r="M26" s="161"/>
    </row>
    <row r="27" spans="3:15">
      <c r="C27" s="162" t="s">
        <v>208</v>
      </c>
      <c r="D27" s="32"/>
      <c r="M27" s="161"/>
    </row>
    <row r="28" spans="3:15">
      <c r="C28" s="154"/>
      <c r="D28" s="32"/>
      <c r="M28" s="161"/>
    </row>
    <row r="29" spans="3:15">
      <c r="C29" s="154" t="s">
        <v>225</v>
      </c>
      <c r="D29" s="32"/>
      <c r="E29">
        <f>E24</f>
        <v>697582</v>
      </c>
      <c r="F29">
        <f t="shared" ref="F29:M29" si="5">F24</f>
        <v>609403</v>
      </c>
      <c r="G29">
        <f t="shared" si="5"/>
        <v>595474</v>
      </c>
      <c r="H29">
        <f t="shared" si="5"/>
        <v>824066</v>
      </c>
      <c r="I29">
        <f t="shared" si="5"/>
        <v>912003</v>
      </c>
      <c r="J29" s="71">
        <f t="shared" si="5"/>
        <v>962224.62521063373</v>
      </c>
      <c r="K29" s="71">
        <f t="shared" si="5"/>
        <v>1054267.5590484289</v>
      </c>
      <c r="L29" s="71">
        <f t="shared" si="5"/>
        <v>1181866.5765091607</v>
      </c>
      <c r="M29" s="241">
        <f t="shared" si="5"/>
        <v>1270251.5742996372</v>
      </c>
    </row>
    <row r="30" spans="3:15">
      <c r="C30" s="154"/>
      <c r="D30" s="32"/>
      <c r="M30" s="161"/>
      <c r="O30" s="82">
        <v>10000000</v>
      </c>
    </row>
    <row r="31" spans="3:15">
      <c r="C31" s="154" t="s">
        <v>228</v>
      </c>
      <c r="D31" s="32"/>
      <c r="E31" s="71">
        <v>131218.69543652216</v>
      </c>
      <c r="F31" s="71">
        <v>143096.60438166533</v>
      </c>
      <c r="G31" s="71">
        <v>172935.00639826423</v>
      </c>
      <c r="H31" s="71">
        <v>175255.13733123319</v>
      </c>
      <c r="I31" s="71">
        <v>181312.7807693615</v>
      </c>
      <c r="J31" s="71">
        <v>197042.57767406761</v>
      </c>
      <c r="K31" s="93">
        <v>213951.55191715711</v>
      </c>
      <c r="L31" s="93">
        <v>225748.29278973481</v>
      </c>
      <c r="M31" s="241">
        <v>240550.10033724233</v>
      </c>
    </row>
    <row r="32" spans="3:15">
      <c r="C32" s="154"/>
      <c r="D32" s="32"/>
      <c r="F32" s="250"/>
      <c r="G32" s="250"/>
      <c r="H32" s="250"/>
      <c r="I32" s="250"/>
      <c r="J32" s="250"/>
      <c r="K32" s="75"/>
      <c r="L32" s="75"/>
      <c r="M32" s="251"/>
    </row>
    <row r="33" spans="3:18" ht="16.5" thickBot="1">
      <c r="C33" s="252" t="s">
        <v>208</v>
      </c>
      <c r="D33" s="83"/>
      <c r="E33" s="330">
        <f>((E10)*10000000)/10000000</f>
        <v>9153.58</v>
      </c>
      <c r="F33" s="330">
        <f>((F10)*10000000)/10000000</f>
        <v>8720.35</v>
      </c>
      <c r="G33" s="330">
        <f>((G10)*10000000)/10000000</f>
        <v>10297.83</v>
      </c>
      <c r="H33" s="330">
        <f>((H10)*10000000)/10000000</f>
        <v>14442.18</v>
      </c>
      <c r="I33" s="330">
        <f>((I10)*10000000)/10000000</f>
        <v>16535.78</v>
      </c>
      <c r="J33" s="330">
        <f>(J29*J31)/10000000</f>
        <v>18959.922045296687</v>
      </c>
      <c r="K33" s="330">
        <f>(K29*K31)/10000000</f>
        <v>22556.218039432442</v>
      </c>
      <c r="L33" s="330">
        <f>(L29*L31)/10000000</f>
        <v>26680.436195219154</v>
      </c>
      <c r="M33" s="331">
        <f>(M29*M31)/10000000</f>
        <v>30555.914365131775</v>
      </c>
      <c r="N33">
        <v>10000000</v>
      </c>
      <c r="R33" s="78">
        <v>10000000</v>
      </c>
    </row>
    <row r="35" spans="3:18" ht="26.25">
      <c r="C35" s="65" t="s">
        <v>230</v>
      </c>
    </row>
    <row r="36" spans="3:18" ht="15.75" thickBot="1"/>
    <row r="37" spans="3:18" ht="21">
      <c r="C37" s="234" t="s">
        <v>180</v>
      </c>
      <c r="D37" s="221"/>
      <c r="E37" s="293" t="s">
        <v>94</v>
      </c>
      <c r="F37" s="293" t="s">
        <v>95</v>
      </c>
      <c r="G37" s="293" t="s">
        <v>96</v>
      </c>
      <c r="H37" s="293" t="s">
        <v>97</v>
      </c>
      <c r="I37" s="293" t="s">
        <v>98</v>
      </c>
      <c r="J37" s="294" t="s">
        <v>103</v>
      </c>
      <c r="K37" s="295" t="s">
        <v>99</v>
      </c>
      <c r="L37" s="293" t="s">
        <v>100</v>
      </c>
      <c r="M37" s="296" t="s">
        <v>101</v>
      </c>
    </row>
    <row r="38" spans="3:18">
      <c r="C38" s="154"/>
      <c r="D38" s="32"/>
      <c r="M38" s="161"/>
    </row>
    <row r="39" spans="3:18">
      <c r="C39" s="162" t="s">
        <v>217</v>
      </c>
      <c r="D39" s="33"/>
      <c r="E39" s="2">
        <f t="shared" ref="E39:M39" si="6">E8</f>
        <v>365</v>
      </c>
      <c r="F39" s="2">
        <f t="shared" si="6"/>
        <v>365</v>
      </c>
      <c r="G39" s="2">
        <f t="shared" si="6"/>
        <v>365</v>
      </c>
      <c r="H39" s="2">
        <f t="shared" si="6"/>
        <v>365</v>
      </c>
      <c r="I39" s="2">
        <f t="shared" si="6"/>
        <v>365</v>
      </c>
      <c r="J39" s="2">
        <f t="shared" si="6"/>
        <v>365</v>
      </c>
      <c r="K39" s="2">
        <f t="shared" si="6"/>
        <v>365</v>
      </c>
      <c r="L39" s="2">
        <f t="shared" si="6"/>
        <v>365</v>
      </c>
      <c r="M39" s="213">
        <f t="shared" si="6"/>
        <v>365</v>
      </c>
    </row>
    <row r="40" spans="3:18">
      <c r="C40" s="154"/>
      <c r="D40" s="32"/>
      <c r="M40" s="161"/>
    </row>
    <row r="41" spans="3:18">
      <c r="C41" s="162" t="s">
        <v>208</v>
      </c>
      <c r="D41" s="33" t="s">
        <v>209</v>
      </c>
      <c r="E41" s="91">
        <f t="shared" ref="E41:M41" si="7">E10</f>
        <v>9153.58</v>
      </c>
      <c r="F41" s="91">
        <f t="shared" si="7"/>
        <v>8720.35</v>
      </c>
      <c r="G41" s="91">
        <f t="shared" si="7"/>
        <v>10297.83</v>
      </c>
      <c r="H41" s="91">
        <f t="shared" si="7"/>
        <v>14442.18</v>
      </c>
      <c r="I41" s="91">
        <f t="shared" si="7"/>
        <v>16535.78</v>
      </c>
      <c r="J41" s="91">
        <f t="shared" si="7"/>
        <v>18959.922045296687</v>
      </c>
      <c r="K41" s="91">
        <f t="shared" si="7"/>
        <v>22556.218039432442</v>
      </c>
      <c r="L41" s="91">
        <f t="shared" si="7"/>
        <v>26680.436195219154</v>
      </c>
      <c r="M41" s="211">
        <f t="shared" si="7"/>
        <v>30555.914365131775</v>
      </c>
    </row>
    <row r="42" spans="3:18">
      <c r="C42" s="154"/>
      <c r="D42" s="32"/>
      <c r="M42" s="161"/>
    </row>
    <row r="43" spans="3:18">
      <c r="C43" s="154" t="s">
        <v>225</v>
      </c>
      <c r="D43" s="32"/>
      <c r="E43">
        <f t="shared" ref="E43:M43" si="8">E29</f>
        <v>697582</v>
      </c>
      <c r="F43">
        <f t="shared" si="8"/>
        <v>609403</v>
      </c>
      <c r="G43">
        <f t="shared" si="8"/>
        <v>595474</v>
      </c>
      <c r="H43">
        <f t="shared" si="8"/>
        <v>824066</v>
      </c>
      <c r="I43">
        <f t="shared" si="8"/>
        <v>912003</v>
      </c>
      <c r="J43" s="89">
        <f t="shared" si="8"/>
        <v>962224.62521063373</v>
      </c>
      <c r="K43" s="89">
        <f t="shared" si="8"/>
        <v>1054267.5590484289</v>
      </c>
      <c r="L43" s="89">
        <f t="shared" si="8"/>
        <v>1181866.5765091607</v>
      </c>
      <c r="M43" s="155">
        <f t="shared" si="8"/>
        <v>1270251.5742996372</v>
      </c>
    </row>
    <row r="44" spans="3:18">
      <c r="C44" s="154"/>
      <c r="D44" s="32"/>
      <c r="M44" s="161"/>
    </row>
    <row r="45" spans="3:18">
      <c r="C45" s="154" t="s">
        <v>105</v>
      </c>
      <c r="D45" s="32"/>
      <c r="E45" s="250">
        <f>'Income Statement'!E11</f>
        <v>0.66792336987277101</v>
      </c>
      <c r="F45" s="250">
        <f>'Income Statement'!F11</f>
        <v>0.71797691606414882</v>
      </c>
      <c r="G45" s="250">
        <f>'Income Statement'!G11</f>
        <v>0.6960592668552501</v>
      </c>
      <c r="H45" s="250">
        <f>'Income Statement'!H11</f>
        <v>0.67094441420893514</v>
      </c>
      <c r="I45" s="250">
        <f>'Income Statement'!I11</f>
        <v>0.64714092712892901</v>
      </c>
      <c r="J45" s="250">
        <f>'Growth drivers'!F18</f>
        <v>0.68000897882600675</v>
      </c>
      <c r="K45" s="250">
        <f>'Growth drivers'!G18</f>
        <v>0.68242610061665399</v>
      </c>
      <c r="L45" s="250">
        <f>'Growth drivers'!H18</f>
        <v>0.67531593752715513</v>
      </c>
      <c r="M45" s="253">
        <f>'Growth drivers'!I18</f>
        <v>0.67116727166153611</v>
      </c>
    </row>
    <row r="46" spans="3:18">
      <c r="C46" s="154"/>
      <c r="D46" s="32"/>
      <c r="M46" s="161"/>
    </row>
    <row r="47" spans="3:18">
      <c r="C47" s="162" t="s">
        <v>232</v>
      </c>
      <c r="D47" s="33"/>
      <c r="E47" s="2">
        <f>'Income Statement'!E10</f>
        <v>6113.8899999999994</v>
      </c>
      <c r="F47" s="91">
        <f>'Income Statement'!F10</f>
        <v>6261.01</v>
      </c>
      <c r="G47" s="91">
        <f>'Income Statement'!G10</f>
        <v>7167.9</v>
      </c>
      <c r="H47" s="91">
        <f>'Income Statement'!H10</f>
        <v>9689.9</v>
      </c>
      <c r="I47" s="91">
        <f>'Income Statement'!I10</f>
        <v>10700.980000000001</v>
      </c>
      <c r="J47" s="91">
        <f>J41*J45</f>
        <v>12892.917228642893</v>
      </c>
      <c r="K47" s="91">
        <f t="shared" ref="K47:M47" si="9">K41*K45</f>
        <v>15392.95192130891</v>
      </c>
      <c r="L47" s="91">
        <f t="shared" si="9"/>
        <v>18017.723782807865</v>
      </c>
      <c r="M47" s="211">
        <f t="shared" si="9"/>
        <v>20508.129677569032</v>
      </c>
    </row>
    <row r="48" spans="3:18">
      <c r="C48" s="154" t="s">
        <v>229</v>
      </c>
      <c r="D48" s="32"/>
      <c r="F48" s="254">
        <f>F47/E47-1</f>
        <v>2.4063239606862519E-2</v>
      </c>
      <c r="G48" s="254">
        <f t="shared" ref="G48:J48" si="10">G47/F47-1</f>
        <v>0.14484723710711211</v>
      </c>
      <c r="H48" s="254">
        <f t="shared" si="10"/>
        <v>0.35184642642894026</v>
      </c>
      <c r="I48" s="254">
        <f t="shared" si="10"/>
        <v>0.10434369807737975</v>
      </c>
      <c r="J48" s="254">
        <f t="shared" si="10"/>
        <v>0.20483518599631911</v>
      </c>
      <c r="K48" s="95">
        <f t="shared" ref="K48" si="11">K47/J47-1</f>
        <v>0.19390760433270615</v>
      </c>
      <c r="L48" s="95">
        <f t="shared" ref="L48" si="12">L47/K47-1</f>
        <v>0.17051777169948856</v>
      </c>
      <c r="M48" s="255">
        <f t="shared" ref="M48" si="13">M47/L47-1</f>
        <v>0.13821978429580883</v>
      </c>
    </row>
    <row r="49" spans="3:13">
      <c r="C49" s="154"/>
      <c r="D49" s="32"/>
      <c r="M49" s="161"/>
    </row>
    <row r="50" spans="3:13">
      <c r="C50" s="154" t="s">
        <v>233</v>
      </c>
      <c r="D50" s="32"/>
      <c r="E50" s="89">
        <f>'Income Statement'!E16</f>
        <v>856.8</v>
      </c>
      <c r="F50" s="89">
        <f>'Income Statement'!F16</f>
        <v>676.11</v>
      </c>
      <c r="G50" s="89">
        <f>'Income Statement'!G16</f>
        <v>952.36</v>
      </c>
      <c r="H50" s="89">
        <f>'Income Statement'!H16</f>
        <v>1306.56</v>
      </c>
      <c r="I50" s="89">
        <f>'Income Statement'!I16</f>
        <v>1505.43</v>
      </c>
      <c r="J50" s="89">
        <f>'Growth drivers'!F20</f>
        <v>1973.4754110712895</v>
      </c>
      <c r="K50" s="94">
        <f>'Growth drivers'!G20</f>
        <v>1765.7062699843386</v>
      </c>
      <c r="L50" s="94">
        <f>'Growth drivers'!H20</f>
        <v>1994.2447548665655</v>
      </c>
      <c r="M50" s="155">
        <f>'Growth drivers'!I20</f>
        <v>2201.6127967239358</v>
      </c>
    </row>
    <row r="51" spans="3:13">
      <c r="C51" s="154" t="s">
        <v>250</v>
      </c>
      <c r="D51" s="32"/>
      <c r="E51" s="75">
        <f>E50/E41</f>
        <v>9.3602721558122604E-2</v>
      </c>
      <c r="F51" s="75">
        <f t="shared" ref="F51:M51" si="14">F50/F41</f>
        <v>7.7532438491574304E-2</v>
      </c>
      <c r="G51" s="75">
        <f t="shared" si="14"/>
        <v>9.2481619914098409E-2</v>
      </c>
      <c r="H51" s="75">
        <f t="shared" si="14"/>
        <v>9.046833649767555E-2</v>
      </c>
      <c r="I51" s="75">
        <f t="shared" si="14"/>
        <v>9.1040761306693738E-2</v>
      </c>
      <c r="J51" s="75">
        <f t="shared" si="14"/>
        <v>0.10408668381423233</v>
      </c>
      <c r="K51" s="75">
        <f t="shared" si="14"/>
        <v>7.8280244804229029E-2</v>
      </c>
      <c r="L51" s="75">
        <f t="shared" si="14"/>
        <v>7.4745582878585487E-2</v>
      </c>
      <c r="M51" s="251">
        <f t="shared" si="14"/>
        <v>7.2051936342518982E-2</v>
      </c>
    </row>
    <row r="52" spans="3:13">
      <c r="C52" s="154"/>
      <c r="D52" s="32"/>
      <c r="M52" s="161"/>
    </row>
    <row r="53" spans="3:13">
      <c r="C53" s="154"/>
      <c r="D53" s="32"/>
      <c r="M53" s="161"/>
    </row>
    <row r="54" spans="3:13">
      <c r="C54" s="162" t="s">
        <v>234</v>
      </c>
      <c r="D54" s="33"/>
      <c r="E54" s="91">
        <f>E47+E50</f>
        <v>6970.69</v>
      </c>
      <c r="F54" s="91">
        <f t="shared" ref="F54:M54" si="15">F47+F50</f>
        <v>6937.12</v>
      </c>
      <c r="G54" s="91">
        <f t="shared" si="15"/>
        <v>8120.2599999999993</v>
      </c>
      <c r="H54" s="91">
        <f t="shared" si="15"/>
        <v>10996.46</v>
      </c>
      <c r="I54" s="91">
        <f t="shared" si="15"/>
        <v>12206.410000000002</v>
      </c>
      <c r="J54" s="91">
        <f t="shared" si="15"/>
        <v>14866.392639714182</v>
      </c>
      <c r="K54" s="91">
        <f t="shared" si="15"/>
        <v>17158.658191293249</v>
      </c>
      <c r="L54" s="91">
        <f t="shared" si="15"/>
        <v>20011.968537674431</v>
      </c>
      <c r="M54" s="211">
        <f t="shared" si="15"/>
        <v>22709.742474292969</v>
      </c>
    </row>
    <row r="55" spans="3:13">
      <c r="C55" s="154" t="s">
        <v>229</v>
      </c>
      <c r="D55" s="32"/>
      <c r="F55" s="90">
        <f>F54/E54-1</f>
        <v>-4.8158790593183509E-3</v>
      </c>
      <c r="G55" s="90">
        <f t="shared" ref="G55:M55" si="16">G54/F54-1</f>
        <v>0.17055204465253593</v>
      </c>
      <c r="H55" s="90">
        <f t="shared" si="16"/>
        <v>0.35420048126537829</v>
      </c>
      <c r="I55" s="90">
        <f t="shared" si="16"/>
        <v>0.11003086447820509</v>
      </c>
      <c r="J55" s="90">
        <f t="shared" si="16"/>
        <v>0.21791686824497791</v>
      </c>
      <c r="K55" s="90">
        <f t="shared" si="16"/>
        <v>0.15419110789899992</v>
      </c>
      <c r="L55" s="90">
        <f t="shared" si="16"/>
        <v>0.16628982957589455</v>
      </c>
      <c r="M55" s="256">
        <f t="shared" si="16"/>
        <v>0.13480802408517301</v>
      </c>
    </row>
    <row r="56" spans="3:13">
      <c r="C56" s="154"/>
      <c r="D56" s="32"/>
      <c r="M56" s="161"/>
    </row>
    <row r="57" spans="3:13">
      <c r="C57" s="162" t="s">
        <v>235</v>
      </c>
      <c r="D57" s="33"/>
      <c r="E57" s="257">
        <f>E54/E41</f>
        <v>0.76152609143089367</v>
      </c>
      <c r="F57" s="257">
        <f t="shared" ref="F57:M57" si="17">F54/F41</f>
        <v>0.79550935455572303</v>
      </c>
      <c r="G57" s="257">
        <f t="shared" si="17"/>
        <v>0.78854088676934841</v>
      </c>
      <c r="H57" s="257">
        <f t="shared" si="17"/>
        <v>0.76141275070661074</v>
      </c>
      <c r="I57" s="257">
        <f t="shared" si="17"/>
        <v>0.73818168843562282</v>
      </c>
      <c r="J57" s="257">
        <f t="shared" si="17"/>
        <v>0.784095662640239</v>
      </c>
      <c r="K57" s="257">
        <f t="shared" si="17"/>
        <v>0.760706345420883</v>
      </c>
      <c r="L57" s="257">
        <f t="shared" si="17"/>
        <v>0.75006152040574059</v>
      </c>
      <c r="M57" s="258">
        <f t="shared" si="17"/>
        <v>0.74321920800405517</v>
      </c>
    </row>
    <row r="58" spans="3:13">
      <c r="C58" s="154"/>
      <c r="D58" s="32"/>
      <c r="M58" s="161"/>
    </row>
    <row r="59" spans="3:13">
      <c r="C59" s="154"/>
      <c r="D59" s="32"/>
      <c r="M59" s="161"/>
    </row>
    <row r="60" spans="3:13">
      <c r="C60" s="215"/>
      <c r="D60" s="292"/>
      <c r="E60" s="215"/>
      <c r="F60" s="215"/>
      <c r="G60" s="215"/>
      <c r="H60" s="215"/>
      <c r="I60" s="215"/>
      <c r="J60" s="215"/>
      <c r="K60" s="215"/>
      <c r="L60" s="215"/>
      <c r="M60" s="215"/>
    </row>
  </sheetData>
  <conditionalFormatting sqref="E17:M17">
    <cfRule type="cellIs" dxfId="3" priority="1" operator="greaterThan">
      <formula>"69.76%&gt;1"</formula>
    </cfRule>
  </conditionalFormatting>
  <conditionalFormatting sqref="E18:M18">
    <cfRule type="cellIs" dxfId="2" priority="2" operator="greaterThan">
      <formula>$E$17&gt;1</formula>
    </cfRule>
    <cfRule type="cellIs" dxfId="1" priority="3" operator="greaterThan">
      <formula>IF($E$17&gt;1,"yes","no")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B888-2D65-4968-9353-857015A6D86D}">
  <sheetPr>
    <tabColor theme="5"/>
  </sheetPr>
  <dimension ref="B1:M75"/>
  <sheetViews>
    <sheetView showGridLines="0" workbookViewId="0">
      <selection activeCell="M3" sqref="M3"/>
    </sheetView>
  </sheetViews>
  <sheetFormatPr defaultRowHeight="15"/>
  <cols>
    <col min="1" max="1" width="3.28515625" customWidth="1"/>
    <col min="2" max="2" width="4.5703125" hidden="1" customWidth="1"/>
    <col min="3" max="3" width="23.7109375" customWidth="1"/>
    <col min="5" max="9" width="9.42578125" bestFit="1" customWidth="1"/>
    <col min="10" max="10" width="11" bestFit="1" customWidth="1"/>
    <col min="11" max="13" width="9" bestFit="1" customWidth="1"/>
  </cols>
  <sheetData>
    <row r="1" spans="3:13" ht="21">
      <c r="C1" s="19" t="s">
        <v>236</v>
      </c>
    </row>
    <row r="2" spans="3:13" ht="15.75" thickBot="1"/>
    <row r="3" spans="3:13" ht="21.75" thickBot="1">
      <c r="C3" s="221" t="s">
        <v>180</v>
      </c>
      <c r="D3" s="221"/>
      <c r="E3" s="293" t="s">
        <v>94</v>
      </c>
      <c r="F3" s="293" t="s">
        <v>95</v>
      </c>
      <c r="G3" s="293" t="s">
        <v>96</v>
      </c>
      <c r="H3" s="293" t="s">
        <v>97</v>
      </c>
      <c r="I3" s="293" t="s">
        <v>98</v>
      </c>
      <c r="J3" s="293" t="s">
        <v>103</v>
      </c>
      <c r="K3" s="293" t="s">
        <v>99</v>
      </c>
      <c r="L3" s="293" t="s">
        <v>100</v>
      </c>
      <c r="M3" s="293" t="s">
        <v>101</v>
      </c>
    </row>
    <row r="4" spans="3:13" ht="15.75" thickTop="1">
      <c r="D4" s="96"/>
    </row>
    <row r="5" spans="3:13">
      <c r="D5" s="32"/>
    </row>
    <row r="6" spans="3:13">
      <c r="C6" t="s">
        <v>6</v>
      </c>
      <c r="D6" s="32"/>
      <c r="E6" s="89">
        <f>'Income Statement'!E7</f>
        <v>9153.58</v>
      </c>
      <c r="F6" s="89">
        <f>'Income Statement'!F7</f>
        <v>8720.35</v>
      </c>
      <c r="G6" s="89">
        <f>'Income Statement'!G7</f>
        <v>10297.83</v>
      </c>
      <c r="H6" s="89">
        <f>'Income Statement'!H7</f>
        <v>14442.18</v>
      </c>
      <c r="I6" s="89">
        <f>'Income Statement'!I7</f>
        <v>16535.78</v>
      </c>
      <c r="J6" s="89">
        <f>'Income Statement'!J7</f>
        <v>18959.922045296687</v>
      </c>
      <c r="K6" s="89">
        <f>'Income Statement'!K7</f>
        <v>22556.218039432442</v>
      </c>
      <c r="L6" s="89">
        <f>'Income Statement'!L7</f>
        <v>26680.436195219154</v>
      </c>
      <c r="M6" s="89">
        <f>'Income Statement'!M7</f>
        <v>30555.914365131775</v>
      </c>
    </row>
    <row r="7" spans="3:13">
      <c r="D7" s="32"/>
      <c r="E7" s="89"/>
      <c r="F7" s="89"/>
      <c r="G7" s="89"/>
      <c r="H7" s="89"/>
      <c r="I7" s="89"/>
      <c r="J7" s="89"/>
      <c r="K7" s="89"/>
      <c r="L7" s="89"/>
      <c r="M7" s="89"/>
    </row>
    <row r="8" spans="3:13">
      <c r="C8" t="s">
        <v>238</v>
      </c>
      <c r="D8" s="32"/>
      <c r="E8">
        <f>'Income Statement'!E21</f>
        <v>381.54</v>
      </c>
      <c r="F8">
        <f>'Income Statement'!F21</f>
        <v>450.73</v>
      </c>
      <c r="G8">
        <f>'Income Statement'!G21</f>
        <v>451.93</v>
      </c>
      <c r="H8">
        <f>'Income Statement'!H21</f>
        <v>526.21</v>
      </c>
      <c r="I8">
        <f>'Income Statement'!I21</f>
        <v>597.6</v>
      </c>
      <c r="J8" s="89">
        <f>'Growth drivers'!F29</f>
        <v>661.48</v>
      </c>
      <c r="K8" s="89">
        <f>'Growth drivers'!G29</f>
        <v>782.80823566388983</v>
      </c>
      <c r="L8" s="89">
        <f>'Growth drivers'!H29</f>
        <v>883.47294859004762</v>
      </c>
      <c r="M8" s="89">
        <f>'Growth drivers'!I29</f>
        <v>909.09793628988575</v>
      </c>
    </row>
    <row r="9" spans="3:13">
      <c r="D9" s="32"/>
      <c r="E9" s="89"/>
      <c r="F9" s="89"/>
      <c r="G9" s="89"/>
      <c r="H9" s="89"/>
      <c r="I9" s="89"/>
      <c r="J9" s="89"/>
      <c r="K9" s="89"/>
      <c r="L9" s="89"/>
      <c r="M9" s="89"/>
    </row>
    <row r="10" spans="3:13">
      <c r="C10" t="s">
        <v>256</v>
      </c>
      <c r="D10" s="32"/>
      <c r="E10" s="90">
        <f>E8/E6</f>
        <v>4.1682052268074352E-2</v>
      </c>
      <c r="F10" s="90">
        <f t="shared" ref="F10:I10" si="0">F8/F6</f>
        <v>5.1687145584752903E-2</v>
      </c>
      <c r="G10" s="90">
        <f t="shared" si="0"/>
        <v>4.3885944902955283E-2</v>
      </c>
      <c r="H10" s="90">
        <f t="shared" si="0"/>
        <v>3.643563506340456E-2</v>
      </c>
      <c r="I10" s="90">
        <f t="shared" si="0"/>
        <v>3.6139813180872025E-2</v>
      </c>
      <c r="J10" s="90">
        <f>J8/J6</f>
        <v>3.4888329098594094E-2</v>
      </c>
      <c r="K10" s="90">
        <f t="shared" ref="K10:M10" si="1">K8/K6</f>
        <v>3.4704764526366796E-2</v>
      </c>
      <c r="L10" s="90">
        <f t="shared" si="1"/>
        <v>3.3113137361238359E-2</v>
      </c>
      <c r="M10" s="90">
        <f t="shared" si="1"/>
        <v>2.9751946723848767E-2</v>
      </c>
    </row>
    <row r="11" spans="3:13">
      <c r="D11" s="32"/>
    </row>
    <row r="12" spans="3:13">
      <c r="C12" t="s">
        <v>237</v>
      </c>
      <c r="D12" s="32"/>
      <c r="E12">
        <f>-'Income Statement'!E99</f>
        <v>546</v>
      </c>
      <c r="F12">
        <f>-'Income Statement'!F99</f>
        <v>532</v>
      </c>
      <c r="G12">
        <f>-'Income Statement'!G99</f>
        <v>641</v>
      </c>
      <c r="H12">
        <f>-'Income Statement'!H99</f>
        <v>682</v>
      </c>
      <c r="I12">
        <f>-'Income Statement'!I99</f>
        <v>819</v>
      </c>
      <c r="J12" s="49">
        <f>J28</f>
        <v>1060.3230104904023</v>
      </c>
      <c r="K12" s="49">
        <f t="shared" ref="K12:M12" si="2">K28</f>
        <v>1467.3679392400963</v>
      </c>
      <c r="L12" s="49">
        <f t="shared" si="2"/>
        <v>896.1922680151747</v>
      </c>
      <c r="M12" s="49">
        <f t="shared" si="2"/>
        <v>968.87456333461705</v>
      </c>
    </row>
    <row r="13" spans="3:13">
      <c r="D13" s="32"/>
    </row>
    <row r="14" spans="3:13">
      <c r="C14" t="s">
        <v>27</v>
      </c>
      <c r="D14" s="32"/>
      <c r="E14">
        <f>'Income Statement'!E57</f>
        <v>2377.52</v>
      </c>
      <c r="F14">
        <f>'Income Statement'!F57</f>
        <v>2433.3000000000002</v>
      </c>
      <c r="G14">
        <f>'Income Statement'!G57</f>
        <v>2424.2800000000002</v>
      </c>
      <c r="H14">
        <f>'Income Statement'!H57</f>
        <v>2689.99</v>
      </c>
      <c r="I14">
        <f>'Income Statement'!I57</f>
        <v>2914.38</v>
      </c>
      <c r="J14" s="49">
        <f>J20</f>
        <v>3312.8430104904023</v>
      </c>
      <c r="K14" s="49">
        <f t="shared" ref="K14:M14" si="3">K20</f>
        <v>3997.4027140666085</v>
      </c>
      <c r="L14" s="49">
        <f t="shared" si="3"/>
        <v>4010.1220334917352</v>
      </c>
      <c r="M14" s="49">
        <f t="shared" si="3"/>
        <v>4069.8986605364662</v>
      </c>
    </row>
    <row r="15" spans="3:13">
      <c r="D15" s="32"/>
    </row>
    <row r="16" spans="3:13">
      <c r="C16" t="s">
        <v>254</v>
      </c>
      <c r="D16" s="32"/>
      <c r="E16" s="230">
        <v>0</v>
      </c>
      <c r="F16" s="230">
        <v>0</v>
      </c>
      <c r="G16" s="230">
        <v>0</v>
      </c>
      <c r="H16" s="230">
        <v>0</v>
      </c>
      <c r="I16" s="230">
        <v>0</v>
      </c>
      <c r="J16" s="75">
        <f>'Growth drivers'!F23</f>
        <v>6789.3230104904023</v>
      </c>
      <c r="K16" s="75">
        <f>'Growth drivers'!G23</f>
        <v>8256.6909497304987</v>
      </c>
      <c r="L16" s="75">
        <f>'Growth drivers'!H23</f>
        <v>9152.8832177456734</v>
      </c>
      <c r="M16" s="75">
        <f>'Growth drivers'!I23</f>
        <v>10121.75778108029</v>
      </c>
    </row>
    <row r="17" spans="3:13">
      <c r="C17" s="2" t="s">
        <v>220</v>
      </c>
      <c r="D17" s="32"/>
    </row>
    <row r="18" spans="3:13">
      <c r="C18" t="s">
        <v>240</v>
      </c>
      <c r="D18" s="32"/>
      <c r="E18" s="232">
        <v>3585</v>
      </c>
      <c r="F18" s="232">
        <v>4049</v>
      </c>
      <c r="G18" s="232">
        <v>4405</v>
      </c>
      <c r="H18" s="232">
        <v>5142</v>
      </c>
      <c r="I18" s="232">
        <v>5729</v>
      </c>
      <c r="J18" s="49">
        <f>J29</f>
        <v>6789.3230104904023</v>
      </c>
      <c r="K18" s="49">
        <f t="shared" ref="K18:M18" si="4">K29</f>
        <v>8256.6909497304987</v>
      </c>
      <c r="L18" s="49">
        <f t="shared" si="4"/>
        <v>9152.8832177456734</v>
      </c>
      <c r="M18" s="49">
        <f t="shared" si="4"/>
        <v>10121.75778108029</v>
      </c>
    </row>
    <row r="19" spans="3:13">
      <c r="C19" t="s">
        <v>239</v>
      </c>
      <c r="D19" s="32"/>
      <c r="E19" s="232">
        <v>-1208</v>
      </c>
      <c r="F19" s="230">
        <v>-1616</v>
      </c>
      <c r="G19" s="230">
        <v>-1981</v>
      </c>
      <c r="H19" s="230">
        <v>-2452</v>
      </c>
      <c r="I19" s="230">
        <v>-2815</v>
      </c>
      <c r="J19" s="49">
        <f>-J39</f>
        <v>-3476.48</v>
      </c>
      <c r="K19" s="49">
        <f t="shared" ref="K19:M19" si="5">-K39</f>
        <v>-4259.2882356638902</v>
      </c>
      <c r="L19" s="49">
        <f t="shared" si="5"/>
        <v>-5142.7611842539382</v>
      </c>
      <c r="M19" s="49">
        <f t="shared" si="5"/>
        <v>-6051.8591205438242</v>
      </c>
    </row>
    <row r="20" spans="3:13" ht="15.75" thickBot="1">
      <c r="C20" s="63" t="s">
        <v>179</v>
      </c>
      <c r="D20" s="48"/>
      <c r="E20" s="104">
        <f>SUM(E18:E19)</f>
        <v>2377</v>
      </c>
      <c r="F20" s="104">
        <f t="shared" ref="F20:M20" si="6">SUM(F18:F19)</f>
        <v>2433</v>
      </c>
      <c r="G20" s="104">
        <f t="shared" si="6"/>
        <v>2424</v>
      </c>
      <c r="H20" s="104">
        <f t="shared" si="6"/>
        <v>2690</v>
      </c>
      <c r="I20" s="104">
        <f t="shared" si="6"/>
        <v>2914</v>
      </c>
      <c r="J20" s="104">
        <f t="shared" si="6"/>
        <v>3312.8430104904023</v>
      </c>
      <c r="K20" s="104">
        <f t="shared" si="6"/>
        <v>3997.4027140666085</v>
      </c>
      <c r="L20" s="104">
        <f t="shared" si="6"/>
        <v>4010.1220334917352</v>
      </c>
      <c r="M20" s="104">
        <f t="shared" si="6"/>
        <v>4069.8986605364662</v>
      </c>
    </row>
    <row r="21" spans="3:13">
      <c r="D21" s="32"/>
    </row>
    <row r="22" spans="3:13">
      <c r="D22" s="32"/>
    </row>
    <row r="23" spans="3:13" ht="21">
      <c r="C23" s="19" t="s">
        <v>477</v>
      </c>
    </row>
    <row r="26" spans="3:13">
      <c r="C26" s="38"/>
      <c r="D26" s="37"/>
      <c r="E26" s="38"/>
      <c r="F26" s="38"/>
      <c r="G26" s="38"/>
      <c r="H26" s="38"/>
      <c r="I26" s="38"/>
      <c r="J26" s="38"/>
      <c r="K26" s="38"/>
      <c r="L26" s="38"/>
      <c r="M26" s="38"/>
    </row>
    <row r="27" spans="3:13">
      <c r="C27" t="s">
        <v>241</v>
      </c>
      <c r="D27" s="32"/>
      <c r="F27" s="49">
        <f>E29</f>
        <v>3585</v>
      </c>
      <c r="G27" s="49">
        <f t="shared" ref="G27:I27" si="7">F29</f>
        <v>4049</v>
      </c>
      <c r="H27" s="49">
        <f t="shared" si="7"/>
        <v>4405</v>
      </c>
      <c r="I27" s="49">
        <f t="shared" si="7"/>
        <v>5142</v>
      </c>
      <c r="J27" s="49">
        <f>I29</f>
        <v>5729</v>
      </c>
      <c r="K27" s="49">
        <f t="shared" ref="K27:M27" si="8">J29</f>
        <v>6789.3230104904023</v>
      </c>
      <c r="L27" s="49">
        <f t="shared" si="8"/>
        <v>8256.6909497304987</v>
      </c>
      <c r="M27" s="49">
        <f t="shared" si="8"/>
        <v>9152.8832177456734</v>
      </c>
    </row>
    <row r="28" spans="3:13">
      <c r="C28" t="s">
        <v>242</v>
      </c>
      <c r="D28" s="32"/>
      <c r="F28" s="49">
        <f>F12</f>
        <v>532</v>
      </c>
      <c r="G28" s="49">
        <f>G12</f>
        <v>641</v>
      </c>
      <c r="H28" s="49">
        <f>H12</f>
        <v>682</v>
      </c>
      <c r="I28" s="49">
        <f>I12</f>
        <v>819</v>
      </c>
      <c r="J28" s="49">
        <f>J29-J27</f>
        <v>1060.3230104904023</v>
      </c>
      <c r="K28" s="49">
        <f t="shared" ref="K28:M28" si="9">K29-K27</f>
        <v>1467.3679392400963</v>
      </c>
      <c r="L28" s="49">
        <f t="shared" si="9"/>
        <v>896.1922680151747</v>
      </c>
      <c r="M28" s="49">
        <f t="shared" si="9"/>
        <v>968.87456333461705</v>
      </c>
    </row>
    <row r="29" spans="3:13">
      <c r="C29" s="2" t="s">
        <v>243</v>
      </c>
      <c r="D29" s="33"/>
      <c r="E29" s="51">
        <f>E18</f>
        <v>3585</v>
      </c>
      <c r="F29" s="51">
        <f>F18</f>
        <v>4049</v>
      </c>
      <c r="G29" s="51">
        <f t="shared" ref="G29:I29" si="10">G18</f>
        <v>4405</v>
      </c>
      <c r="H29" s="51">
        <f t="shared" si="10"/>
        <v>5142</v>
      </c>
      <c r="I29" s="51">
        <f t="shared" si="10"/>
        <v>5729</v>
      </c>
      <c r="J29" s="51">
        <f>IF(J16&lt;1,I29*(1+J16),J16)</f>
        <v>6789.3230104904023</v>
      </c>
      <c r="K29" s="51">
        <f t="shared" ref="K29:M29" si="11">IF(K16&lt;1,J29*(1+K16),K16)</f>
        <v>8256.6909497304987</v>
      </c>
      <c r="L29" s="51">
        <f t="shared" si="11"/>
        <v>9152.8832177456734</v>
      </c>
      <c r="M29" s="51">
        <f t="shared" si="11"/>
        <v>10121.75778108029</v>
      </c>
    </row>
    <row r="30" spans="3:13">
      <c r="C30" t="s">
        <v>244</v>
      </c>
      <c r="D30" s="32"/>
      <c r="E30" s="49">
        <f>-E19</f>
        <v>1208</v>
      </c>
      <c r="F30" s="49">
        <f t="shared" ref="F30:I30" si="12">-F19</f>
        <v>1616</v>
      </c>
      <c r="G30" s="49">
        <f t="shared" si="12"/>
        <v>1981</v>
      </c>
      <c r="H30" s="49">
        <f t="shared" si="12"/>
        <v>2452</v>
      </c>
      <c r="I30" s="49">
        <f t="shared" si="12"/>
        <v>2815</v>
      </c>
      <c r="J30" s="103">
        <f>I30+J8</f>
        <v>3476.48</v>
      </c>
      <c r="K30" s="103">
        <f t="shared" ref="K30:M30" si="13">J30+K8</f>
        <v>4259.2882356638902</v>
      </c>
      <c r="L30" s="103">
        <f t="shared" si="13"/>
        <v>5142.7611842539382</v>
      </c>
      <c r="M30" s="103">
        <f t="shared" si="13"/>
        <v>6051.8591205438242</v>
      </c>
    </row>
    <row r="31" spans="3:13">
      <c r="D31" s="32"/>
    </row>
    <row r="32" spans="3:13" ht="15.75" thickBot="1">
      <c r="C32" s="63" t="s">
        <v>27</v>
      </c>
      <c r="D32" s="48"/>
      <c r="E32" s="104">
        <f>E29-E30</f>
        <v>2377</v>
      </c>
      <c r="F32" s="104">
        <f t="shared" ref="F32:I32" si="14">F29-F30</f>
        <v>2433</v>
      </c>
      <c r="G32" s="104">
        <f t="shared" si="14"/>
        <v>2424</v>
      </c>
      <c r="H32" s="104">
        <f t="shared" si="14"/>
        <v>2690</v>
      </c>
      <c r="I32" s="104">
        <f t="shared" si="14"/>
        <v>2914</v>
      </c>
      <c r="J32" s="104">
        <f>J29-J30</f>
        <v>3312.8430104904023</v>
      </c>
      <c r="K32" s="104">
        <f t="shared" ref="K32:M32" si="15">K29-K30</f>
        <v>3997.4027140666085</v>
      </c>
      <c r="L32" s="104">
        <f t="shared" si="15"/>
        <v>4010.1220334917352</v>
      </c>
      <c r="M32" s="104">
        <f t="shared" si="15"/>
        <v>4069.8986605364662</v>
      </c>
    </row>
    <row r="33" spans="3:13">
      <c r="D33" s="32"/>
    </row>
    <row r="34" spans="3:13">
      <c r="D34" s="32"/>
    </row>
    <row r="35" spans="3:13" ht="21">
      <c r="C35" s="19" t="s">
        <v>257</v>
      </c>
      <c r="D35" s="32"/>
    </row>
    <row r="36" spans="3:13">
      <c r="D36" s="32"/>
    </row>
    <row r="37" spans="3:13">
      <c r="C37" t="s">
        <v>258</v>
      </c>
      <c r="D37" s="32"/>
      <c r="F37">
        <f>E39</f>
        <v>1208</v>
      </c>
      <c r="G37">
        <f t="shared" ref="G37:I37" si="16">F39</f>
        <v>1616</v>
      </c>
      <c r="H37">
        <f t="shared" si="16"/>
        <v>1981</v>
      </c>
      <c r="I37">
        <f t="shared" si="16"/>
        <v>2452</v>
      </c>
      <c r="J37">
        <f>I39</f>
        <v>2815</v>
      </c>
      <c r="K37">
        <f t="shared" ref="K37:M37" si="17">J39</f>
        <v>3476.48</v>
      </c>
      <c r="L37">
        <f t="shared" si="17"/>
        <v>4259.2882356638902</v>
      </c>
      <c r="M37">
        <f t="shared" si="17"/>
        <v>5142.7611842539382</v>
      </c>
    </row>
    <row r="38" spans="3:13">
      <c r="C38" t="s">
        <v>259</v>
      </c>
      <c r="D38" s="32"/>
      <c r="F38" s="71">
        <f>F8</f>
        <v>450.73</v>
      </c>
      <c r="G38" s="71">
        <f t="shared" ref="G38:I38" si="18">G8</f>
        <v>451.93</v>
      </c>
      <c r="H38" s="71">
        <f t="shared" si="18"/>
        <v>526.21</v>
      </c>
      <c r="I38" s="71">
        <f t="shared" si="18"/>
        <v>597.6</v>
      </c>
      <c r="J38" s="89">
        <f>J8</f>
        <v>661.48</v>
      </c>
      <c r="K38" s="89">
        <f t="shared" ref="K38:M38" si="19">K8</f>
        <v>782.80823566388983</v>
      </c>
      <c r="L38" s="89">
        <f t="shared" si="19"/>
        <v>883.47294859004762</v>
      </c>
      <c r="M38" s="89">
        <f t="shared" si="19"/>
        <v>909.09793628988575</v>
      </c>
    </row>
    <row r="39" spans="3:13" ht="15.75" thickBot="1">
      <c r="C39" s="63" t="s">
        <v>260</v>
      </c>
      <c r="D39" s="48"/>
      <c r="E39" s="233">
        <v>1208</v>
      </c>
      <c r="F39" s="233">
        <v>1616</v>
      </c>
      <c r="G39" s="233">
        <v>1981</v>
      </c>
      <c r="H39" s="233">
        <v>2452</v>
      </c>
      <c r="I39" s="233">
        <v>2815</v>
      </c>
      <c r="J39" s="105">
        <f>SUM(J37:J38)</f>
        <v>3476.48</v>
      </c>
      <c r="K39" s="105">
        <f t="shared" ref="K39:M39" si="20">SUM(K37:K38)</f>
        <v>4259.2882356638902</v>
      </c>
      <c r="L39" s="105">
        <f t="shared" si="20"/>
        <v>5142.7611842539382</v>
      </c>
      <c r="M39" s="105">
        <f t="shared" si="20"/>
        <v>6051.8591205438242</v>
      </c>
    </row>
    <row r="40" spans="3:13">
      <c r="D40" s="32"/>
    </row>
    <row r="41" spans="3:13">
      <c r="C41" s="2" t="s">
        <v>430</v>
      </c>
      <c r="D41" s="32"/>
      <c r="E41" s="89">
        <f>'Income Statement'!E59</f>
        <v>5748.77</v>
      </c>
      <c r="F41" s="89">
        <f>'Income Statement'!F59</f>
        <v>3902.14</v>
      </c>
      <c r="G41" s="89">
        <f>'Income Statement'!G59</f>
        <v>7720.58</v>
      </c>
      <c r="H41" s="89">
        <f>'Income Statement'!H59</f>
        <v>12320.66</v>
      </c>
      <c r="I41" s="89">
        <f>'Income Statement'!I59</f>
        <v>13526.96</v>
      </c>
      <c r="J41" s="89">
        <f>I41*(1+J42)</f>
        <v>18095.88590560895</v>
      </c>
      <c r="K41" s="89">
        <f t="shared" ref="K41:M41" si="21">J41*(1+K42)</f>
        <v>24208.032455837576</v>
      </c>
      <c r="L41" s="89">
        <f t="shared" si="21"/>
        <v>32384.644688837347</v>
      </c>
      <c r="M41" s="89">
        <f t="shared" si="21"/>
        <v>43323.025674866003</v>
      </c>
    </row>
    <row r="42" spans="3:13">
      <c r="C42" t="s">
        <v>431</v>
      </c>
      <c r="D42" s="32"/>
      <c r="F42" s="75">
        <f>F41/E41-1</f>
        <v>-0.32122175700193267</v>
      </c>
      <c r="G42" s="75">
        <f t="shared" ref="G42:I42" si="22">G41/F41-1</f>
        <v>0.97855023141148201</v>
      </c>
      <c r="H42" s="75">
        <f t="shared" si="22"/>
        <v>0.59582052125617513</v>
      </c>
      <c r="I42" s="75">
        <f t="shared" si="22"/>
        <v>9.7908715929179158E-2</v>
      </c>
      <c r="J42" s="75">
        <f>AVERAGE(F42:I42)</f>
        <v>0.33776442789872591</v>
      </c>
      <c r="K42" s="75">
        <f>AVERAGE(F42:J42)</f>
        <v>0.33776442789872591</v>
      </c>
      <c r="L42" s="75">
        <f>AVERAGE(F42:K42)</f>
        <v>0.33776442789872591</v>
      </c>
      <c r="M42" s="75">
        <f>AVERAGE(F42:L42)</f>
        <v>0.33776442789872585</v>
      </c>
    </row>
    <row r="43" spans="3:13">
      <c r="D43" s="32"/>
      <c r="F43" s="75"/>
      <c r="G43" s="75"/>
      <c r="H43" s="75"/>
      <c r="I43" s="75"/>
      <c r="J43" s="75"/>
      <c r="K43" s="75"/>
      <c r="L43" s="75"/>
      <c r="M43" s="75"/>
    </row>
    <row r="44" spans="3:13" ht="21">
      <c r="C44" s="19" t="s">
        <v>433</v>
      </c>
      <c r="D44" s="32"/>
      <c r="F44" s="75"/>
      <c r="G44" s="75"/>
      <c r="H44" s="75"/>
      <c r="I44" s="75"/>
      <c r="J44" s="75"/>
      <c r="K44" s="75"/>
      <c r="L44" s="75"/>
      <c r="M44" s="75"/>
    </row>
    <row r="45" spans="3:13">
      <c r="C45" t="s">
        <v>434</v>
      </c>
      <c r="D45" s="32"/>
      <c r="F45">
        <f>E48</f>
        <v>5748.77</v>
      </c>
      <c r="G45">
        <f t="shared" ref="G45:I45" si="23">F48</f>
        <v>3902.14</v>
      </c>
      <c r="H45">
        <f t="shared" si="23"/>
        <v>7720.58</v>
      </c>
      <c r="I45">
        <f t="shared" si="23"/>
        <v>12320.66</v>
      </c>
      <c r="J45" s="89">
        <f>I48</f>
        <v>13526.96</v>
      </c>
      <c r="K45" s="89">
        <f t="shared" ref="K45:M45" si="24">J48</f>
        <v>18095.88590560895</v>
      </c>
      <c r="L45" s="89">
        <f t="shared" si="24"/>
        <v>24208.032455837576</v>
      </c>
      <c r="M45" s="89">
        <f t="shared" si="24"/>
        <v>32384.644688837347</v>
      </c>
    </row>
    <row r="46" spans="3:13">
      <c r="C46" t="s">
        <v>440</v>
      </c>
      <c r="D46" s="32"/>
      <c r="F46">
        <f>-'Income Statement'!F101</f>
        <v>3983</v>
      </c>
      <c r="G46">
        <f>-'Income Statement'!G101</f>
        <v>7134</v>
      </c>
      <c r="H46">
        <f>-'Income Statement'!H101</f>
        <v>9103</v>
      </c>
      <c r="I46">
        <f>-'Income Statement'!I101</f>
        <v>6106</v>
      </c>
      <c r="J46" s="89">
        <f t="shared" ref="J46" si="25">J48-J45</f>
        <v>4568.9259056089504</v>
      </c>
      <c r="K46" s="89">
        <f t="shared" ref="K46" si="26">K48-K45</f>
        <v>6112.1465502286264</v>
      </c>
      <c r="L46" s="89">
        <f t="shared" ref="L46" si="27">L48-L45</f>
        <v>8176.6122329997706</v>
      </c>
      <c r="M46" s="89">
        <f t="shared" ref="M46" si="28">M48-M45</f>
        <v>10938.380986028656</v>
      </c>
    </row>
    <row r="47" spans="3:13">
      <c r="C47" t="s">
        <v>441</v>
      </c>
      <c r="D47" s="32"/>
      <c r="F47">
        <f>-'Income Statement'!F102</f>
        <v>-5971</v>
      </c>
      <c r="G47">
        <f>-'Income Statement'!G102</f>
        <v>-3500</v>
      </c>
      <c r="H47">
        <f>-'Income Statement'!H102</f>
        <v>-5080</v>
      </c>
      <c r="I47">
        <f>-'Income Statement'!I102</f>
        <v>-5968</v>
      </c>
      <c r="J47" s="89"/>
      <c r="K47" s="89"/>
      <c r="L47" s="89"/>
      <c r="M47" s="89"/>
    </row>
    <row r="48" spans="3:13" ht="15.75" thickBot="1">
      <c r="C48" s="63" t="s">
        <v>435</v>
      </c>
      <c r="D48" s="48"/>
      <c r="E48" s="129">
        <f>E41</f>
        <v>5748.77</v>
      </c>
      <c r="F48" s="129">
        <f>F41</f>
        <v>3902.14</v>
      </c>
      <c r="G48" s="129">
        <f t="shared" ref="G48:I48" si="29">G41</f>
        <v>7720.58</v>
      </c>
      <c r="H48" s="129">
        <f t="shared" si="29"/>
        <v>12320.66</v>
      </c>
      <c r="I48" s="129">
        <f t="shared" si="29"/>
        <v>13526.96</v>
      </c>
      <c r="J48" s="129">
        <f>J41</f>
        <v>18095.88590560895</v>
      </c>
      <c r="K48" s="129">
        <f t="shared" ref="K48:M48" si="30">K41</f>
        <v>24208.032455837576</v>
      </c>
      <c r="L48" s="129">
        <f t="shared" si="30"/>
        <v>32384.644688837347</v>
      </c>
      <c r="M48" s="129">
        <f t="shared" si="30"/>
        <v>43323.025674866003</v>
      </c>
    </row>
    <row r="49" spans="3:13">
      <c r="D49" s="32"/>
    </row>
    <row r="50" spans="3:13">
      <c r="C50" s="2" t="s">
        <v>148</v>
      </c>
      <c r="D50" s="32"/>
      <c r="E50" s="89">
        <f>'Income Statement'!E58</f>
        <v>312.17</v>
      </c>
      <c r="F50" s="89">
        <f>'Income Statement'!F58</f>
        <v>314.29000000000002</v>
      </c>
      <c r="G50" s="89">
        <f>'Income Statement'!G58</f>
        <v>504.78</v>
      </c>
      <c r="H50" s="89">
        <f>'Income Statement'!H58</f>
        <v>472.07</v>
      </c>
      <c r="I50" s="89">
        <f>'Income Statement'!I58</f>
        <v>555.1</v>
      </c>
      <c r="J50" s="89">
        <f>I50*(1+J51)</f>
        <v>655.56919725150169</v>
      </c>
      <c r="K50" s="89">
        <f t="shared" ref="K50" si="31">J50*(1+K51)</f>
        <v>802.77294602307541</v>
      </c>
      <c r="L50" s="89">
        <f t="shared" ref="L50" si="32">K50*(1+L51)</f>
        <v>906.45524906949754</v>
      </c>
      <c r="M50" s="89">
        <f t="shared" ref="M50" si="33">L50*(1+M51)</f>
        <v>1067.4817040005819</v>
      </c>
    </row>
    <row r="51" spans="3:13">
      <c r="C51" t="s">
        <v>432</v>
      </c>
      <c r="D51" s="32"/>
      <c r="F51" s="75">
        <f>F50/E50-1</f>
        <v>6.7911714770798604E-3</v>
      </c>
      <c r="G51" s="75">
        <f t="shared" ref="G51" si="34">G50/F50-1</f>
        <v>0.60609628050526565</v>
      </c>
      <c r="H51" s="75">
        <f t="shared" ref="H51" si="35">H50/G50-1</f>
        <v>-6.4800507151630327E-2</v>
      </c>
      <c r="I51" s="75">
        <f t="shared" ref="I51" si="36">I50/H50-1</f>
        <v>0.17588493231935942</v>
      </c>
      <c r="J51" s="75">
        <f>AVERAGE(F51:I51)</f>
        <v>0.18099296928751865</v>
      </c>
      <c r="K51" s="75">
        <f t="shared" ref="K51" si="37">AVERAGE(G51:J51)</f>
        <v>0.22454341874012834</v>
      </c>
      <c r="L51" s="75">
        <f t="shared" ref="L51" si="38">AVERAGE(H51:K51)</f>
        <v>0.129155203298844</v>
      </c>
      <c r="M51" s="75">
        <f t="shared" ref="M51" si="39">AVERAGE(I51:L51)</f>
        <v>0.17764413091146261</v>
      </c>
    </row>
    <row r="52" spans="3:13">
      <c r="D52" s="32"/>
    </row>
    <row r="53" spans="3:13" ht="21">
      <c r="C53" s="19" t="s">
        <v>436</v>
      </c>
      <c r="D53" s="32"/>
    </row>
    <row r="54" spans="3:13">
      <c r="C54" t="s">
        <v>437</v>
      </c>
      <c r="D54" s="33"/>
      <c r="F54" s="89">
        <f>E56</f>
        <v>312.17</v>
      </c>
      <c r="G54" s="89">
        <f t="shared" ref="G54:M54" si="40">F56</f>
        <v>314.29000000000002</v>
      </c>
      <c r="H54" s="89">
        <f t="shared" si="40"/>
        <v>504.78</v>
      </c>
      <c r="I54" s="89">
        <f t="shared" si="40"/>
        <v>472.07</v>
      </c>
      <c r="J54" s="89">
        <f t="shared" si="40"/>
        <v>555.1</v>
      </c>
      <c r="K54" s="89">
        <f t="shared" si="40"/>
        <v>655.56919725150169</v>
      </c>
      <c r="L54" s="89">
        <f t="shared" si="40"/>
        <v>802.77294602307541</v>
      </c>
      <c r="M54" s="89">
        <f t="shared" si="40"/>
        <v>906.45524906949754</v>
      </c>
    </row>
    <row r="55" spans="3:13" ht="15.75" thickBot="1">
      <c r="C55" t="s">
        <v>438</v>
      </c>
      <c r="D55" s="166"/>
      <c r="F55" s="89">
        <f>F56-F54</f>
        <v>2.1200000000000045</v>
      </c>
      <c r="G55" s="89">
        <f t="shared" ref="G55:M55" si="41">G56-G54</f>
        <v>190.48999999999995</v>
      </c>
      <c r="H55" s="89">
        <f t="shared" si="41"/>
        <v>-32.70999999999998</v>
      </c>
      <c r="I55" s="89">
        <f t="shared" si="41"/>
        <v>83.03000000000003</v>
      </c>
      <c r="J55" s="89">
        <f t="shared" si="41"/>
        <v>100.46919725150167</v>
      </c>
      <c r="K55" s="89">
        <f t="shared" si="41"/>
        <v>147.20374877157371</v>
      </c>
      <c r="L55" s="89">
        <f t="shared" si="41"/>
        <v>103.68230304642213</v>
      </c>
      <c r="M55" s="89">
        <f t="shared" si="41"/>
        <v>161.02645493108434</v>
      </c>
    </row>
    <row r="56" spans="3:13" ht="15.75" thickBot="1">
      <c r="C56" s="63" t="s">
        <v>439</v>
      </c>
      <c r="D56" s="48"/>
      <c r="E56" s="129">
        <f>E50</f>
        <v>312.17</v>
      </c>
      <c r="F56" s="129">
        <f>F50</f>
        <v>314.29000000000002</v>
      </c>
      <c r="G56" s="129">
        <f t="shared" ref="G56:M56" si="42">G50</f>
        <v>504.78</v>
      </c>
      <c r="H56" s="129">
        <f t="shared" si="42"/>
        <v>472.07</v>
      </c>
      <c r="I56" s="129">
        <f t="shared" si="42"/>
        <v>555.1</v>
      </c>
      <c r="J56" s="129">
        <f t="shared" si="42"/>
        <v>655.56919725150169</v>
      </c>
      <c r="K56" s="129">
        <f t="shared" si="42"/>
        <v>802.77294602307541</v>
      </c>
      <c r="L56" s="129">
        <f t="shared" si="42"/>
        <v>906.45524906949754</v>
      </c>
      <c r="M56" s="129">
        <f t="shared" si="42"/>
        <v>1067.4817040005819</v>
      </c>
    </row>
    <row r="57" spans="3:13">
      <c r="D57" s="32"/>
    </row>
    <row r="58" spans="3:13">
      <c r="D58" s="32"/>
    </row>
    <row r="59" spans="3:13" ht="21">
      <c r="C59" s="19" t="s">
        <v>442</v>
      </c>
      <c r="D59" s="32"/>
    </row>
    <row r="60" spans="3:13">
      <c r="D60" s="32"/>
    </row>
    <row r="61" spans="3:13">
      <c r="C61" t="s">
        <v>443</v>
      </c>
      <c r="D61" s="32"/>
      <c r="F61">
        <f>E64</f>
        <v>249</v>
      </c>
      <c r="G61">
        <f t="shared" ref="G61" si="43">F64</f>
        <v>219.25</v>
      </c>
      <c r="H61">
        <f t="shared" ref="H61:J61" si="44">G64</f>
        <v>107.71</v>
      </c>
      <c r="I61">
        <f t="shared" si="44"/>
        <v>288.41000000000003</v>
      </c>
      <c r="J61">
        <f t="shared" si="44"/>
        <v>419.44</v>
      </c>
      <c r="K61">
        <f t="shared" ref="K61:M61" si="45">J64</f>
        <v>419.44</v>
      </c>
      <c r="L61">
        <f t="shared" si="45"/>
        <v>419.44</v>
      </c>
      <c r="M61">
        <f t="shared" si="45"/>
        <v>419.44</v>
      </c>
    </row>
    <row r="62" spans="3:13">
      <c r="C62" t="s">
        <v>444</v>
      </c>
      <c r="D62" s="32"/>
      <c r="F62">
        <f>'Income Statement'!F111</f>
        <v>40</v>
      </c>
      <c r="G62">
        <f>'Income Statement'!G111</f>
        <v>32</v>
      </c>
      <c r="H62">
        <f>'Income Statement'!H111</f>
        <v>202</v>
      </c>
      <c r="I62">
        <f>'Income Statement'!I111</f>
        <v>322</v>
      </c>
      <c r="J62">
        <f>'Income Statement'!J111</f>
        <v>0</v>
      </c>
      <c r="K62">
        <f>'Income Statement'!K111</f>
        <v>0</v>
      </c>
      <c r="L62">
        <f>'Income Statement'!L111</f>
        <v>0</v>
      </c>
      <c r="M62">
        <f>'Income Statement'!M111</f>
        <v>0</v>
      </c>
    </row>
    <row r="63" spans="3:13">
      <c r="C63" t="s">
        <v>445</v>
      </c>
      <c r="D63" s="32"/>
      <c r="F63">
        <f>'Income Statement'!F112</f>
        <v>-27</v>
      </c>
      <c r="G63">
        <f>'Income Statement'!G112</f>
        <v>-137</v>
      </c>
      <c r="H63">
        <f>'Income Statement'!H112</f>
        <v>-20</v>
      </c>
      <c r="I63">
        <f>'Income Statement'!I112</f>
        <v>-127</v>
      </c>
      <c r="J63">
        <f>'Income Statement'!J112</f>
        <v>0</v>
      </c>
      <c r="K63">
        <f>'Income Statement'!K112</f>
        <v>0</v>
      </c>
      <c r="L63">
        <f>'Income Statement'!L112</f>
        <v>0</v>
      </c>
      <c r="M63">
        <f>'Income Statement'!M112</f>
        <v>0</v>
      </c>
    </row>
    <row r="64" spans="3:13" ht="15.75" thickBot="1">
      <c r="C64" s="63" t="s">
        <v>446</v>
      </c>
      <c r="D64" s="48"/>
      <c r="E64" s="129">
        <f>'Income Statement'!E52</f>
        <v>249</v>
      </c>
      <c r="F64" s="129">
        <f>'Income Statement'!F52</f>
        <v>219.25</v>
      </c>
      <c r="G64" s="129">
        <f>'Income Statement'!G52</f>
        <v>107.71</v>
      </c>
      <c r="H64" s="129">
        <f>'Income Statement'!H52</f>
        <v>288.41000000000003</v>
      </c>
      <c r="I64" s="129">
        <f>'Income Statement'!I52</f>
        <v>419.44</v>
      </c>
      <c r="J64" s="129">
        <f>SUM(J61:J63)</f>
        <v>419.44</v>
      </c>
      <c r="K64" s="129">
        <f t="shared" ref="K64:M64" si="46">SUM(K61:K63)</f>
        <v>419.44</v>
      </c>
      <c r="L64" s="129">
        <f t="shared" si="46"/>
        <v>419.44</v>
      </c>
      <c r="M64" s="129">
        <f t="shared" si="46"/>
        <v>419.44</v>
      </c>
    </row>
    <row r="70" spans="5:13">
      <c r="E70" s="25"/>
      <c r="F70" s="25"/>
      <c r="G70" s="25"/>
      <c r="H70" s="25"/>
      <c r="I70" s="25"/>
      <c r="J70" s="91"/>
      <c r="K70" s="91"/>
      <c r="L70" s="91"/>
      <c r="M70" s="91"/>
    </row>
    <row r="71" spans="5:13">
      <c r="E71" s="90"/>
      <c r="F71" s="90"/>
      <c r="G71" s="90"/>
      <c r="H71" s="90"/>
      <c r="I71" s="90"/>
      <c r="J71" s="90"/>
      <c r="K71" s="90"/>
      <c r="L71" s="90"/>
      <c r="M71" s="90"/>
    </row>
    <row r="74" spans="5:13">
      <c r="I74" s="89"/>
      <c r="J74" s="91"/>
      <c r="K74" s="89"/>
      <c r="L74" s="89"/>
      <c r="M74" s="89"/>
    </row>
    <row r="75" spans="5:13">
      <c r="E75" s="75"/>
      <c r="F75" s="75"/>
      <c r="G75" s="75"/>
      <c r="H75" s="75"/>
      <c r="I75" s="75"/>
      <c r="J75" s="75"/>
      <c r="K75" s="75"/>
      <c r="L75" s="75"/>
      <c r="M75" s="75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025A-01C2-4223-BADF-0336D11E1A86}">
  <sheetPr>
    <tabColor theme="5"/>
  </sheetPr>
  <dimension ref="B3:M29"/>
  <sheetViews>
    <sheetView showGridLines="0" workbookViewId="0">
      <selection activeCell="C5" sqref="C5:M28"/>
    </sheetView>
  </sheetViews>
  <sheetFormatPr defaultRowHeight="15"/>
  <cols>
    <col min="1" max="1" width="2.140625" customWidth="1"/>
    <col min="2" max="2" width="4.140625" hidden="1" customWidth="1"/>
    <col min="3" max="3" width="28.85546875" customWidth="1"/>
    <col min="4" max="4" width="5.28515625" customWidth="1"/>
    <col min="5" max="9" width="9.42578125" bestFit="1" customWidth="1"/>
    <col min="10" max="10" width="11" bestFit="1" customWidth="1"/>
    <col min="11" max="13" width="9" bestFit="1" customWidth="1"/>
  </cols>
  <sheetData>
    <row r="3" spans="3:13" ht="23.25">
      <c r="C3" s="107" t="s">
        <v>206</v>
      </c>
    </row>
    <row r="4" spans="3:13" ht="15.75" thickBot="1"/>
    <row r="5" spans="3:13" ht="21">
      <c r="C5" s="234" t="s">
        <v>102</v>
      </c>
      <c r="D5" s="234"/>
      <c r="E5" s="299" t="s">
        <v>94</v>
      </c>
      <c r="F5" s="299" t="s">
        <v>95</v>
      </c>
      <c r="G5" s="299" t="s">
        <v>96</v>
      </c>
      <c r="H5" s="299" t="s">
        <v>97</v>
      </c>
      <c r="I5" s="299" t="s">
        <v>98</v>
      </c>
      <c r="J5" s="299" t="s">
        <v>103</v>
      </c>
      <c r="K5" s="299" t="s">
        <v>99</v>
      </c>
      <c r="L5" s="299" t="s">
        <v>100</v>
      </c>
      <c r="M5" s="300" t="s">
        <v>101</v>
      </c>
    </row>
    <row r="6" spans="3:13">
      <c r="C6" s="260"/>
      <c r="J6" s="113"/>
      <c r="M6" s="161"/>
    </row>
    <row r="7" spans="3:13">
      <c r="C7" s="260" t="s">
        <v>208</v>
      </c>
      <c r="E7">
        <f>'Income Statement'!E7</f>
        <v>9153.58</v>
      </c>
      <c r="F7">
        <f>'Income Statement'!F7</f>
        <v>8720.35</v>
      </c>
      <c r="G7">
        <f>'Income Statement'!G7</f>
        <v>10297.83</v>
      </c>
      <c r="H7">
        <f>'Income Statement'!H7</f>
        <v>14442.18</v>
      </c>
      <c r="I7">
        <f>'Income Statement'!I7</f>
        <v>16535.78</v>
      </c>
      <c r="J7" s="89">
        <f>'Income Statement'!J7</f>
        <v>18959.922045296687</v>
      </c>
      <c r="K7" s="89">
        <f>'Income Statement'!K7</f>
        <v>22556.218039432442</v>
      </c>
      <c r="L7" s="89">
        <f>'Income Statement'!L7</f>
        <v>26680.436195219154</v>
      </c>
      <c r="M7" s="155">
        <f>'Income Statement'!M7</f>
        <v>30555.914365131775</v>
      </c>
    </row>
    <row r="8" spans="3:13">
      <c r="C8" s="260" t="s">
        <v>209</v>
      </c>
      <c r="E8">
        <f>'Income Statement'!E10</f>
        <v>6113.8899999999994</v>
      </c>
      <c r="F8">
        <f>'Income Statement'!F10</f>
        <v>6261.01</v>
      </c>
      <c r="G8">
        <f>'Income Statement'!G10</f>
        <v>7167.9</v>
      </c>
      <c r="H8">
        <f>'Income Statement'!H10</f>
        <v>9689.9</v>
      </c>
      <c r="I8">
        <f>'Income Statement'!I10</f>
        <v>10700.980000000001</v>
      </c>
      <c r="J8" s="89">
        <f>'Income Statement'!J10</f>
        <v>12892.917228642893</v>
      </c>
      <c r="K8" s="89">
        <f>'Income Statement'!K10</f>
        <v>15392.95192130891</v>
      </c>
      <c r="L8" s="89">
        <f>'Income Statement'!L10</f>
        <v>18017.723782807865</v>
      </c>
      <c r="M8" s="155">
        <f>'Income Statement'!M10</f>
        <v>20508.129677569032</v>
      </c>
    </row>
    <row r="9" spans="3:13">
      <c r="C9" s="260" t="s">
        <v>217</v>
      </c>
      <c r="E9">
        <f>'Revenue Schdule'!E8</f>
        <v>365</v>
      </c>
      <c r="F9">
        <f>'Revenue Schdule'!F8</f>
        <v>365</v>
      </c>
      <c r="G9">
        <f>'Revenue Schdule'!G8</f>
        <v>365</v>
      </c>
      <c r="H9">
        <f>'Revenue Schdule'!H8</f>
        <v>365</v>
      </c>
      <c r="I9">
        <f>'Revenue Schdule'!I8</f>
        <v>365</v>
      </c>
      <c r="J9" s="113">
        <f>'Revenue Schdule'!J8</f>
        <v>365</v>
      </c>
      <c r="K9">
        <f>'Revenue Schdule'!K8</f>
        <v>365</v>
      </c>
      <c r="L9">
        <f>'Revenue Schdule'!L8</f>
        <v>365</v>
      </c>
      <c r="M9" s="161">
        <f>'Revenue Schdule'!M8</f>
        <v>365</v>
      </c>
    </row>
    <row r="10" spans="3:13">
      <c r="C10" s="260"/>
      <c r="J10" s="113"/>
      <c r="M10" s="161"/>
    </row>
    <row r="11" spans="3:13">
      <c r="C11" s="261" t="s">
        <v>211</v>
      </c>
      <c r="J11" s="113"/>
      <c r="M11" s="161"/>
    </row>
    <row r="12" spans="3:13">
      <c r="C12" s="260" t="s">
        <v>267</v>
      </c>
      <c r="E12">
        <f>'Income Statement'!E62</f>
        <v>86.76</v>
      </c>
      <c r="F12">
        <f>'Income Statement'!F62</f>
        <v>158.16</v>
      </c>
      <c r="G12">
        <f>'Income Statement'!G62</f>
        <v>302.04000000000002</v>
      </c>
      <c r="H12">
        <f>'Income Statement'!H62</f>
        <v>368.92</v>
      </c>
      <c r="I12">
        <f>'Income Statement'!I62</f>
        <v>373.78</v>
      </c>
      <c r="J12" s="118">
        <f>J16/J9*J7</f>
        <v>398.51683012430993</v>
      </c>
      <c r="K12" s="101">
        <f>K16/K9*K7</f>
        <v>526.16971323240909</v>
      </c>
      <c r="L12" s="101">
        <f>L16/L9*L7</f>
        <v>650.07058929195739</v>
      </c>
      <c r="M12" s="262">
        <f>M16/M9*M7</f>
        <v>714.15249404007272</v>
      </c>
    </row>
    <row r="13" spans="3:13">
      <c r="C13" s="260" t="s">
        <v>45</v>
      </c>
      <c r="E13">
        <f>'Income Statement'!E63</f>
        <v>572.35</v>
      </c>
      <c r="F13">
        <f>'Income Statement'!F63</f>
        <v>874.6</v>
      </c>
      <c r="G13">
        <f>'Income Statement'!G63</f>
        <v>1132.4000000000001</v>
      </c>
      <c r="H13">
        <f>'Income Statement'!H63</f>
        <v>1278.44</v>
      </c>
      <c r="I13">
        <f>'Income Statement'!I63</f>
        <v>1409.64</v>
      </c>
      <c r="J13" s="118">
        <f>J17/J9*J8</f>
        <v>1688.8485027419952</v>
      </c>
      <c r="K13" s="101">
        <f>K17/K9*K8</f>
        <v>2131.3935577561961</v>
      </c>
      <c r="L13" s="101">
        <f>L17/L9*L8</f>
        <v>2490.4219586001127</v>
      </c>
      <c r="M13" s="262">
        <f>M17/M9*M8</f>
        <v>2753.5935144032433</v>
      </c>
    </row>
    <row r="14" spans="3:13">
      <c r="C14" s="260" t="s">
        <v>162</v>
      </c>
      <c r="D14" t="s">
        <v>220</v>
      </c>
      <c r="E14">
        <f>'Income Statement'!E54</f>
        <v>1008</v>
      </c>
      <c r="F14">
        <f>'Income Statement'!F54</f>
        <v>1513</v>
      </c>
      <c r="G14">
        <f>'Income Statement'!G54</f>
        <v>1788</v>
      </c>
      <c r="H14">
        <f>'Income Statement'!H54</f>
        <v>1810</v>
      </c>
      <c r="I14">
        <f>'Income Statement'!I54</f>
        <v>2090</v>
      </c>
      <c r="J14" s="118">
        <f>J18/J9*J8</f>
        <v>2676.7549588572751</v>
      </c>
      <c r="K14" s="101">
        <f>K18/K9*K8</f>
        <v>3327.3890354104883</v>
      </c>
      <c r="L14" s="101">
        <f>L18/L9*L8</f>
        <v>3802.9095070801895</v>
      </c>
      <c r="M14" s="262">
        <f>M18/M9*M8</f>
        <v>4171.1243028909903</v>
      </c>
    </row>
    <row r="15" spans="3:13">
      <c r="C15" s="261" t="s">
        <v>268</v>
      </c>
      <c r="J15" s="113"/>
      <c r="M15" s="161"/>
    </row>
    <row r="16" spans="3:13">
      <c r="C16" s="260" t="s">
        <v>267</v>
      </c>
      <c r="E16" s="71">
        <f>E9/(E7/E12)</f>
        <v>3.4595644545631328</v>
      </c>
      <c r="F16" s="71">
        <f>F9/(F7/F12)</f>
        <v>6.6199636482480626</v>
      </c>
      <c r="G16" s="71">
        <f>G9/(G7/G12)</f>
        <v>10.705614678043821</v>
      </c>
      <c r="H16" s="71">
        <f>H9/(H7/H12)</f>
        <v>9.3237862981904396</v>
      </c>
      <c r="I16" s="71">
        <f>I9/(I7/I12)</f>
        <v>8.2505754188795439</v>
      </c>
      <c r="J16" s="119">
        <f>'Growth drivers'!F39</f>
        <v>7.6719008995850002</v>
      </c>
      <c r="K16" s="71">
        <f>'Growth drivers'!G39</f>
        <v>8.5143681885893727</v>
      </c>
      <c r="L16" s="71">
        <f>'Growth drivers'!H39</f>
        <v>8.8932490966576356</v>
      </c>
      <c r="M16" s="241">
        <f>'Growth drivers'!I39</f>
        <v>8.5307759803803993</v>
      </c>
    </row>
    <row r="17" spans="3:13">
      <c r="C17" s="260" t="s">
        <v>45</v>
      </c>
      <c r="E17" s="71">
        <f>E9/(E8/E13)</f>
        <v>34.16936680247764</v>
      </c>
      <c r="F17" s="71">
        <f>F9/(F8/F13)</f>
        <v>50.986821615042942</v>
      </c>
      <c r="G17" s="71">
        <f>G9/(G8/G13)</f>
        <v>57.66347186763209</v>
      </c>
      <c r="H17" s="71">
        <f>H9/(H8/H13)</f>
        <v>48.156389642823974</v>
      </c>
      <c r="I17" s="71">
        <f>I9/(I8/I13)</f>
        <v>48.081446745998967</v>
      </c>
      <c r="J17" s="119">
        <f>'Growth drivers'!F40</f>
        <v>47.811499334795123</v>
      </c>
      <c r="K17" s="71">
        <f>'Growth drivers'!G40</f>
        <v>50.539925841258615</v>
      </c>
      <c r="L17" s="71">
        <f>'Growth drivers'!H40</f>
        <v>50.450546686501752</v>
      </c>
      <c r="M17" s="241">
        <f>'Growth drivers'!I40</f>
        <v>49.007961650275682</v>
      </c>
    </row>
    <row r="18" spans="3:13">
      <c r="C18" s="260" t="s">
        <v>162</v>
      </c>
      <c r="E18" s="71">
        <f>(E9/(E8/E14))</f>
        <v>60.177726455660803</v>
      </c>
      <c r="F18" s="71">
        <f>(F9/(F8/F14))</f>
        <v>88.203820150423013</v>
      </c>
      <c r="G18" s="71">
        <f>(G9/(G8/G14))</f>
        <v>91.047587159419081</v>
      </c>
      <c r="H18" s="71">
        <f>(H9/(H8/H14))</f>
        <v>68.179238175832566</v>
      </c>
      <c r="I18" s="71">
        <f>(I9/(I8/I14))</f>
        <v>71.287863354571257</v>
      </c>
      <c r="J18" s="119">
        <f>'Growth drivers'!F41</f>
        <v>75.779247059181344</v>
      </c>
      <c r="K18" s="71">
        <f>'Growth drivers'!G41</f>
        <v>78.899551179885435</v>
      </c>
      <c r="L18" s="71">
        <f>'Growth drivers'!H41</f>
        <v>77.038697385777937</v>
      </c>
      <c r="M18" s="241">
        <f>'Growth drivers'!I41</f>
        <v>74.236919431049699</v>
      </c>
    </row>
    <row r="19" spans="3:13">
      <c r="C19" s="260"/>
      <c r="J19" s="113"/>
      <c r="M19" s="161"/>
    </row>
    <row r="20" spans="3:13">
      <c r="C20" s="261" t="s">
        <v>269</v>
      </c>
      <c r="J20" s="113"/>
      <c r="M20" s="161"/>
    </row>
    <row r="21" spans="3:13">
      <c r="C21" s="260" t="s">
        <v>213</v>
      </c>
      <c r="E21">
        <f t="shared" ref="E21:M21" si="0">SUM(E12:E13)</f>
        <v>659.11</v>
      </c>
      <c r="F21">
        <f t="shared" si="0"/>
        <v>1032.76</v>
      </c>
      <c r="G21">
        <f t="shared" si="0"/>
        <v>1434.44</v>
      </c>
      <c r="H21">
        <f t="shared" si="0"/>
        <v>1647.3600000000001</v>
      </c>
      <c r="I21">
        <f t="shared" si="0"/>
        <v>1783.42</v>
      </c>
      <c r="J21" s="116">
        <f t="shared" si="0"/>
        <v>2087.3653328663049</v>
      </c>
      <c r="K21" s="89">
        <f t="shared" si="0"/>
        <v>2657.5632709886049</v>
      </c>
      <c r="L21" s="89">
        <f t="shared" si="0"/>
        <v>3140.49254789207</v>
      </c>
      <c r="M21" s="155">
        <f t="shared" si="0"/>
        <v>3467.746008443316</v>
      </c>
    </row>
    <row r="22" spans="3:13">
      <c r="C22" s="260" t="s">
        <v>214</v>
      </c>
      <c r="E22">
        <f t="shared" ref="E22:M22" si="1">E14</f>
        <v>1008</v>
      </c>
      <c r="F22">
        <f t="shared" si="1"/>
        <v>1513</v>
      </c>
      <c r="G22">
        <f t="shared" si="1"/>
        <v>1788</v>
      </c>
      <c r="H22">
        <f t="shared" si="1"/>
        <v>1810</v>
      </c>
      <c r="I22">
        <f t="shared" si="1"/>
        <v>2090</v>
      </c>
      <c r="J22" s="116">
        <f t="shared" si="1"/>
        <v>2676.7549588572751</v>
      </c>
      <c r="K22" s="89">
        <f t="shared" si="1"/>
        <v>3327.3890354104883</v>
      </c>
      <c r="L22" s="89">
        <f t="shared" si="1"/>
        <v>3802.9095070801895</v>
      </c>
      <c r="M22" s="155">
        <f t="shared" si="1"/>
        <v>4171.1243028909903</v>
      </c>
    </row>
    <row r="23" spans="3:13">
      <c r="C23" s="260"/>
      <c r="J23" s="113"/>
      <c r="M23" s="161"/>
    </row>
    <row r="24" spans="3:13" ht="15.75" thickBot="1">
      <c r="C24" s="263" t="s">
        <v>269</v>
      </c>
      <c r="D24" s="43"/>
      <c r="E24" s="43">
        <f>E21-E22</f>
        <v>-348.89</v>
      </c>
      <c r="F24" s="43">
        <f t="shared" ref="F24:M24" si="2">F21-F22</f>
        <v>-480.24</v>
      </c>
      <c r="G24" s="43">
        <f t="shared" si="2"/>
        <v>-353.55999999999995</v>
      </c>
      <c r="H24" s="43">
        <f t="shared" si="2"/>
        <v>-162.63999999999987</v>
      </c>
      <c r="I24" s="43">
        <f t="shared" si="2"/>
        <v>-306.57999999999993</v>
      </c>
      <c r="J24" s="120">
        <f t="shared" si="2"/>
        <v>-589.38962599097022</v>
      </c>
      <c r="K24" s="102">
        <f t="shared" si="2"/>
        <v>-669.82576442188338</v>
      </c>
      <c r="L24" s="102">
        <f t="shared" si="2"/>
        <v>-662.41695918811956</v>
      </c>
      <c r="M24" s="264">
        <f t="shared" si="2"/>
        <v>-703.37829444767431</v>
      </c>
    </row>
    <row r="25" spans="3:13">
      <c r="C25" s="260"/>
      <c r="J25" s="116"/>
      <c r="K25" s="89"/>
      <c r="L25" s="89"/>
      <c r="M25" s="155"/>
    </row>
    <row r="26" spans="3:13">
      <c r="C26" s="260" t="s">
        <v>382</v>
      </c>
      <c r="F26" s="71">
        <f>(F24)-(E24)</f>
        <v>-131.35000000000002</v>
      </c>
      <c r="G26" s="71">
        <f t="shared" ref="G26:M26" si="3">(G24)-(F24)</f>
        <v>126.68000000000006</v>
      </c>
      <c r="H26" s="71">
        <f t="shared" si="3"/>
        <v>190.92000000000007</v>
      </c>
      <c r="I26" s="71">
        <f t="shared" si="3"/>
        <v>-143.94000000000005</v>
      </c>
      <c r="J26" s="71">
        <f t="shared" si="3"/>
        <v>-282.80962599097029</v>
      </c>
      <c r="K26" s="71">
        <f t="shared" si="3"/>
        <v>-80.436138430913161</v>
      </c>
      <c r="L26" s="71">
        <f t="shared" si="3"/>
        <v>7.4088052337638146</v>
      </c>
      <c r="M26" s="241">
        <f t="shared" si="3"/>
        <v>-40.961335259554744</v>
      </c>
    </row>
    <row r="27" spans="3:13">
      <c r="C27" s="260"/>
      <c r="J27" s="113"/>
      <c r="M27" s="161"/>
    </row>
    <row r="28" spans="3:13" ht="15.75" thickBot="1">
      <c r="C28" s="263" t="s">
        <v>270</v>
      </c>
      <c r="D28" s="43"/>
      <c r="E28" s="109">
        <f>E16+E17-E18</f>
        <v>-22.548795198620027</v>
      </c>
      <c r="F28" s="109">
        <f t="shared" ref="F28:M28" si="4">F16+F17-F18</f>
        <v>-30.597034887132011</v>
      </c>
      <c r="G28" s="109">
        <f t="shared" si="4"/>
        <v>-22.678500613743168</v>
      </c>
      <c r="H28" s="109">
        <f t="shared" si="4"/>
        <v>-10.69906223481815</v>
      </c>
      <c r="I28" s="109">
        <f t="shared" si="4"/>
        <v>-14.955841189692748</v>
      </c>
      <c r="J28" s="121">
        <f t="shared" si="4"/>
        <v>-20.295846824801224</v>
      </c>
      <c r="K28" s="109">
        <f t="shared" si="4"/>
        <v>-19.845257150037448</v>
      </c>
      <c r="L28" s="109">
        <f t="shared" si="4"/>
        <v>-17.69490160261855</v>
      </c>
      <c r="M28" s="265">
        <f t="shared" si="4"/>
        <v>-16.69818180039362</v>
      </c>
    </row>
    <row r="29" spans="3:13">
      <c r="C29" s="32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FA3-8C6D-4FEF-BF67-5E2A831C89E3}">
  <sheetPr>
    <tabColor theme="5"/>
    <pageSetUpPr fitToPage="1"/>
  </sheetPr>
  <dimension ref="C2:AC43"/>
  <sheetViews>
    <sheetView showGridLines="0" zoomScaleNormal="100" workbookViewId="0">
      <selection activeCell="C2" sqref="C2:Q30"/>
    </sheetView>
  </sheetViews>
  <sheetFormatPr defaultRowHeight="15"/>
  <cols>
    <col min="1" max="1" width="3.7109375" customWidth="1"/>
    <col min="2" max="2" width="4.140625" customWidth="1"/>
    <col min="3" max="3" width="46.7109375" customWidth="1"/>
    <col min="4" max="4" width="3.5703125" customWidth="1"/>
    <col min="5" max="13" width="14" customWidth="1"/>
    <col min="14" max="14" width="5.28515625" customWidth="1"/>
    <col min="15" max="15" width="12.140625" bestFit="1" customWidth="1"/>
    <col min="16" max="17" width="13.7109375" bestFit="1" customWidth="1"/>
    <col min="18" max="18" width="13.28515625" bestFit="1" customWidth="1"/>
    <col min="19" max="19" width="14" customWidth="1"/>
  </cols>
  <sheetData>
    <row r="2" spans="3:17" ht="21">
      <c r="C2" s="19" t="s">
        <v>451</v>
      </c>
    </row>
    <row r="3" spans="3:17">
      <c r="D3" s="82" t="s">
        <v>463</v>
      </c>
      <c r="E3" s="2" t="s">
        <v>472</v>
      </c>
      <c r="F3" s="2" t="s">
        <v>463</v>
      </c>
    </row>
    <row r="4" spans="3:17" ht="15.75" thickBot="1">
      <c r="D4" s="82" t="s">
        <v>464</v>
      </c>
      <c r="P4" s="2" t="s">
        <v>389</v>
      </c>
    </row>
    <row r="5" spans="3:17" ht="57" thickBot="1">
      <c r="C5" s="201" t="s">
        <v>317</v>
      </c>
      <c r="D5" s="202"/>
      <c r="E5" s="203" t="s">
        <v>452</v>
      </c>
      <c r="F5" s="203" t="s">
        <v>459</v>
      </c>
      <c r="G5" s="203" t="s">
        <v>462</v>
      </c>
      <c r="H5" s="203" t="s">
        <v>465</v>
      </c>
      <c r="I5" s="203" t="s">
        <v>403</v>
      </c>
      <c r="J5" s="203" t="s">
        <v>406</v>
      </c>
      <c r="K5" s="203" t="s">
        <v>208</v>
      </c>
      <c r="L5" s="203" t="s">
        <v>114</v>
      </c>
      <c r="M5" s="203" t="s">
        <v>381</v>
      </c>
      <c r="N5" s="202"/>
      <c r="O5" s="204" t="s">
        <v>420</v>
      </c>
      <c r="P5" s="204" t="s">
        <v>460</v>
      </c>
      <c r="Q5" s="205" t="s">
        <v>461</v>
      </c>
    </row>
    <row r="6" spans="3:17">
      <c r="C6" s="186"/>
      <c r="E6" s="20"/>
      <c r="Q6" s="32"/>
    </row>
    <row r="7" spans="3:17">
      <c r="C7" s="187" t="s">
        <v>332</v>
      </c>
      <c r="D7" s="178"/>
      <c r="E7" s="189" t="s">
        <v>453</v>
      </c>
      <c r="F7" s="190">
        <v>4810.6000000000004</v>
      </c>
      <c r="G7" s="190">
        <v>27.42</v>
      </c>
      <c r="H7" s="190">
        <v>257.55</v>
      </c>
      <c r="I7" s="190">
        <v>132140.31999999998</v>
      </c>
      <c r="J7" s="190">
        <v>131882.76999999999</v>
      </c>
      <c r="K7" s="190">
        <v>132078.75</v>
      </c>
      <c r="L7" s="190">
        <v>4442.74</v>
      </c>
      <c r="M7" s="190">
        <v>6396.0653753026636</v>
      </c>
      <c r="N7" s="190"/>
      <c r="O7" s="179">
        <f>I7/M7</f>
        <v>20.659626230563202</v>
      </c>
      <c r="P7" s="179">
        <f>J7/L7</f>
        <v>29.685007450357212</v>
      </c>
      <c r="Q7" s="191">
        <f>I7/K7</f>
        <v>1.0004661612863537</v>
      </c>
    </row>
    <row r="8" spans="3:17">
      <c r="C8" s="188" t="s">
        <v>333</v>
      </c>
      <c r="E8" s="20" t="s">
        <v>454</v>
      </c>
      <c r="F8" s="89">
        <v>2381.9</v>
      </c>
      <c r="G8" s="89">
        <v>47.51</v>
      </c>
      <c r="H8" s="89">
        <v>12193.07</v>
      </c>
      <c r="I8" s="89">
        <v>125354.07</v>
      </c>
      <c r="J8" s="89">
        <v>113161</v>
      </c>
      <c r="K8" s="89">
        <v>124210</v>
      </c>
      <c r="L8" s="89">
        <v>2093.83</v>
      </c>
      <c r="M8" s="89">
        <v>6285.931174089068</v>
      </c>
      <c r="N8" s="89"/>
      <c r="O8" s="177">
        <f t="shared" ref="O8:O12" si="0">I8/M8</f>
        <v>19.942004856291767</v>
      </c>
      <c r="P8" s="177">
        <f t="shared" ref="P8:P12" si="1">J8/L8</f>
        <v>54.044979773907151</v>
      </c>
      <c r="Q8" s="192">
        <f t="shared" ref="Q8:Q12" si="2">I8/K8</f>
        <v>1.0092107720795427</v>
      </c>
    </row>
    <row r="9" spans="3:17">
      <c r="C9" s="188" t="s">
        <v>334</v>
      </c>
      <c r="E9" s="20" t="s">
        <v>455</v>
      </c>
      <c r="F9" s="89">
        <v>3879.15</v>
      </c>
      <c r="G9" s="89">
        <v>20</v>
      </c>
      <c r="H9" s="89">
        <v>-108.39999999999998</v>
      </c>
      <c r="I9" s="89">
        <v>77478.8</v>
      </c>
      <c r="J9" s="89">
        <v>77587.199999999997</v>
      </c>
      <c r="K9" s="89">
        <v>77876.08</v>
      </c>
      <c r="L9" s="89">
        <v>4150.5200000000004</v>
      </c>
      <c r="M9" s="89">
        <v>6538.7136859781695</v>
      </c>
      <c r="N9" s="89"/>
      <c r="O9" s="177">
        <f t="shared" si="0"/>
        <v>11.849241872472266</v>
      </c>
      <c r="P9" s="177">
        <f t="shared" si="1"/>
        <v>18.693368541773076</v>
      </c>
      <c r="Q9" s="192">
        <f t="shared" si="2"/>
        <v>0.99489856192042536</v>
      </c>
    </row>
    <row r="10" spans="3:17">
      <c r="C10" s="188" t="s">
        <v>362</v>
      </c>
      <c r="E10" s="20" t="s">
        <v>457</v>
      </c>
      <c r="F10" s="89">
        <v>8479.5</v>
      </c>
      <c r="G10" s="89">
        <v>27.93</v>
      </c>
      <c r="H10" s="89">
        <v>4289.97</v>
      </c>
      <c r="I10" s="89">
        <v>241086.46</v>
      </c>
      <c r="J10" s="89">
        <v>236796.49</v>
      </c>
      <c r="K10" s="89">
        <v>240488.58</v>
      </c>
      <c r="L10" s="89">
        <v>7534.31</v>
      </c>
      <c r="M10" s="89">
        <v>11006.342334096109</v>
      </c>
      <c r="N10" s="89"/>
      <c r="O10" s="177">
        <f t="shared" si="0"/>
        <v>21.904321406862646</v>
      </c>
      <c r="P10" s="177">
        <f t="shared" si="1"/>
        <v>31.429087733315988</v>
      </c>
      <c r="Q10" s="192">
        <f t="shared" si="2"/>
        <v>1.0024861055772378</v>
      </c>
    </row>
    <row r="11" spans="3:17">
      <c r="C11" s="188" t="str">
        <f>IF($F$3="Yes",C12," ")</f>
        <v xml:space="preserve"> </v>
      </c>
      <c r="E11" s="20" t="str">
        <f t="shared" ref="E11:Q11" si="3">IF($F$3="Yes",E12," ")</f>
        <v xml:space="preserve"> </v>
      </c>
      <c r="F11" s="89" t="str">
        <f t="shared" ref="F11" si="4">IF($F$3="Yes",F12," ")</f>
        <v xml:space="preserve"> </v>
      </c>
      <c r="G11" s="89" t="str">
        <f t="shared" ref="G11" si="5">IF($F$3="Yes",G12," ")</f>
        <v xml:space="preserve"> </v>
      </c>
      <c r="H11" s="89" t="str">
        <f t="shared" ref="H11" si="6">IF($F$3="Yes",H12," ")</f>
        <v xml:space="preserve"> </v>
      </c>
      <c r="I11" s="89" t="str">
        <f t="shared" ref="I11" si="7">IF($F$3="Yes",I12," ")</f>
        <v xml:space="preserve"> </v>
      </c>
      <c r="J11" s="89" t="str">
        <f t="shared" ref="J11" si="8">IF($F$3="Yes",J12," ")</f>
        <v xml:space="preserve"> </v>
      </c>
      <c r="K11" s="89" t="str">
        <f t="shared" ref="K11" si="9">IF($F$3="Yes",K12," ")</f>
        <v xml:space="preserve"> </v>
      </c>
      <c r="L11" s="89" t="str">
        <f t="shared" ref="L11" si="10">IF($F$3="Yes",L12," ")</f>
        <v xml:space="preserve"> </v>
      </c>
      <c r="M11" s="89" t="str">
        <f t="shared" ref="M11" si="11">IF($F$3="Yes",M12," ")</f>
        <v xml:space="preserve"> </v>
      </c>
      <c r="N11" s="89"/>
      <c r="O11" s="177" t="str">
        <f t="shared" si="3"/>
        <v xml:space="preserve"> </v>
      </c>
      <c r="P11" s="177" t="str">
        <f t="shared" si="3"/>
        <v xml:space="preserve"> </v>
      </c>
      <c r="Q11" s="192" t="str">
        <f t="shared" si="3"/>
        <v xml:space="preserve"> </v>
      </c>
    </row>
    <row r="12" spans="3:17" ht="15.75" thickBot="1">
      <c r="C12" s="193" t="s">
        <v>335</v>
      </c>
      <c r="D12" s="194"/>
      <c r="E12" s="195" t="s">
        <v>456</v>
      </c>
      <c r="F12" s="196">
        <v>60.55</v>
      </c>
      <c r="G12" s="196">
        <v>441.08</v>
      </c>
      <c r="H12" s="196">
        <v>1691.91</v>
      </c>
      <c r="I12" s="196">
        <v>25015.66</v>
      </c>
      <c r="J12" s="196">
        <v>23323.75</v>
      </c>
      <c r="K12" s="196">
        <v>5501</v>
      </c>
      <c r="L12" s="196">
        <v>-1822</v>
      </c>
      <c r="M12" s="196">
        <v>-981.88572590483932</v>
      </c>
      <c r="N12" s="196"/>
      <c r="O12" s="197">
        <f t="shared" si="0"/>
        <v>-25.477160264191909</v>
      </c>
      <c r="P12" s="197">
        <f t="shared" si="1"/>
        <v>-12.801180021953897</v>
      </c>
      <c r="Q12" s="198">
        <f t="shared" si="2"/>
        <v>4.5474750045446282</v>
      </c>
    </row>
    <row r="14" spans="3:17">
      <c r="L14" s="180" t="s">
        <v>466</v>
      </c>
      <c r="M14" s="180"/>
      <c r="N14" s="180"/>
      <c r="O14" s="181">
        <f>AVERAGE(O7:O11)</f>
        <v>18.588798591547469</v>
      </c>
      <c r="P14" s="181">
        <f t="shared" ref="P14:Q14" si="12">AVERAGE(P7:P11)</f>
        <v>33.463110874838357</v>
      </c>
      <c r="Q14" s="181">
        <f t="shared" si="12"/>
        <v>1.00176540021589</v>
      </c>
    </row>
    <row r="15" spans="3:17">
      <c r="L15" s="180" t="s">
        <v>467</v>
      </c>
      <c r="M15" s="180"/>
      <c r="N15" s="180"/>
      <c r="O15" s="181">
        <f>MEDIAN(O7:O11)</f>
        <v>20.300815543427483</v>
      </c>
      <c r="P15" s="181">
        <f t="shared" ref="P15:Q15" si="13">MEDIAN(P7:P11)</f>
        <v>30.5570475918366</v>
      </c>
      <c r="Q15" s="181">
        <f t="shared" si="13"/>
        <v>1.0014761334317956</v>
      </c>
    </row>
    <row r="16" spans="3:17">
      <c r="L16" s="178" t="s">
        <v>468</v>
      </c>
      <c r="M16" s="178"/>
      <c r="N16" s="178"/>
      <c r="O16" s="179">
        <f>MAX(O7:O11)</f>
        <v>21.904321406862646</v>
      </c>
      <c r="P16" s="179">
        <f t="shared" ref="P16:Q16" si="14">MAX(P7:P11)</f>
        <v>54.044979773907151</v>
      </c>
      <c r="Q16" s="179">
        <f t="shared" si="14"/>
        <v>1.0092107720795427</v>
      </c>
    </row>
    <row r="17" spans="3:29">
      <c r="L17" s="178" t="s">
        <v>469</v>
      </c>
      <c r="M17" s="178"/>
      <c r="N17" s="178"/>
      <c r="O17" s="179">
        <f>MIN(O7:O11)</f>
        <v>11.849241872472266</v>
      </c>
      <c r="P17" s="179">
        <f t="shared" ref="P17:Q17" si="15">MIN(P7:P11)</f>
        <v>18.693368541773076</v>
      </c>
      <c r="Q17" s="179">
        <f t="shared" si="15"/>
        <v>0.99489856192042536</v>
      </c>
    </row>
    <row r="18" spans="3:29">
      <c r="D18" s="82" t="s">
        <v>344</v>
      </c>
    </row>
    <row r="19" spans="3:29" ht="15.75" thickBot="1">
      <c r="C19" s="2"/>
      <c r="D19" s="82" t="s">
        <v>345</v>
      </c>
      <c r="E19" s="2" t="s">
        <v>472</v>
      </c>
      <c r="F19" t="s">
        <v>344</v>
      </c>
    </row>
    <row r="20" spans="3:29" ht="19.5" thickBot="1">
      <c r="C20" s="206" t="s">
        <v>470</v>
      </c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 t="s">
        <v>420</v>
      </c>
      <c r="P20" s="200" t="s">
        <v>460</v>
      </c>
      <c r="Q20" s="207" t="s">
        <v>461</v>
      </c>
    </row>
    <row r="21" spans="3:29">
      <c r="C21" s="154"/>
      <c r="Q21" s="161"/>
    </row>
    <row r="22" spans="3:29">
      <c r="C22" s="154" t="s">
        <v>471</v>
      </c>
      <c r="O22" s="89">
        <f>IF($F$19="Average",$O$14*M7,$O$15*M7)</f>
        <v>118895.17103987168</v>
      </c>
      <c r="P22" s="89">
        <f>IF($F$19="Average",$P$14*L7,$P$15*L7)</f>
        <v>148667.90120807936</v>
      </c>
      <c r="Q22" s="155">
        <f>IF($F$19="Average",$Q$14*K7,$Q$15*K7)</f>
        <v>132311.92185376448</v>
      </c>
    </row>
    <row r="23" spans="3:29">
      <c r="C23" s="154" t="s">
        <v>465</v>
      </c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89">
        <f>H7</f>
        <v>257.55</v>
      </c>
      <c r="P23">
        <v>257.55</v>
      </c>
      <c r="Q23" s="161">
        <v>257.55</v>
      </c>
    </row>
    <row r="24" spans="3:29">
      <c r="C24" s="154" t="s">
        <v>473</v>
      </c>
      <c r="H24" s="209"/>
      <c r="I24" s="209"/>
      <c r="J24" s="209"/>
      <c r="O24" s="89">
        <f>O22-O23</f>
        <v>118637.62103987168</v>
      </c>
      <c r="P24" s="89">
        <f t="shared" ref="P24:Q24" si="16">P22-P23</f>
        <v>148410.35120807937</v>
      </c>
      <c r="Q24" s="155">
        <f t="shared" si="16"/>
        <v>132054.37185376449</v>
      </c>
    </row>
    <row r="25" spans="3:29">
      <c r="C25" s="154" t="s">
        <v>474</v>
      </c>
      <c r="H25" s="210"/>
      <c r="I25" s="210"/>
      <c r="J25" s="210"/>
      <c r="O25" s="89">
        <f>G7</f>
        <v>27.42</v>
      </c>
      <c r="P25">
        <v>27.42</v>
      </c>
      <c r="Q25" s="161">
        <v>27.42</v>
      </c>
    </row>
    <row r="26" spans="3:29">
      <c r="C26" s="154"/>
      <c r="H26" s="210"/>
      <c r="I26" s="210"/>
      <c r="J26" s="210"/>
      <c r="O26" s="89"/>
      <c r="Q26" s="161"/>
    </row>
    <row r="27" spans="3:29">
      <c r="C27" s="162" t="s">
        <v>475</v>
      </c>
      <c r="H27" s="210"/>
      <c r="I27" s="210"/>
      <c r="J27" s="210"/>
      <c r="O27" s="91">
        <f>O24/O25</f>
        <v>4326.6820218771581</v>
      </c>
      <c r="P27" s="91">
        <f t="shared" ref="P27:Q27" si="17">P24/P25</f>
        <v>5412.4854561662787</v>
      </c>
      <c r="Q27" s="211">
        <f t="shared" si="17"/>
        <v>4815.9873032007472</v>
      </c>
    </row>
    <row r="28" spans="3:29">
      <c r="C28" s="154"/>
      <c r="H28" s="89"/>
      <c r="I28" s="89"/>
      <c r="J28" s="89"/>
      <c r="L28" t="s">
        <v>413</v>
      </c>
      <c r="Q28" s="161"/>
      <c r="AC28" s="176"/>
    </row>
    <row r="29" spans="3:29">
      <c r="C29" s="212"/>
      <c r="H29" s="209"/>
      <c r="I29" s="209"/>
      <c r="J29" s="209"/>
      <c r="M29" s="89">
        <f>F7</f>
        <v>4810.6000000000004</v>
      </c>
      <c r="O29" s="2" t="str">
        <f>IF($M$29&gt;O27,"Over-valued","Under-valued")</f>
        <v>Over-valued</v>
      </c>
      <c r="P29" s="2" t="str">
        <f t="shared" ref="P29:Q29" si="18">IF($M$29&gt;P27,"Over-valued","Under-valued")</f>
        <v>Under-valued</v>
      </c>
      <c r="Q29" s="213" t="str">
        <f t="shared" si="18"/>
        <v>Under-valued</v>
      </c>
    </row>
    <row r="30" spans="3:29">
      <c r="C30" s="214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6"/>
    </row>
    <row r="33" spans="5:10">
      <c r="G33" s="89"/>
    </row>
    <row r="34" spans="5:10">
      <c r="G34" s="89"/>
    </row>
    <row r="35" spans="5:10">
      <c r="G35" s="89"/>
    </row>
    <row r="36" spans="5:10">
      <c r="G36" s="89"/>
    </row>
    <row r="37" spans="5:10">
      <c r="G37" s="46"/>
    </row>
    <row r="38" spans="5:10">
      <c r="G38" s="46"/>
    </row>
    <row r="43" spans="5:10">
      <c r="E43" s="128"/>
      <c r="F43" s="128"/>
      <c r="G43" s="128"/>
      <c r="H43" s="128"/>
      <c r="I43" s="128"/>
      <c r="J43" s="128"/>
    </row>
  </sheetData>
  <dataValidations count="2">
    <dataValidation type="list" allowBlank="1" showInputMessage="1" showErrorMessage="1" sqref="F3:J3" xr:uid="{9F175B4D-C65B-4235-9272-6E74306C361E}">
      <formula1>$D$3:$D$4</formula1>
    </dataValidation>
    <dataValidation type="list" allowBlank="1" showInputMessage="1" showErrorMessage="1" sqref="F19" xr:uid="{5181A2C5-0E9B-4AC6-9DA7-A995257AAA53}">
      <formula1>$D$18:$D$19</formula1>
    </dataValidation>
  </dataValidations>
  <pageMargins left="0.7" right="0.7" top="0.75" bottom="0.75" header="0.3" footer="0.3"/>
  <pageSetup scale="39" fitToHeight="0" orientation="portrait" r:id="rId1"/>
  <ignoredErrors>
    <ignoredError sqref="O11:Q1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21EF-D1CA-49FC-9747-DC8071BCCC2F}">
  <sheetPr>
    <tabColor theme="5"/>
    <pageSetUpPr fitToPage="1"/>
  </sheetPr>
  <dimension ref="C2:S47"/>
  <sheetViews>
    <sheetView showGridLines="0" zoomScale="88" workbookViewId="0">
      <selection activeCell="C2" sqref="C2:Q47"/>
    </sheetView>
  </sheetViews>
  <sheetFormatPr defaultRowHeight="15"/>
  <cols>
    <col min="1" max="1" width="3.7109375" customWidth="1"/>
    <col min="2" max="2" width="4.140625" customWidth="1"/>
    <col min="3" max="3" width="31.28515625" bestFit="1" customWidth="1"/>
    <col min="4" max="4" width="10.140625" customWidth="1"/>
    <col min="5" max="5" width="16.28515625" customWidth="1"/>
    <col min="6" max="8" width="14.28515625" customWidth="1"/>
    <col min="9" max="9" width="14.7109375" bestFit="1" customWidth="1"/>
    <col min="10" max="10" width="14.7109375" customWidth="1"/>
    <col min="11" max="12" width="14.28515625" customWidth="1"/>
    <col min="13" max="13" width="13.28515625" bestFit="1" customWidth="1"/>
    <col min="14" max="14" width="9" customWidth="1"/>
    <col min="15" max="15" width="9.28515625" customWidth="1"/>
    <col min="16" max="16" width="13.28515625" bestFit="1" customWidth="1"/>
    <col min="17" max="17" width="14.7109375" customWidth="1"/>
  </cols>
  <sheetData>
    <row r="2" spans="3:19" ht="23.25">
      <c r="C2" s="107" t="s">
        <v>315</v>
      </c>
    </row>
    <row r="3" spans="3:19">
      <c r="C3" s="2"/>
    </row>
    <row r="4" spans="3:19" ht="21">
      <c r="C4" s="19" t="s">
        <v>417</v>
      </c>
    </row>
    <row r="5" spans="3:19">
      <c r="F5">
        <v>1</v>
      </c>
      <c r="G5" t="s">
        <v>472</v>
      </c>
      <c r="H5">
        <v>2</v>
      </c>
    </row>
    <row r="6" spans="3:19" ht="15.75" thickBot="1">
      <c r="F6">
        <v>2</v>
      </c>
      <c r="P6" t="s">
        <v>357</v>
      </c>
    </row>
    <row r="7" spans="3:19" ht="63.75" thickBot="1">
      <c r="C7" s="259" t="s">
        <v>317</v>
      </c>
      <c r="D7" s="266" t="s">
        <v>318</v>
      </c>
      <c r="E7" s="266" t="s">
        <v>458</v>
      </c>
      <c r="F7" s="266" t="s">
        <v>342</v>
      </c>
      <c r="G7" s="266" t="s">
        <v>319</v>
      </c>
      <c r="H7" s="266" t="s">
        <v>381</v>
      </c>
      <c r="I7" s="266" t="s">
        <v>403</v>
      </c>
      <c r="J7" s="266" t="s">
        <v>420</v>
      </c>
      <c r="K7" s="266" t="s">
        <v>320</v>
      </c>
      <c r="L7" s="266" t="s">
        <v>359</v>
      </c>
      <c r="M7" s="266" t="s">
        <v>321</v>
      </c>
      <c r="N7" s="266" t="s">
        <v>322</v>
      </c>
      <c r="O7" s="266" t="s">
        <v>323</v>
      </c>
      <c r="P7" s="266" t="s">
        <v>324</v>
      </c>
      <c r="Q7" s="266" t="s">
        <v>325</v>
      </c>
      <c r="S7" t="s">
        <v>418</v>
      </c>
    </row>
    <row r="8" spans="3:19">
      <c r="C8" s="267"/>
      <c r="Q8" s="161"/>
    </row>
    <row r="9" spans="3:19">
      <c r="C9" s="260" t="s">
        <v>332</v>
      </c>
      <c r="D9" t="s">
        <v>341</v>
      </c>
      <c r="E9" t="s">
        <v>453</v>
      </c>
      <c r="F9">
        <v>136308.25</v>
      </c>
      <c r="G9">
        <v>403.86</v>
      </c>
      <c r="H9" s="89">
        <v>6396.1609707776124</v>
      </c>
      <c r="I9">
        <v>129138.49</v>
      </c>
      <c r="J9">
        <f>I9/H9</f>
        <v>20.190000000000001</v>
      </c>
      <c r="K9">
        <v>20193</v>
      </c>
      <c r="L9" s="89">
        <f>SUM(G9:K9)</f>
        <v>156151.70097077763</v>
      </c>
      <c r="M9" s="75">
        <v>0.23087377595626324</v>
      </c>
      <c r="N9">
        <f>G9/K9</f>
        <v>0.02</v>
      </c>
      <c r="O9" s="5">
        <f>G9/L9</f>
        <v>2.5863310965506467E-3</v>
      </c>
      <c r="P9">
        <v>0.52</v>
      </c>
      <c r="Q9" s="155">
        <f>P9/(1+(1-M9)*N9)</f>
        <v>0.51212226669535765</v>
      </c>
    </row>
    <row r="10" spans="3:19">
      <c r="C10" s="260" t="s">
        <v>333</v>
      </c>
      <c r="D10" t="s">
        <v>341</v>
      </c>
      <c r="E10" t="s">
        <v>454</v>
      </c>
      <c r="F10">
        <v>118059.15</v>
      </c>
      <c r="G10">
        <v>14618.8</v>
      </c>
      <c r="H10" s="89">
        <v>6285.1039678553489</v>
      </c>
      <c r="I10">
        <v>125136.42</v>
      </c>
      <c r="J10">
        <f t="shared" ref="J10:J13" si="0">I10/H10</f>
        <v>19.91</v>
      </c>
      <c r="K10" s="89">
        <v>7775.9574468085111</v>
      </c>
      <c r="L10" s="89">
        <f>G10+K10</f>
        <v>22394.757446808511</v>
      </c>
      <c r="M10" s="75">
        <v>0.34</v>
      </c>
      <c r="N10">
        <f>G10/K10</f>
        <v>1.88</v>
      </c>
      <c r="O10" s="5">
        <f>G10/L10</f>
        <v>0.65277777777777768</v>
      </c>
      <c r="P10">
        <v>0.38</v>
      </c>
      <c r="Q10" s="155">
        <f t="shared" ref="Q10:Q13" si="1">P10/(1+(1-M10)*N10)</f>
        <v>0.16958229203855768</v>
      </c>
    </row>
    <row r="11" spans="3:19">
      <c r="C11" s="260" t="s">
        <v>334</v>
      </c>
      <c r="D11" t="s">
        <v>341</v>
      </c>
      <c r="E11" t="s">
        <v>455</v>
      </c>
      <c r="F11">
        <v>81715.429999999993</v>
      </c>
      <c r="G11">
        <v>588.07000000000005</v>
      </c>
      <c r="H11" s="89">
        <v>6538.0320404721751</v>
      </c>
      <c r="I11">
        <v>77541.06</v>
      </c>
      <c r="J11">
        <f t="shared" si="0"/>
        <v>11.86</v>
      </c>
      <c r="K11" s="89">
        <v>19602.333333333336</v>
      </c>
      <c r="L11" s="89">
        <f>G11+K11</f>
        <v>20190.403333333335</v>
      </c>
      <c r="M11" s="75">
        <v>0.26</v>
      </c>
      <c r="N11">
        <f>G11/K11</f>
        <v>0.03</v>
      </c>
      <c r="O11" s="5">
        <f>G11/L11</f>
        <v>2.9126213592233011E-2</v>
      </c>
      <c r="P11">
        <v>0.97</v>
      </c>
      <c r="Q11" s="155">
        <f t="shared" si="1"/>
        <v>0.94893367247114069</v>
      </c>
    </row>
    <row r="12" spans="3:19">
      <c r="C12" s="260" t="str">
        <f t="shared" ref="C12:Q12" si="2">IF($H$5=1,C14," ")</f>
        <v xml:space="preserve"> </v>
      </c>
      <c r="D12" t="str">
        <f t="shared" si="2"/>
        <v xml:space="preserve"> </v>
      </c>
      <c r="E12" t="str">
        <f t="shared" si="2"/>
        <v xml:space="preserve"> </v>
      </c>
      <c r="F12" t="str">
        <f t="shared" si="2"/>
        <v xml:space="preserve"> </v>
      </c>
      <c r="G12" t="str">
        <f t="shared" si="2"/>
        <v xml:space="preserve"> </v>
      </c>
      <c r="H12" s="89" t="str">
        <f t="shared" si="2"/>
        <v xml:space="preserve"> </v>
      </c>
      <c r="I12" t="str">
        <f t="shared" si="2"/>
        <v xml:space="preserve"> </v>
      </c>
      <c r="J12" t="str">
        <f t="shared" si="2"/>
        <v xml:space="preserve"> </v>
      </c>
      <c r="K12" s="89" t="str">
        <f t="shared" si="2"/>
        <v xml:space="preserve"> </v>
      </c>
      <c r="L12" s="89" t="str">
        <f t="shared" si="2"/>
        <v xml:space="preserve"> </v>
      </c>
      <c r="M12" s="75" t="str">
        <f t="shared" si="2"/>
        <v xml:space="preserve"> </v>
      </c>
      <c r="N12" t="str">
        <f t="shared" si="2"/>
        <v xml:space="preserve"> </v>
      </c>
      <c r="O12" s="5" t="str">
        <f t="shared" si="2"/>
        <v xml:space="preserve"> </v>
      </c>
      <c r="P12" t="str">
        <f t="shared" si="2"/>
        <v xml:space="preserve"> </v>
      </c>
      <c r="Q12" s="155" t="str">
        <f t="shared" si="2"/>
        <v xml:space="preserve"> </v>
      </c>
    </row>
    <row r="13" spans="3:19">
      <c r="C13" s="260" t="s">
        <v>362</v>
      </c>
      <c r="D13" t="s">
        <v>341</v>
      </c>
      <c r="E13" t="s">
        <v>457</v>
      </c>
      <c r="F13">
        <v>244685.52</v>
      </c>
      <c r="G13">
        <v>5245.29</v>
      </c>
      <c r="H13" s="89">
        <v>11005.591697080292</v>
      </c>
      <c r="I13">
        <v>241242.57</v>
      </c>
      <c r="J13">
        <f t="shared" si="0"/>
        <v>21.92</v>
      </c>
      <c r="K13" s="89">
        <v>30854.647058823528</v>
      </c>
      <c r="L13" s="89">
        <f>SUM(G13:K13)</f>
        <v>288370.01875590387</v>
      </c>
      <c r="M13" s="75">
        <v>0.23</v>
      </c>
      <c r="N13">
        <f>G13/K13</f>
        <v>0.17</v>
      </c>
      <c r="O13" s="5">
        <f>G13/L13</f>
        <v>1.8189442933871612E-2</v>
      </c>
      <c r="P13">
        <v>1.05</v>
      </c>
      <c r="Q13" s="155">
        <f t="shared" si="1"/>
        <v>0.92846405517729247</v>
      </c>
    </row>
    <row r="14" spans="3:19">
      <c r="C14" s="302" t="s">
        <v>335</v>
      </c>
      <c r="D14" s="302" t="s">
        <v>341</v>
      </c>
      <c r="E14" s="302" t="s">
        <v>456</v>
      </c>
      <c r="F14" s="302">
        <v>28785.08</v>
      </c>
      <c r="G14" s="302">
        <v>3355</v>
      </c>
      <c r="H14" s="303">
        <v>-982.0347755762233</v>
      </c>
      <c r="I14" s="302">
        <v>24285.72</v>
      </c>
      <c r="J14" s="302">
        <v>-24.73</v>
      </c>
      <c r="K14" s="303">
        <v>6578.4313725490192</v>
      </c>
      <c r="L14" s="303">
        <v>9933.4313725490192</v>
      </c>
      <c r="M14" s="304">
        <v>0</v>
      </c>
      <c r="N14" s="302">
        <v>0.51</v>
      </c>
      <c r="O14" s="305">
        <v>0.33774834437086093</v>
      </c>
      <c r="P14" s="302">
        <v>0</v>
      </c>
      <c r="Q14" s="303">
        <v>0</v>
      </c>
    </row>
    <row r="15" spans="3:19">
      <c r="H15" s="89"/>
      <c r="K15" s="89"/>
      <c r="L15" s="89"/>
      <c r="M15" s="75"/>
      <c r="O15" s="5"/>
      <c r="Q15" s="89"/>
    </row>
    <row r="17" spans="3:18">
      <c r="L17" s="125" t="s">
        <v>344</v>
      </c>
      <c r="M17" s="126">
        <f>AVERAGE(M9:M13)</f>
        <v>0.2652184439890658</v>
      </c>
      <c r="N17" s="126">
        <f>AVERAGE(N9:N13)</f>
        <v>0.52500000000000002</v>
      </c>
      <c r="O17" s="126">
        <f>AVERAGE(O9:O13)</f>
        <v>0.17566994135010822</v>
      </c>
      <c r="P17" s="122">
        <f>AVERAGE(P9:P13)</f>
        <v>0.73</v>
      </c>
      <c r="Q17" s="122">
        <f>AVERAGE(Q9:Q13)</f>
        <v>0.63977557159558707</v>
      </c>
    </row>
    <row r="18" spans="3:18">
      <c r="C18" s="2" t="s">
        <v>421</v>
      </c>
      <c r="D18" s="2">
        <f>MEDIAN(J9:J13)</f>
        <v>20.05</v>
      </c>
      <c r="L18" s="143" t="s">
        <v>345</v>
      </c>
      <c r="M18" s="127">
        <f>MEDIAN(M9:M13)</f>
        <v>0.24543688797813162</v>
      </c>
      <c r="N18" s="127">
        <f>MEDIAN(N9:N13)</f>
        <v>0.1</v>
      </c>
      <c r="O18" s="127">
        <f>MEDIAN(O9:O13)</f>
        <v>2.3657828263052311E-2</v>
      </c>
      <c r="P18" s="123">
        <f>MEDIAN(P9:P13)</f>
        <v>0.745</v>
      </c>
      <c r="Q18" s="123">
        <f>MEDIAN(Q9:Q13)</f>
        <v>0.72029316093632501</v>
      </c>
    </row>
    <row r="20" spans="3:18" ht="15.75" thickBot="1"/>
    <row r="21" spans="3:18" ht="21.75" thickBot="1">
      <c r="C21" s="259" t="s">
        <v>353</v>
      </c>
      <c r="D21" s="259"/>
      <c r="E21" s="259"/>
      <c r="M21" s="259" t="s">
        <v>348</v>
      </c>
      <c r="N21" s="259"/>
      <c r="O21" s="259"/>
      <c r="P21" s="259"/>
      <c r="Q21" s="259"/>
    </row>
    <row r="22" spans="3:18">
      <c r="C22" s="306"/>
      <c r="D22" s="137"/>
      <c r="E22" s="307"/>
      <c r="M22" s="154"/>
      <c r="Q22" s="161"/>
    </row>
    <row r="23" spans="3:18">
      <c r="C23" s="154" t="s">
        <v>354</v>
      </c>
      <c r="E23" s="251">
        <f>'Retun on market'!D36</f>
        <v>0.12598425196850394</v>
      </c>
      <c r="M23" s="154" t="s">
        <v>349</v>
      </c>
      <c r="Q23" s="256">
        <v>6.7400000000000002E-2</v>
      </c>
      <c r="R23" t="s">
        <v>369</v>
      </c>
    </row>
    <row r="24" spans="3:18">
      <c r="C24" s="154" t="s">
        <v>266</v>
      </c>
      <c r="E24" s="251">
        <f>M18</f>
        <v>0.24543688797813162</v>
      </c>
      <c r="M24" s="154" t="s">
        <v>347</v>
      </c>
      <c r="Q24" s="240">
        <f>Q25-Q23</f>
        <v>9.8647999999999972E-2</v>
      </c>
    </row>
    <row r="25" spans="3:18">
      <c r="C25" s="154" t="s">
        <v>355</v>
      </c>
      <c r="E25" s="155">
        <f>E23*(1-E24)</f>
        <v>9.5063069231101513E-2</v>
      </c>
      <c r="M25" s="154" t="s">
        <v>370</v>
      </c>
      <c r="Q25" s="240">
        <f>'Retun on market'!E9</f>
        <v>0.16604799999999997</v>
      </c>
    </row>
    <row r="26" spans="3:18" ht="15.75" thickBot="1">
      <c r="C26" s="154"/>
      <c r="E26" s="155"/>
      <c r="M26" s="154" t="s">
        <v>346</v>
      </c>
      <c r="Q26" s="240">
        <f>Q38</f>
        <v>0.74889877404601879</v>
      </c>
    </row>
    <row r="27" spans="3:18" ht="15.75" thickBot="1">
      <c r="C27" s="308" t="s">
        <v>353</v>
      </c>
      <c r="D27" s="138"/>
      <c r="E27" s="309">
        <f>E25</f>
        <v>9.5063069231101513E-2</v>
      </c>
      <c r="M27" s="154"/>
      <c r="Q27" s="161"/>
    </row>
    <row r="28" spans="3:18" ht="15.75" thickBot="1">
      <c r="M28" s="315" t="s">
        <v>348</v>
      </c>
      <c r="N28" s="139"/>
      <c r="O28" s="139"/>
      <c r="P28" s="139"/>
      <c r="Q28" s="312">
        <f>Q23+Q26*(Q24)</f>
        <v>0.14127736626209164</v>
      </c>
    </row>
    <row r="31" spans="3:18" ht="15.75" thickBot="1"/>
    <row r="32" spans="3:18" ht="21">
      <c r="C32" s="259" t="s">
        <v>350</v>
      </c>
      <c r="D32" s="259"/>
      <c r="E32" s="259"/>
      <c r="F32" s="259"/>
      <c r="G32" s="259"/>
      <c r="M32" s="259" t="s">
        <v>346</v>
      </c>
      <c r="N32" s="259"/>
      <c r="O32" s="259"/>
      <c r="P32" s="259"/>
      <c r="Q32" s="259"/>
    </row>
    <row r="33" spans="3:17">
      <c r="C33" s="154"/>
      <c r="F33" s="124" t="s">
        <v>360</v>
      </c>
      <c r="G33" s="310" t="s">
        <v>361</v>
      </c>
      <c r="H33" s="72"/>
      <c r="I33" s="72"/>
      <c r="J33" s="72"/>
      <c r="M33" s="154"/>
      <c r="Q33" s="161"/>
    </row>
    <row r="34" spans="3:17">
      <c r="C34" s="154" t="s">
        <v>351</v>
      </c>
      <c r="E34">
        <f>G9</f>
        <v>403.86</v>
      </c>
      <c r="F34" s="5">
        <f>E34/E36</f>
        <v>2.9540908994821311E-3</v>
      </c>
      <c r="G34" s="251">
        <v>0.05</v>
      </c>
      <c r="H34" s="75"/>
      <c r="I34" s="75"/>
      <c r="J34" s="75"/>
      <c r="M34" s="154" t="s">
        <v>371</v>
      </c>
      <c r="Q34" s="155">
        <f>Q18</f>
        <v>0.72029316093632501</v>
      </c>
    </row>
    <row r="35" spans="3:17" ht="15.75" thickBot="1">
      <c r="C35" s="154" t="s">
        <v>79</v>
      </c>
      <c r="E35">
        <f>F9</f>
        <v>136308.25</v>
      </c>
      <c r="F35" s="311">
        <f>E35/E36</f>
        <v>0.99704590910051794</v>
      </c>
      <c r="G35" s="240">
        <f>G36-G34</f>
        <v>0.95</v>
      </c>
      <c r="H35" s="5"/>
      <c r="I35" s="5"/>
      <c r="J35" s="5"/>
      <c r="M35" s="154" t="s">
        <v>372</v>
      </c>
      <c r="Q35" s="240">
        <f>G39</f>
        <v>5.2631578947368425E-2</v>
      </c>
    </row>
    <row r="36" spans="3:17" ht="15.75" thickBot="1">
      <c r="C36" s="308" t="s">
        <v>352</v>
      </c>
      <c r="D36" s="138"/>
      <c r="E36" s="139">
        <f>SUM(E34:E35)</f>
        <v>136712.10999999999</v>
      </c>
      <c r="F36" s="140">
        <f>SUM(F34:F35)</f>
        <v>1</v>
      </c>
      <c r="G36" s="312">
        <v>1</v>
      </c>
      <c r="H36" s="16"/>
      <c r="I36" s="16"/>
      <c r="J36" s="16"/>
      <c r="M36" s="154" t="s">
        <v>118</v>
      </c>
      <c r="Q36" s="251">
        <f>M18</f>
        <v>0.24543688797813162</v>
      </c>
    </row>
    <row r="37" spans="3:17" ht="15.75" thickBot="1">
      <c r="M37" s="154"/>
      <c r="Q37" s="161"/>
    </row>
    <row r="38" spans="3:17" ht="15.75" thickBot="1">
      <c r="M38" s="308" t="s">
        <v>346</v>
      </c>
      <c r="N38" s="138"/>
      <c r="O38" s="138"/>
      <c r="P38" s="138"/>
      <c r="Q38" s="316">
        <f>Q34*(1+(1-Q36)*Q35)</f>
        <v>0.74889877404601879</v>
      </c>
    </row>
    <row r="39" spans="3:17">
      <c r="C39" s="141" t="s">
        <v>322</v>
      </c>
      <c r="D39" s="142"/>
      <c r="E39" s="142"/>
      <c r="F39" s="87">
        <f>F34/F35</f>
        <v>2.9628434082309765E-3</v>
      </c>
      <c r="G39" s="88">
        <f>G34/G35</f>
        <v>5.2631578947368425E-2</v>
      </c>
      <c r="H39" s="5"/>
      <c r="I39" s="5"/>
      <c r="J39" s="5"/>
    </row>
    <row r="40" spans="3:17" ht="15.75" thickBot="1"/>
    <row r="41" spans="3:17" ht="21">
      <c r="C41" s="259" t="s">
        <v>316</v>
      </c>
      <c r="D41" s="259"/>
      <c r="E41" s="259"/>
      <c r="F41" s="259"/>
    </row>
    <row r="42" spans="3:17">
      <c r="C42" s="154"/>
      <c r="E42" s="2" t="s">
        <v>356</v>
      </c>
      <c r="F42" s="213" t="s">
        <v>363</v>
      </c>
    </row>
    <row r="43" spans="3:17">
      <c r="C43" s="154" t="s">
        <v>348</v>
      </c>
      <c r="E43" s="5">
        <f>G35</f>
        <v>0.95</v>
      </c>
      <c r="F43" s="240">
        <f>Q28</f>
        <v>0.14127736626209164</v>
      </c>
    </row>
    <row r="44" spans="3:17">
      <c r="C44" s="154" t="s">
        <v>353</v>
      </c>
      <c r="E44" s="75">
        <f>G34</f>
        <v>0.05</v>
      </c>
      <c r="F44" s="240">
        <f>E27</f>
        <v>9.5063069231101513E-2</v>
      </c>
    </row>
    <row r="45" spans="3:17">
      <c r="C45" s="154"/>
      <c r="F45" s="161"/>
    </row>
    <row r="46" spans="3:17">
      <c r="C46" s="162" t="s">
        <v>376</v>
      </c>
      <c r="E46" s="128">
        <f>SUMPRODUCT(E43:E44,F43:F44)</f>
        <v>0.13896665141054212</v>
      </c>
      <c r="F46" s="161"/>
    </row>
    <row r="47" spans="3:17" ht="15.75" thickBot="1">
      <c r="C47" s="237"/>
      <c r="D47" s="41"/>
      <c r="E47" s="313">
        <f>(E43*F43)+(E44*F44)</f>
        <v>0.13896665141054212</v>
      </c>
      <c r="F47" s="314"/>
    </row>
  </sheetData>
  <dataValidations disablePrompts="1" count="1">
    <dataValidation type="list" allowBlank="1" showInputMessage="1" showErrorMessage="1" sqref="H5" xr:uid="{9A946AB1-B43F-4EDE-8EFF-AD7AD3F522C8}">
      <formula1>$F$5:$F$6</formula1>
    </dataValidation>
  </dataValidations>
  <hyperlinks>
    <hyperlink ref="E9" r:id="rId1" display="https://www.nseindia.com/get-quotes/equity?symbol=EICHERMOT" xr:uid="{A1E923CA-383C-4AE9-A649-DD5EA78F13AE}"/>
    <hyperlink ref="E10" r:id="rId2" display="https://www.nseindia.com/get-quotes/equity?symbol=TVSMOTOR" xr:uid="{49C9E74A-9A24-4639-9F9F-F07095ACCFA7}"/>
    <hyperlink ref="E13" r:id="rId3" display="https://www.nseindia.com/get-quotes/equity?symbol=BAJAJ-AUTO" xr:uid="{A5DFC1E6-17E2-4A92-8B64-AB7F8E0FE9C9}"/>
  </hyperlinks>
  <pageMargins left="0.7" right="0.7" top="0.75" bottom="0.75" header="0.3" footer="0.3"/>
  <pageSetup scale="35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8FB8-F9B2-47E1-90A3-10B8678A5E43}">
  <sheetPr>
    <tabColor theme="5"/>
    <pageSetUpPr fitToPage="1"/>
  </sheetPr>
  <dimension ref="B2:M129"/>
  <sheetViews>
    <sheetView showGridLines="0" topLeftCell="A98" zoomScaleNormal="100" workbookViewId="0">
      <selection activeCell="C3" sqref="C3:K129"/>
    </sheetView>
  </sheetViews>
  <sheetFormatPr defaultRowHeight="15"/>
  <cols>
    <col min="1" max="1" width="5.140625" customWidth="1"/>
    <col min="2" max="2" width="5.85546875" customWidth="1"/>
    <col min="3" max="3" width="46" bestFit="1" customWidth="1"/>
    <col min="4" max="4" width="21.42578125" bestFit="1" customWidth="1"/>
    <col min="5" max="6" width="12.140625" bestFit="1" customWidth="1"/>
    <col min="7" max="7" width="13.42578125" customWidth="1"/>
    <col min="8" max="8" width="14.7109375" customWidth="1"/>
    <col min="9" max="9" width="12.7109375" bestFit="1" customWidth="1"/>
    <col min="10" max="10" width="12.85546875" bestFit="1" customWidth="1"/>
    <col min="12" max="12" width="11.140625" bestFit="1" customWidth="1"/>
  </cols>
  <sheetData>
    <row r="2" spans="2:12" ht="15.75" thickBot="1"/>
    <row r="3" spans="2:12" ht="21">
      <c r="B3" t="s">
        <v>116</v>
      </c>
      <c r="C3" s="259" t="s">
        <v>377</v>
      </c>
      <c r="D3" s="259"/>
      <c r="E3" s="259"/>
      <c r="F3" s="300" t="s">
        <v>103</v>
      </c>
      <c r="G3" s="300" t="s">
        <v>99</v>
      </c>
      <c r="H3" s="300" t="s">
        <v>100</v>
      </c>
      <c r="I3" s="300" t="s">
        <v>101</v>
      </c>
      <c r="J3" s="300" t="s">
        <v>393</v>
      </c>
    </row>
    <row r="5" spans="2:12" ht="15.75" thickBot="1">
      <c r="C5" s="41"/>
      <c r="D5" s="41"/>
      <c r="E5" s="41"/>
      <c r="F5" s="41"/>
      <c r="G5" s="41"/>
      <c r="H5" s="41"/>
      <c r="I5" s="41"/>
      <c r="J5" s="41"/>
    </row>
    <row r="6" spans="2:12" ht="21">
      <c r="C6" s="259" t="s">
        <v>485</v>
      </c>
      <c r="D6" s="259"/>
      <c r="E6" s="259"/>
      <c r="F6" s="259"/>
      <c r="G6" s="259"/>
      <c r="H6" s="259"/>
      <c r="I6" s="259"/>
      <c r="J6" s="259"/>
    </row>
    <row r="7" spans="2:12">
      <c r="C7" s="268" t="s">
        <v>486</v>
      </c>
      <c r="D7" s="2"/>
      <c r="E7" s="2"/>
      <c r="F7" s="91">
        <f>'Income Statement'!J19</f>
        <v>4093.5294055825052</v>
      </c>
      <c r="G7" s="91">
        <f>'Income Statement'!K19</f>
        <v>5397.5598481391935</v>
      </c>
      <c r="H7" s="91">
        <f>'Income Statement'!L19</f>
        <v>6668.4676575447229</v>
      </c>
      <c r="I7" s="91">
        <f>'Income Statement'!M19</f>
        <v>7846.1718908388084</v>
      </c>
      <c r="J7" s="269">
        <f>I7</f>
        <v>7846.1718908388084</v>
      </c>
      <c r="K7" t="s">
        <v>220</v>
      </c>
    </row>
    <row r="8" spans="2:12">
      <c r="C8" s="52" t="s">
        <v>487</v>
      </c>
      <c r="F8">
        <f>-'Income Statement'!J30</f>
        <v>-1217.77</v>
      </c>
      <c r="G8">
        <f>-'Income Statement'!K30</f>
        <v>-1894.1538368112276</v>
      </c>
      <c r="H8">
        <f>-'Income Statement'!L30</f>
        <v>-2621.144039345254</v>
      </c>
      <c r="I8">
        <f>-'Income Statement'!M30</f>
        <v>-3522.1596974486965</v>
      </c>
      <c r="J8" s="32">
        <f>I8</f>
        <v>-3522.1596974486965</v>
      </c>
    </row>
    <row r="9" spans="2:12">
      <c r="C9" s="52" t="s">
        <v>237</v>
      </c>
      <c r="F9" s="49">
        <f>-'Depriciation schedule'!J12</f>
        <v>-1060.3230104904023</v>
      </c>
      <c r="G9" s="49">
        <f>-'Depriciation schedule'!K12</f>
        <v>-1467.3679392400963</v>
      </c>
      <c r="H9" s="49">
        <f>-'Depriciation schedule'!L12</f>
        <v>-896.1922680151747</v>
      </c>
      <c r="I9" s="49">
        <f>-'Depriciation schedule'!M12</f>
        <v>-968.87456333461705</v>
      </c>
      <c r="J9" s="317">
        <f>I9</f>
        <v>-968.87456333461705</v>
      </c>
    </row>
    <row r="10" spans="2:12">
      <c r="C10" s="52" t="s">
        <v>488</v>
      </c>
      <c r="F10" s="71">
        <f>-'working capital schedle'!J26</f>
        <v>282.80962599097029</v>
      </c>
      <c r="G10" s="71">
        <f>-'working capital schedle'!K26</f>
        <v>80.436138430913161</v>
      </c>
      <c r="H10" s="71">
        <f>-'working capital schedle'!L26</f>
        <v>-7.4088052337638146</v>
      </c>
      <c r="I10" s="71">
        <f>-'working capital schedle'!M26</f>
        <v>40.961335259554744</v>
      </c>
      <c r="J10" s="270">
        <f>I10</f>
        <v>40.961335259554744</v>
      </c>
    </row>
    <row r="11" spans="2:12" ht="15.75" thickBot="1">
      <c r="C11" s="150" t="s">
        <v>380</v>
      </c>
      <c r="D11" s="63"/>
      <c r="E11" s="63"/>
      <c r="F11" s="129">
        <f>SUM(F7:F10)</f>
        <v>2098.2460210830732</v>
      </c>
      <c r="G11" s="129">
        <f t="shared" ref="G11:I11" si="0">SUM(G7:G10)</f>
        <v>2116.4742105187825</v>
      </c>
      <c r="H11" s="129">
        <f t="shared" si="0"/>
        <v>3143.7225449505304</v>
      </c>
      <c r="I11" s="129">
        <f t="shared" si="0"/>
        <v>3396.0989653150496</v>
      </c>
      <c r="J11" s="151">
        <f>I11</f>
        <v>3396.0989653150496</v>
      </c>
    </row>
    <row r="12" spans="2:12">
      <c r="C12" s="52"/>
      <c r="J12" s="32"/>
    </row>
    <row r="13" spans="2:12" ht="15.75" thickBot="1">
      <c r="C13" s="52" t="s">
        <v>380</v>
      </c>
      <c r="J13" s="32"/>
    </row>
    <row r="14" spans="2:12" ht="21">
      <c r="C14" s="259" t="s">
        <v>484</v>
      </c>
      <c r="D14" s="259"/>
      <c r="E14" s="259"/>
      <c r="F14" s="259"/>
      <c r="G14" s="259"/>
      <c r="H14" s="259"/>
      <c r="I14" s="259"/>
      <c r="J14" s="259"/>
    </row>
    <row r="15" spans="2:12">
      <c r="C15" s="52" t="s">
        <v>112</v>
      </c>
      <c r="F15" s="89">
        <f>'Income Statement'!J23</f>
        <v>3432.0494055825052</v>
      </c>
      <c r="G15" s="89">
        <f>'Income Statement'!K23</f>
        <v>4614.7516124753038</v>
      </c>
      <c r="H15" s="89">
        <f>'Income Statement'!L23</f>
        <v>5784.9947089546749</v>
      </c>
      <c r="I15" s="89">
        <f>'Income Statement'!M23</f>
        <v>6937.0739545489223</v>
      </c>
      <c r="J15" s="89">
        <f t="shared" ref="J15:J21" si="1">I15</f>
        <v>6937.0739545489223</v>
      </c>
    </row>
    <row r="16" spans="2:12">
      <c r="C16" s="52" t="s">
        <v>13</v>
      </c>
      <c r="F16" s="5">
        <f>'Growth drivers'!F46</f>
        <v>0.22234264965611591</v>
      </c>
      <c r="G16" s="5">
        <f>'Growth drivers'!G46</f>
        <v>0.24856355559552307</v>
      </c>
      <c r="H16" s="5">
        <f>'Growth drivers'!H46</f>
        <v>0.2488046383376066</v>
      </c>
      <c r="I16" s="5">
        <f>'Growth drivers'!I46</f>
        <v>0.24901224710390407</v>
      </c>
      <c r="J16" s="5">
        <f t="shared" si="1"/>
        <v>0.24901224710390407</v>
      </c>
      <c r="L16" t="s">
        <v>220</v>
      </c>
    </row>
    <row r="17" spans="2:10">
      <c r="C17" s="268" t="s">
        <v>383</v>
      </c>
      <c r="D17" s="2"/>
      <c r="E17" s="2"/>
      <c r="F17" s="91">
        <f>F15*(1-F16)</f>
        <v>2668.9584469945935</v>
      </c>
      <c r="G17" s="91">
        <f t="shared" ref="G17:I17" si="2">G15*(1-G16)</f>
        <v>3467.6925434882692</v>
      </c>
      <c r="H17" s="91">
        <f t="shared" si="2"/>
        <v>4345.6611926082396</v>
      </c>
      <c r="I17" s="91">
        <f t="shared" si="2"/>
        <v>5209.6575808007292</v>
      </c>
      <c r="J17" s="91">
        <f t="shared" si="1"/>
        <v>5209.6575808007292</v>
      </c>
    </row>
    <row r="18" spans="2:10">
      <c r="C18" s="52" t="s">
        <v>238</v>
      </c>
      <c r="F18" s="89">
        <f>'Income Statement'!J21</f>
        <v>661.48</v>
      </c>
      <c r="G18" s="89">
        <f>'Income Statement'!K21</f>
        <v>782.80823566388983</v>
      </c>
      <c r="H18" s="89">
        <f>'Income Statement'!L21</f>
        <v>883.47294859004762</v>
      </c>
      <c r="I18" s="89">
        <f>'Income Statement'!M21</f>
        <v>909.09793628988575</v>
      </c>
      <c r="J18" s="89">
        <f t="shared" si="1"/>
        <v>909.09793628988575</v>
      </c>
    </row>
    <row r="19" spans="2:10">
      <c r="C19" s="52" t="s">
        <v>237</v>
      </c>
      <c r="F19" s="89">
        <f>-'Depriciation schedule'!J12</f>
        <v>-1060.3230104904023</v>
      </c>
      <c r="G19" s="89">
        <f>-'Depriciation schedule'!K12</f>
        <v>-1467.3679392400963</v>
      </c>
      <c r="H19" s="89">
        <f>-'Depriciation schedule'!L12</f>
        <v>-896.1922680151747</v>
      </c>
      <c r="I19" s="89">
        <f>-'Depriciation schedule'!M12</f>
        <v>-968.87456333461705</v>
      </c>
      <c r="J19" s="89">
        <f t="shared" si="1"/>
        <v>-968.87456333461705</v>
      </c>
    </row>
    <row r="20" spans="2:10">
      <c r="C20" s="52" t="s">
        <v>382</v>
      </c>
      <c r="F20" s="71">
        <f>-'working capital schedle'!J26</f>
        <v>282.80962599097029</v>
      </c>
      <c r="G20" s="71">
        <f>-'working capital schedle'!K26</f>
        <v>80.436138430913161</v>
      </c>
      <c r="H20" s="71">
        <f>-'working capital schedle'!L26</f>
        <v>-7.4088052337638146</v>
      </c>
      <c r="I20" s="71">
        <f>-'working capital schedle'!M26</f>
        <v>40.961335259554744</v>
      </c>
      <c r="J20" s="71">
        <f t="shared" si="1"/>
        <v>40.961335259554744</v>
      </c>
    </row>
    <row r="21" spans="2:10" ht="15.75" thickBot="1">
      <c r="C21" s="150" t="s">
        <v>380</v>
      </c>
      <c r="D21" s="43"/>
      <c r="E21" s="43"/>
      <c r="F21" s="129">
        <f>SUM(F17:F20)</f>
        <v>2552.9250624951615</v>
      </c>
      <c r="G21" s="129">
        <f t="shared" ref="G21:I21" si="3">SUM(G17:G20)</f>
        <v>2863.5689783429762</v>
      </c>
      <c r="H21" s="129">
        <f t="shared" si="3"/>
        <v>4325.5330679493491</v>
      </c>
      <c r="I21" s="129">
        <f t="shared" si="3"/>
        <v>5190.8422890155525</v>
      </c>
      <c r="J21" s="129">
        <f t="shared" si="1"/>
        <v>5190.8422890155525</v>
      </c>
    </row>
    <row r="23" spans="2:10" ht="15.75" thickBot="1"/>
    <row r="24" spans="2:10" ht="21">
      <c r="B24" t="s">
        <v>116</v>
      </c>
      <c r="C24" s="259" t="s">
        <v>387</v>
      </c>
      <c r="D24" s="259"/>
      <c r="E24" s="259"/>
      <c r="F24" s="259"/>
      <c r="G24" s="259"/>
      <c r="H24" s="259"/>
      <c r="I24" s="259"/>
      <c r="J24" s="259"/>
    </row>
    <row r="26" spans="2:10">
      <c r="B26" t="s">
        <v>220</v>
      </c>
    </row>
    <row r="27" spans="2:10">
      <c r="E27" s="136" t="s">
        <v>389</v>
      </c>
      <c r="J27" s="136" t="s">
        <v>393</v>
      </c>
    </row>
    <row r="28" spans="2:10">
      <c r="E28" s="275" t="s">
        <v>390</v>
      </c>
      <c r="F28" s="276" t="s">
        <v>390</v>
      </c>
      <c r="G28" s="276" t="s">
        <v>390</v>
      </c>
      <c r="H28" s="276" t="s">
        <v>390</v>
      </c>
      <c r="I28" s="276" t="s">
        <v>390</v>
      </c>
      <c r="J28" s="277" t="s">
        <v>390</v>
      </c>
    </row>
    <row r="29" spans="2:10">
      <c r="D29" s="2" t="s">
        <v>391</v>
      </c>
      <c r="E29" s="134">
        <v>45658</v>
      </c>
      <c r="F29" s="130">
        <v>45747</v>
      </c>
      <c r="G29" s="130">
        <v>46112</v>
      </c>
      <c r="H29" s="130">
        <v>46477</v>
      </c>
      <c r="I29" s="130">
        <v>46842</v>
      </c>
      <c r="J29" s="131">
        <v>47207</v>
      </c>
    </row>
    <row r="30" spans="2:10">
      <c r="D30" s="2" t="s">
        <v>392</v>
      </c>
      <c r="E30" s="135">
        <v>45658</v>
      </c>
      <c r="F30" s="132">
        <v>45930</v>
      </c>
      <c r="G30" s="132">
        <v>46295</v>
      </c>
      <c r="H30" s="132">
        <v>46660</v>
      </c>
      <c r="I30" s="132">
        <v>47025</v>
      </c>
      <c r="J30" s="133">
        <v>47390</v>
      </c>
    </row>
    <row r="31" spans="2:10">
      <c r="F31" s="130"/>
      <c r="G31" s="130"/>
      <c r="H31" s="130"/>
      <c r="I31" s="130"/>
      <c r="J31" s="130"/>
    </row>
    <row r="32" spans="2:10">
      <c r="C32" s="144" t="s">
        <v>378</v>
      </c>
      <c r="D32" s="145">
        <v>6.7000000000000004E-2</v>
      </c>
      <c r="E32" t="s">
        <v>388</v>
      </c>
    </row>
    <row r="33" spans="3:13">
      <c r="C33" s="146" t="s">
        <v>379</v>
      </c>
      <c r="D33" s="147">
        <f>'DCF schedule'!E46</f>
        <v>0.13896665141054212</v>
      </c>
      <c r="K33">
        <v>1</v>
      </c>
      <c r="L33" t="s">
        <v>472</v>
      </c>
      <c r="M33">
        <v>2</v>
      </c>
    </row>
    <row r="34" spans="3:13">
      <c r="K34">
        <v>2</v>
      </c>
    </row>
    <row r="36" spans="3:13">
      <c r="C36" s="271" t="s">
        <v>380</v>
      </c>
      <c r="D36" s="272"/>
      <c r="E36" s="272" t="s">
        <v>394</v>
      </c>
      <c r="F36" s="273">
        <f>IF($M$33=1,F11,F21)</f>
        <v>2552.9250624951615</v>
      </c>
      <c r="G36" s="273">
        <f t="shared" ref="G36:J36" si="4">IF($M$33=1,G11,G21)</f>
        <v>2863.5689783429762</v>
      </c>
      <c r="H36" s="273">
        <f t="shared" si="4"/>
        <v>4325.5330679493491</v>
      </c>
      <c r="I36" s="273">
        <f t="shared" si="4"/>
        <v>5190.8422890155525</v>
      </c>
      <c r="J36" s="274">
        <f t="shared" si="4"/>
        <v>5190.8422890155525</v>
      </c>
    </row>
    <row r="38" spans="3:13">
      <c r="C38" s="2" t="s">
        <v>395</v>
      </c>
    </row>
    <row r="39" spans="3:13">
      <c r="C39" t="s">
        <v>396</v>
      </c>
      <c r="F39" s="89">
        <f>F36</f>
        <v>2552.9250624951615</v>
      </c>
      <c r="G39" s="89">
        <f>G36</f>
        <v>2863.5689783429762</v>
      </c>
      <c r="H39" s="89">
        <f>H36</f>
        <v>4325.5330679493491</v>
      </c>
      <c r="I39" s="89">
        <f>I36</f>
        <v>5190.8422890155525</v>
      </c>
    </row>
    <row r="40" spans="3:13">
      <c r="C40" t="s">
        <v>397</v>
      </c>
      <c r="I40" s="89">
        <f>J36/(D33-D32)</f>
        <v>72128.43987145921</v>
      </c>
      <c r="J40" t="s">
        <v>220</v>
      </c>
    </row>
    <row r="41" spans="3:13">
      <c r="C41" s="2" t="s">
        <v>398</v>
      </c>
      <c r="E41">
        <v>0</v>
      </c>
      <c r="F41" s="318">
        <f>SUM(F39:F40)</f>
        <v>2552.9250624951615</v>
      </c>
      <c r="G41" s="318">
        <f t="shared" ref="G41:H41" si="5">SUM(G39:G40)</f>
        <v>2863.5689783429762</v>
      </c>
      <c r="H41" s="318">
        <f t="shared" si="5"/>
        <v>4325.5330679493491</v>
      </c>
      <c r="I41" s="318">
        <f>SUM(I39:I40)</f>
        <v>77319.282160474759</v>
      </c>
      <c r="J41" s="89" t="s">
        <v>220</v>
      </c>
    </row>
    <row r="44" spans="3:13">
      <c r="C44" s="2" t="s">
        <v>399</v>
      </c>
    </row>
    <row r="46" spans="3:13">
      <c r="C46" s="271" t="s">
        <v>400</v>
      </c>
      <c r="D46" s="272"/>
      <c r="E46" s="272"/>
      <c r="F46" s="286">
        <f>YEARFRAC(E29,F29)</f>
        <v>0.25</v>
      </c>
      <c r="G46" s="286">
        <f t="shared" ref="G46:I46" si="6">YEARFRAC(F29,G29)</f>
        <v>1</v>
      </c>
      <c r="H46" s="286">
        <f t="shared" si="6"/>
        <v>1</v>
      </c>
      <c r="I46" s="287">
        <f t="shared" si="6"/>
        <v>1</v>
      </c>
      <c r="J46" s="75" t="s">
        <v>220</v>
      </c>
      <c r="K46" t="s">
        <v>220</v>
      </c>
    </row>
    <row r="47" spans="3:13">
      <c r="J47" t="s">
        <v>220</v>
      </c>
    </row>
    <row r="48" spans="3:13">
      <c r="C48" t="s">
        <v>396</v>
      </c>
      <c r="F48" s="89">
        <f t="shared" ref="F48:I49" si="7">F39*F$46</f>
        <v>638.23126562379036</v>
      </c>
      <c r="G48" s="89">
        <f t="shared" si="7"/>
        <v>2863.5689783429762</v>
      </c>
      <c r="H48" s="89">
        <f t="shared" si="7"/>
        <v>4325.5330679493491</v>
      </c>
      <c r="I48" s="89">
        <f t="shared" si="7"/>
        <v>5190.8422890155525</v>
      </c>
      <c r="J48" s="89"/>
    </row>
    <row r="49" spans="3:10">
      <c r="C49" t="s">
        <v>397</v>
      </c>
      <c r="F49" s="89">
        <f t="shared" si="7"/>
        <v>0</v>
      </c>
      <c r="G49" s="89">
        <f t="shared" si="7"/>
        <v>0</v>
      </c>
      <c r="H49" s="89">
        <f t="shared" si="7"/>
        <v>0</v>
      </c>
      <c r="I49" s="89">
        <f>I40*I$46</f>
        <v>72128.43987145921</v>
      </c>
      <c r="J49" s="89"/>
    </row>
    <row r="50" spans="3:10">
      <c r="C50" s="322" t="s">
        <v>398</v>
      </c>
      <c r="D50" s="142"/>
      <c r="E50" s="142">
        <f>E41</f>
        <v>0</v>
      </c>
      <c r="F50" s="319">
        <f>SUM(F48:F49)</f>
        <v>638.23126562379036</v>
      </c>
      <c r="G50" s="319">
        <f t="shared" ref="G50:I50" si="8">SUM(G48:G49)</f>
        <v>2863.5689783429762</v>
      </c>
      <c r="H50" s="319">
        <f t="shared" si="8"/>
        <v>4325.5330679493491</v>
      </c>
      <c r="I50" s="319">
        <f t="shared" si="8"/>
        <v>77319.282160474759</v>
      </c>
      <c r="J50" s="89"/>
    </row>
    <row r="52" spans="3:10">
      <c r="C52" t="s">
        <v>401</v>
      </c>
    </row>
    <row r="54" spans="3:10">
      <c r="C54" t="s">
        <v>402</v>
      </c>
      <c r="F54" s="77">
        <f>E54+YEARFRAC(F30,E30)</f>
        <v>0.74722222222222223</v>
      </c>
      <c r="G54" s="77">
        <f t="shared" ref="G54:I54" si="9">F54+YEARFRAC(G30,F30)</f>
        <v>1.7472222222222222</v>
      </c>
      <c r="H54" s="77">
        <f t="shared" si="9"/>
        <v>2.7472222222222222</v>
      </c>
      <c r="I54" s="77">
        <f t="shared" si="9"/>
        <v>3.7444444444444445</v>
      </c>
    </row>
    <row r="56" spans="3:10">
      <c r="C56" t="s">
        <v>396</v>
      </c>
      <c r="F56" s="89">
        <f>F48/(1+$D$33)^F$54</f>
        <v>579.09763911790071</v>
      </c>
      <c r="G56" s="89">
        <f t="shared" ref="G56:I56" si="10">G48/(1+$D$33)^G$54</f>
        <v>2281.2367511662019</v>
      </c>
      <c r="H56" s="89">
        <f t="shared" si="10"/>
        <v>3025.4594659805671</v>
      </c>
      <c r="I56" s="89">
        <f t="shared" si="10"/>
        <v>3188.8603692319307</v>
      </c>
    </row>
    <row r="57" spans="3:10">
      <c r="C57" t="s">
        <v>397</v>
      </c>
      <c r="F57" s="89">
        <f t="shared" ref="F57:I57" si="11">F49/(1+$D$33)^F$54</f>
        <v>0</v>
      </c>
      <c r="G57" s="89">
        <f t="shared" si="11"/>
        <v>0</v>
      </c>
      <c r="H57" s="89">
        <f t="shared" si="11"/>
        <v>0</v>
      </c>
      <c r="I57" s="89">
        <f t="shared" si="11"/>
        <v>44310.250744344157</v>
      </c>
    </row>
    <row r="58" spans="3:10">
      <c r="C58" s="322" t="s">
        <v>398</v>
      </c>
      <c r="D58" s="142"/>
      <c r="E58" s="142">
        <v>0</v>
      </c>
      <c r="F58" s="320">
        <f>SUM(F56:F57)</f>
        <v>579.09763911790071</v>
      </c>
      <c r="G58" s="320">
        <f t="shared" ref="G58:I58" si="12">SUM(G56:G57)</f>
        <v>2281.2367511662019</v>
      </c>
      <c r="H58" s="320">
        <f t="shared" si="12"/>
        <v>3025.4594659805671</v>
      </c>
      <c r="I58" s="320">
        <f t="shared" si="12"/>
        <v>47499.111113576088</v>
      </c>
    </row>
    <row r="61" spans="3:10" ht="15.75" thickBot="1">
      <c r="C61" t="s">
        <v>403</v>
      </c>
      <c r="H61" s="152" t="s">
        <v>403</v>
      </c>
      <c r="I61" s="153"/>
    </row>
    <row r="62" spans="3:10">
      <c r="C62" s="69" t="s">
        <v>404</v>
      </c>
      <c r="D62" s="148">
        <f>SUM(F58:I58)</f>
        <v>53384.904969840754</v>
      </c>
      <c r="H62" s="154" t="s">
        <v>408</v>
      </c>
      <c r="I62" s="155">
        <f>SUM(F56:I56)</f>
        <v>9074.6542254966007</v>
      </c>
    </row>
    <row r="63" spans="3:10">
      <c r="C63" s="52" t="s">
        <v>405</v>
      </c>
      <c r="D63" s="149">
        <f>XNPV(D33,E50:I50,E30:I30)</f>
        <v>53381.74627184734</v>
      </c>
      <c r="H63" s="154" t="s">
        <v>409</v>
      </c>
      <c r="I63" s="155">
        <f>I57</f>
        <v>44310.250744344157</v>
      </c>
    </row>
    <row r="64" spans="3:10">
      <c r="C64" s="52"/>
      <c r="D64" s="149" t="s">
        <v>220</v>
      </c>
      <c r="H64" s="156" t="s">
        <v>403</v>
      </c>
      <c r="I64" s="157">
        <f>SUM(I62:I63)</f>
        <v>53384.904969840762</v>
      </c>
    </row>
    <row r="65" spans="2:10">
      <c r="C65" s="52" t="s">
        <v>406</v>
      </c>
      <c r="D65" s="32"/>
    </row>
    <row r="66" spans="2:10">
      <c r="C66" s="52" t="s">
        <v>403</v>
      </c>
      <c r="D66" s="149">
        <f>D63</f>
        <v>53381.74627184734</v>
      </c>
      <c r="H66" s="144" t="s">
        <v>410</v>
      </c>
      <c r="I66" s="153"/>
    </row>
    <row r="67" spans="2:10">
      <c r="C67" s="52" t="s">
        <v>407</v>
      </c>
      <c r="D67" s="149">
        <f>-CCA!H7</f>
        <v>-257.55</v>
      </c>
      <c r="H67" s="154" t="s">
        <v>411</v>
      </c>
      <c r="I67" s="155">
        <f>D68</f>
        <v>53124.196271847337</v>
      </c>
    </row>
    <row r="68" spans="2:10" ht="15.75" thickBot="1">
      <c r="C68" s="150" t="s">
        <v>406</v>
      </c>
      <c r="D68" s="151">
        <f>SUM(D66:D67)</f>
        <v>53124.196271847337</v>
      </c>
      <c r="H68" s="154" t="s">
        <v>412</v>
      </c>
      <c r="I68" s="158">
        <f>'Income Statement'!I37</f>
        <v>27.38</v>
      </c>
    </row>
    <row r="69" spans="2:10">
      <c r="H69" s="156" t="s">
        <v>411</v>
      </c>
      <c r="I69" s="159">
        <f>I67/I68</f>
        <v>1940.2555249031168</v>
      </c>
    </row>
    <row r="71" spans="2:10">
      <c r="C71" s="144" t="s">
        <v>411</v>
      </c>
      <c r="D71" s="160">
        <f>I69</f>
        <v>1940.2555249031168</v>
      </c>
    </row>
    <row r="72" spans="2:10">
      <c r="C72" s="154"/>
      <c r="D72" s="161"/>
    </row>
    <row r="73" spans="2:10">
      <c r="C73" s="162" t="s">
        <v>413</v>
      </c>
      <c r="D73" s="160">
        <v>4808.05</v>
      </c>
    </row>
    <row r="74" spans="2:10">
      <c r="C74" s="154"/>
      <c r="D74" s="161"/>
    </row>
    <row r="75" spans="2:10">
      <c r="C75" s="146" t="s">
        <v>414</v>
      </c>
      <c r="D75" s="163">
        <f>D73/D71-1</f>
        <v>1.4780498951240362</v>
      </c>
    </row>
    <row r="76" spans="2:10" ht="15.75" thickBot="1"/>
    <row r="77" spans="2:10" ht="21">
      <c r="B77" t="s">
        <v>116</v>
      </c>
      <c r="C77" s="259" t="s">
        <v>415</v>
      </c>
      <c r="D77" s="259"/>
      <c r="E77" s="259"/>
      <c r="F77" s="259"/>
      <c r="G77" s="259"/>
      <c r="H77" s="259"/>
      <c r="I77" s="259"/>
      <c r="J77" s="259"/>
    </row>
    <row r="79" spans="2:10">
      <c r="E79" s="136" t="s">
        <v>389</v>
      </c>
      <c r="J79" s="136" t="s">
        <v>393</v>
      </c>
    </row>
    <row r="80" spans="2:10">
      <c r="E80" s="275" t="s">
        <v>390</v>
      </c>
      <c r="F80" s="276" t="s">
        <v>390</v>
      </c>
      <c r="G80" s="276" t="s">
        <v>390</v>
      </c>
      <c r="H80" s="276" t="s">
        <v>390</v>
      </c>
      <c r="I80" s="276" t="s">
        <v>390</v>
      </c>
      <c r="J80" s="277" t="s">
        <v>390</v>
      </c>
    </row>
    <row r="81" spans="3:10">
      <c r="D81" s="2" t="s">
        <v>391</v>
      </c>
      <c r="E81" s="134">
        <v>45658</v>
      </c>
      <c r="F81" s="130">
        <v>45747</v>
      </c>
      <c r="G81" s="130">
        <v>46112</v>
      </c>
      <c r="H81" s="130">
        <v>46477</v>
      </c>
      <c r="I81" s="130">
        <v>46842</v>
      </c>
      <c r="J81" s="131">
        <v>47207</v>
      </c>
    </row>
    <row r="82" spans="3:10">
      <c r="D82" s="2" t="s">
        <v>392</v>
      </c>
      <c r="E82" s="135">
        <v>45658</v>
      </c>
      <c r="F82" s="132">
        <v>45930</v>
      </c>
      <c r="G82" s="132">
        <v>46295</v>
      </c>
      <c r="H82" s="132">
        <v>46660</v>
      </c>
      <c r="I82" s="132">
        <v>47025</v>
      </c>
      <c r="J82" s="133">
        <v>47390</v>
      </c>
    </row>
    <row r="83" spans="3:10">
      <c r="D83" s="2"/>
      <c r="E83" s="130"/>
      <c r="F83" s="130"/>
      <c r="G83" s="130"/>
      <c r="H83" s="130"/>
      <c r="I83" s="130"/>
      <c r="J83" s="130"/>
    </row>
    <row r="85" spans="3:10">
      <c r="C85" s="152" t="s">
        <v>416</v>
      </c>
      <c r="D85" s="288">
        <f>'DCF schedule'!D18</f>
        <v>20.05</v>
      </c>
    </row>
    <row r="86" spans="3:10">
      <c r="C86" s="214" t="s">
        <v>379</v>
      </c>
      <c r="D86" s="147">
        <f>'DCF schedule'!E46</f>
        <v>0.13896665141054212</v>
      </c>
    </row>
    <row r="88" spans="3:10">
      <c r="C88" s="278" t="s">
        <v>380</v>
      </c>
      <c r="D88" s="279"/>
      <c r="E88" s="279" t="str">
        <f>E36</f>
        <v>-</v>
      </c>
      <c r="F88" s="280">
        <f t="shared" ref="F88:J88" si="13">F36</f>
        <v>2552.9250624951615</v>
      </c>
      <c r="G88" s="280">
        <f t="shared" si="13"/>
        <v>2863.5689783429762</v>
      </c>
      <c r="H88" s="280">
        <f t="shared" si="13"/>
        <v>4325.5330679493491</v>
      </c>
      <c r="I88" s="280">
        <f t="shared" si="13"/>
        <v>5190.8422890155525</v>
      </c>
      <c r="J88" s="281">
        <f t="shared" si="13"/>
        <v>5190.8422890155525</v>
      </c>
    </row>
    <row r="89" spans="3:10">
      <c r="C89" s="282" t="s">
        <v>381</v>
      </c>
      <c r="D89" s="283"/>
      <c r="E89" s="283"/>
      <c r="F89" s="284"/>
      <c r="G89" s="284"/>
      <c r="H89" s="284"/>
      <c r="I89" s="284"/>
      <c r="J89" s="285">
        <f t="shared" ref="J89" si="14">J7</f>
        <v>7846.1718908388084</v>
      </c>
    </row>
    <row r="90" spans="3:10">
      <c r="F90" s="89"/>
      <c r="G90" s="89"/>
      <c r="H90" s="89"/>
      <c r="I90" s="89"/>
      <c r="J90" s="89"/>
    </row>
    <row r="91" spans="3:10">
      <c r="F91" s="89"/>
      <c r="G91" s="89"/>
      <c r="H91" s="89"/>
      <c r="I91" s="89"/>
      <c r="J91" s="89"/>
    </row>
    <row r="92" spans="3:10">
      <c r="F92" s="89"/>
      <c r="G92" s="89"/>
      <c r="H92" s="89"/>
      <c r="I92" s="89"/>
      <c r="J92" s="89"/>
    </row>
    <row r="93" spans="3:10">
      <c r="C93" s="2" t="s">
        <v>395</v>
      </c>
      <c r="F93" s="89"/>
      <c r="G93" s="89"/>
      <c r="H93" s="89"/>
      <c r="I93" s="89"/>
      <c r="J93" s="89"/>
    </row>
    <row r="94" spans="3:10">
      <c r="C94" t="s">
        <v>396</v>
      </c>
      <c r="D94" s="289" t="s">
        <v>422</v>
      </c>
      <c r="F94" s="89">
        <f>F88</f>
        <v>2552.9250624951615</v>
      </c>
      <c r="G94" s="89">
        <f t="shared" ref="G94:J94" si="15">G88</f>
        <v>2863.5689783429762</v>
      </c>
      <c r="H94" s="89">
        <f t="shared" si="15"/>
        <v>4325.5330679493491</v>
      </c>
      <c r="I94" s="89">
        <f t="shared" si="15"/>
        <v>5190.8422890155525</v>
      </c>
      <c r="J94" s="89">
        <f t="shared" si="15"/>
        <v>5190.8422890155525</v>
      </c>
    </row>
    <row r="95" spans="3:10">
      <c r="C95" t="s">
        <v>397</v>
      </c>
      <c r="D95" s="290">
        <f>YEARFRAC(I82,J81)</f>
        <v>0.50277777777777777</v>
      </c>
      <c r="F95" s="89"/>
      <c r="G95" s="89"/>
      <c r="H95" s="89"/>
      <c r="I95" s="89"/>
      <c r="J95" s="89">
        <f>(J89*D85)/(1+D86)^D95</f>
        <v>147353.24899305293</v>
      </c>
    </row>
    <row r="96" spans="3:10">
      <c r="C96" s="2" t="s">
        <v>398</v>
      </c>
      <c r="F96" s="320">
        <f>SUM(F94:F95)</f>
        <v>2552.9250624951615</v>
      </c>
      <c r="G96" s="320">
        <f t="shared" ref="G96:J96" si="16">SUM(G94:G95)</f>
        <v>2863.5689783429762</v>
      </c>
      <c r="H96" s="320">
        <f t="shared" si="16"/>
        <v>4325.5330679493491</v>
      </c>
      <c r="I96" s="320">
        <f t="shared" si="16"/>
        <v>5190.8422890155525</v>
      </c>
      <c r="J96" s="320">
        <f t="shared" si="16"/>
        <v>152544.09128206849</v>
      </c>
    </row>
    <row r="98" spans="3:10">
      <c r="C98" s="2" t="s">
        <v>399</v>
      </c>
    </row>
    <row r="100" spans="3:10">
      <c r="C100" s="271" t="s">
        <v>400</v>
      </c>
      <c r="D100" s="272"/>
      <c r="E100" s="272"/>
      <c r="F100" s="273">
        <f>YEARFRAC(E81,F81)</f>
        <v>0.25</v>
      </c>
      <c r="G100" s="273">
        <f t="shared" ref="G100:J100" si="17">YEARFRAC(F81,G81)</f>
        <v>1</v>
      </c>
      <c r="H100" s="273">
        <f t="shared" si="17"/>
        <v>1</v>
      </c>
      <c r="I100" s="273">
        <f t="shared" si="17"/>
        <v>1</v>
      </c>
      <c r="J100" s="274">
        <f t="shared" si="17"/>
        <v>1</v>
      </c>
    </row>
    <row r="102" spans="3:10">
      <c r="C102" t="s">
        <v>396</v>
      </c>
      <c r="F102" s="89">
        <f>F100*F94</f>
        <v>638.23126562379036</v>
      </c>
      <c r="G102" s="89">
        <f t="shared" ref="G102:J102" si="18">G100*G94</f>
        <v>2863.5689783429762</v>
      </c>
      <c r="H102" s="89">
        <f t="shared" si="18"/>
        <v>4325.5330679493491</v>
      </c>
      <c r="I102" s="89">
        <f t="shared" si="18"/>
        <v>5190.8422890155525</v>
      </c>
      <c r="J102" s="89">
        <f t="shared" si="18"/>
        <v>5190.8422890155525</v>
      </c>
    </row>
    <row r="103" spans="3:10">
      <c r="C103" t="s">
        <v>397</v>
      </c>
      <c r="G103" s="89"/>
      <c r="H103" s="89"/>
      <c r="I103" s="89"/>
      <c r="J103" s="89">
        <f>J100*J95</f>
        <v>147353.24899305293</v>
      </c>
    </row>
    <row r="104" spans="3:10">
      <c r="C104" s="2" t="s">
        <v>398</v>
      </c>
      <c r="E104">
        <v>0</v>
      </c>
      <c r="F104" s="319">
        <f>SUM(F102:F103)</f>
        <v>638.23126562379036</v>
      </c>
      <c r="G104" s="319">
        <f t="shared" ref="G104:J104" si="19">SUM(G102:G103)</f>
        <v>2863.5689783429762</v>
      </c>
      <c r="H104" s="319">
        <f t="shared" si="19"/>
        <v>4325.5330679493491</v>
      </c>
      <c r="I104" s="319">
        <f t="shared" si="19"/>
        <v>5190.8422890155525</v>
      </c>
      <c r="J104" s="319">
        <f t="shared" si="19"/>
        <v>152544.09128206849</v>
      </c>
    </row>
    <row r="106" spans="3:10">
      <c r="C106" s="2" t="s">
        <v>401</v>
      </c>
    </row>
    <row r="108" spans="3:10">
      <c r="C108" t="s">
        <v>402</v>
      </c>
      <c r="F108" s="89">
        <f>E108+YEARFRAC(E82,F82)</f>
        <v>0.74722222222222223</v>
      </c>
      <c r="G108" s="89">
        <f t="shared" ref="G108:J108" si="20">F108+YEARFRAC(F82,G82)</f>
        <v>1.7472222222222222</v>
      </c>
      <c r="H108" s="89">
        <f t="shared" si="20"/>
        <v>2.7472222222222222</v>
      </c>
      <c r="I108" s="89">
        <f t="shared" si="20"/>
        <v>3.7444444444444445</v>
      </c>
      <c r="J108" s="89">
        <f t="shared" si="20"/>
        <v>4.7444444444444445</v>
      </c>
    </row>
    <row r="110" spans="3:10">
      <c r="C110" t="s">
        <v>396</v>
      </c>
      <c r="F110" s="89">
        <f>F102/(1+$D$86)^F108</f>
        <v>579.09763911790071</v>
      </c>
      <c r="G110" s="89">
        <f t="shared" ref="G110:J110" si="21">G102/(1+$D$86)^G108</f>
        <v>2281.2367511662019</v>
      </c>
      <c r="H110" s="89">
        <f t="shared" si="21"/>
        <v>3025.4594659805671</v>
      </c>
      <c r="I110" s="89">
        <f t="shared" si="21"/>
        <v>3188.8603692319307</v>
      </c>
      <c r="J110" s="89">
        <f t="shared" si="21"/>
        <v>2799.7837911081219</v>
      </c>
    </row>
    <row r="111" spans="3:10">
      <c r="C111" t="s">
        <v>397</v>
      </c>
      <c r="G111" s="89"/>
      <c r="H111" s="89"/>
      <c r="I111" s="89"/>
      <c r="J111" s="89">
        <f>J103/(1+$D$86)^J108</f>
        <v>79477.898793205415</v>
      </c>
    </row>
    <row r="112" spans="3:10">
      <c r="C112" s="2" t="s">
        <v>398</v>
      </c>
      <c r="E112">
        <v>0</v>
      </c>
      <c r="F112" s="321">
        <f>SUM(F110:F111)</f>
        <v>579.09763911790071</v>
      </c>
      <c r="G112" s="321">
        <f t="shared" ref="G112:J112" si="22">SUM(G110:G111)</f>
        <v>2281.2367511662019</v>
      </c>
      <c r="H112" s="321">
        <f t="shared" si="22"/>
        <v>3025.4594659805671</v>
      </c>
      <c r="I112" s="321">
        <f t="shared" si="22"/>
        <v>3188.8603692319307</v>
      </c>
      <c r="J112" s="321">
        <f t="shared" si="22"/>
        <v>82277.68258431353</v>
      </c>
    </row>
    <row r="115" spans="3:9" ht="15.75" thickBot="1">
      <c r="C115" t="s">
        <v>403</v>
      </c>
      <c r="H115" s="152" t="s">
        <v>403</v>
      </c>
      <c r="I115" s="153"/>
    </row>
    <row r="116" spans="3:9">
      <c r="C116" s="69" t="s">
        <v>404</v>
      </c>
      <c r="D116" s="148">
        <f>SUM(F112:J112)</f>
        <v>91352.336809810135</v>
      </c>
      <c r="H116" s="154" t="s">
        <v>408</v>
      </c>
      <c r="I116" s="155">
        <f>SUM(F110:J110)</f>
        <v>11874.438016604723</v>
      </c>
    </row>
    <row r="117" spans="3:9">
      <c r="C117" s="52" t="s">
        <v>405</v>
      </c>
      <c r="D117" s="149">
        <f>XNPV(D86,E104:J104,E82:J82)</f>
        <v>91345.418499201856</v>
      </c>
      <c r="H117" s="154" t="s">
        <v>409</v>
      </c>
      <c r="I117" s="155">
        <f>J111</f>
        <v>79477.898793205415</v>
      </c>
    </row>
    <row r="118" spans="3:9">
      <c r="C118" s="52"/>
      <c r="D118" s="149" t="s">
        <v>220</v>
      </c>
      <c r="H118" s="156" t="s">
        <v>403</v>
      </c>
      <c r="I118" s="157">
        <f>SUM(I116:I117)</f>
        <v>91352.336809810135</v>
      </c>
    </row>
    <row r="119" spans="3:9">
      <c r="C119" s="52" t="s">
        <v>406</v>
      </c>
      <c r="D119" s="32"/>
    </row>
    <row r="120" spans="3:9">
      <c r="C120" s="52" t="s">
        <v>403</v>
      </c>
      <c r="D120" s="149">
        <f>D117</f>
        <v>91345.418499201856</v>
      </c>
      <c r="H120" s="144" t="s">
        <v>410</v>
      </c>
      <c r="I120" s="153"/>
    </row>
    <row r="121" spans="3:9">
      <c r="C121" s="52" t="s">
        <v>407</v>
      </c>
      <c r="D121" s="32">
        <f>D67</f>
        <v>-257.55</v>
      </c>
      <c r="H121" s="154" t="s">
        <v>411</v>
      </c>
      <c r="I121" s="155">
        <f>D122</f>
        <v>91087.868499201853</v>
      </c>
    </row>
    <row r="122" spans="3:9" ht="15.75" thickBot="1">
      <c r="C122" s="150" t="s">
        <v>406</v>
      </c>
      <c r="D122" s="151">
        <f>SUM(D120:D121)</f>
        <v>91087.868499201853</v>
      </c>
      <c r="H122" s="154" t="s">
        <v>412</v>
      </c>
      <c r="I122" s="158">
        <f>'Income Statement'!I37</f>
        <v>27.38</v>
      </c>
    </row>
    <row r="123" spans="3:9">
      <c r="H123" s="156" t="s">
        <v>411</v>
      </c>
      <c r="I123" s="159">
        <f>I121/I122</f>
        <v>3326.8030861651519</v>
      </c>
    </row>
    <row r="125" spans="3:9">
      <c r="C125" s="144" t="s">
        <v>411</v>
      </c>
      <c r="D125" s="160">
        <f>I123</f>
        <v>3326.8030861651519</v>
      </c>
    </row>
    <row r="126" spans="3:9">
      <c r="C126" s="154"/>
      <c r="D126" s="161"/>
    </row>
    <row r="127" spans="3:9">
      <c r="C127" s="162" t="s">
        <v>413</v>
      </c>
      <c r="D127" s="160">
        <v>4808.05</v>
      </c>
    </row>
    <row r="128" spans="3:9">
      <c r="C128" s="154"/>
      <c r="D128" s="161"/>
    </row>
    <row r="129" spans="3:4">
      <c r="C129" s="146" t="s">
        <v>414</v>
      </c>
      <c r="D129" s="163">
        <f>D127/D125-1</f>
        <v>0.44524634475504854</v>
      </c>
    </row>
  </sheetData>
  <dataValidations disablePrompts="1" count="1">
    <dataValidation type="list" allowBlank="1" showInputMessage="1" showErrorMessage="1" sqref="M33" xr:uid="{001406CE-FB73-4365-ABAC-2919DFABC59C}">
      <formula1>$K$33:$K$34</formula1>
    </dataValidation>
  </dataValidations>
  <pageMargins left="0.7" right="0.7" top="0.75" bottom="0.75" header="0.3" footer="0.3"/>
  <pageSetup scale="3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56A2-E516-4082-B3EA-217CB5CDCF7B}">
  <sheetPr>
    <tabColor theme="2" tint="-9.9978637043366805E-2"/>
    <pageSetUpPr fitToPage="1"/>
  </sheetPr>
  <dimension ref="B3:AA80"/>
  <sheetViews>
    <sheetView showGridLines="0" topLeftCell="A133" workbookViewId="0">
      <selection activeCell="H144" sqref="H144"/>
    </sheetView>
  </sheetViews>
  <sheetFormatPr defaultRowHeight="15"/>
  <cols>
    <col min="1" max="1" width="4.140625" customWidth="1"/>
    <col min="2" max="2" width="5.140625" customWidth="1"/>
    <col min="3" max="3" width="26.42578125" bestFit="1" customWidth="1"/>
    <col min="4" max="5" width="10.7109375" bestFit="1" customWidth="1"/>
    <col min="6" max="8" width="11.5703125" bestFit="1" customWidth="1"/>
    <col min="9" max="9" width="13.85546875" bestFit="1" customWidth="1"/>
    <col min="10" max="12" width="13.7109375" bestFit="1" customWidth="1"/>
    <col min="18" max="19" width="9.7109375" bestFit="1" customWidth="1"/>
    <col min="20" max="22" width="10.7109375" bestFit="1" customWidth="1"/>
    <col min="23" max="23" width="11.42578125" bestFit="1" customWidth="1"/>
    <col min="24" max="27" width="11.5703125" bestFit="1" customWidth="1"/>
  </cols>
  <sheetData>
    <row r="3" spans="2:26" ht="15.75" thickBot="1">
      <c r="C3" t="s">
        <v>219</v>
      </c>
    </row>
    <row r="4" spans="2:26" ht="15.75" thickBot="1">
      <c r="D4">
        <v>2</v>
      </c>
      <c r="R4" s="35" t="s">
        <v>94</v>
      </c>
      <c r="S4" s="36" t="s">
        <v>95</v>
      </c>
      <c r="T4" s="36" t="s">
        <v>96</v>
      </c>
      <c r="U4" s="36" t="s">
        <v>97</v>
      </c>
      <c r="V4" s="36" t="s">
        <v>98</v>
      </c>
      <c r="W4">
        <v>2025</v>
      </c>
      <c r="X4">
        <f>W4+1</f>
        <v>2026</v>
      </c>
      <c r="Y4">
        <f t="shared" ref="Y4:Z4" si="0">X4+1</f>
        <v>2027</v>
      </c>
      <c r="Z4">
        <f t="shared" si="0"/>
        <v>2028</v>
      </c>
    </row>
    <row r="5" spans="2:26" ht="19.5" thickBot="1">
      <c r="C5" s="301" t="s">
        <v>180</v>
      </c>
      <c r="D5" s="301"/>
      <c r="E5" s="203"/>
      <c r="F5" s="203" t="s">
        <v>103</v>
      </c>
      <c r="G5" s="203" t="s">
        <v>99</v>
      </c>
      <c r="H5" s="203" t="s">
        <v>100</v>
      </c>
      <c r="I5" s="203" t="s">
        <v>101</v>
      </c>
      <c r="R5">
        <v>1</v>
      </c>
      <c r="S5">
        <v>2</v>
      </c>
      <c r="T5">
        <v>3</v>
      </c>
      <c r="U5">
        <v>4</v>
      </c>
    </row>
    <row r="6" spans="2:26">
      <c r="O6" t="s">
        <v>220</v>
      </c>
      <c r="R6" s="2">
        <v>697582</v>
      </c>
      <c r="S6" s="2">
        <v>609403</v>
      </c>
      <c r="T6" s="2">
        <v>595474</v>
      </c>
      <c r="U6" s="2">
        <v>824066</v>
      </c>
      <c r="V6" s="2">
        <v>912003</v>
      </c>
      <c r="W6">
        <f>V6*(1+F10)</f>
        <v>962224.62521063373</v>
      </c>
      <c r="X6">
        <f>W6*(1+G10)</f>
        <v>1054267.5590484289</v>
      </c>
      <c r="Y6">
        <f>X6*(1+H10)</f>
        <v>1181866.5765091607</v>
      </c>
      <c r="Z6">
        <f>Y6*(1+I10)</f>
        <v>1270251.5742996372</v>
      </c>
    </row>
    <row r="7" spans="2:26" ht="15.75" thickBot="1">
      <c r="C7" s="63" t="s">
        <v>22</v>
      </c>
      <c r="D7" s="43"/>
      <c r="E7" s="43"/>
      <c r="F7" s="85">
        <f>CHOOSE($D$4,F9,F10,F11)</f>
        <v>5.5067390360156399E-2</v>
      </c>
      <c r="G7" s="85">
        <f>CHOOSE($D$4,G9,G10,G11)</f>
        <v>9.5656389814017473E-2</v>
      </c>
      <c r="H7" s="85">
        <f>CHOOSE($D$4,H9,H10,H11)</f>
        <v>0.12103096255366275</v>
      </c>
      <c r="I7" s="85">
        <f>CHOOSE($D$4,I9,I10,I11)</f>
        <v>7.4784243456259114E-2</v>
      </c>
      <c r="R7" t="s">
        <v>220</v>
      </c>
      <c r="S7" s="73">
        <f>S6/R6-1</f>
        <v>-0.12640664466686358</v>
      </c>
      <c r="T7" s="73">
        <f t="shared" ref="T7:V7" si="1">T6/S6-1</f>
        <v>-2.2856795913377526E-2</v>
      </c>
      <c r="U7" s="73">
        <f t="shared" si="1"/>
        <v>0.38388241971941683</v>
      </c>
      <c r="V7" s="73">
        <f t="shared" si="1"/>
        <v>0.10671111294483704</v>
      </c>
      <c r="W7" s="75">
        <f>AVERAGE(T7:V7)</f>
        <v>0.15591224558362546</v>
      </c>
      <c r="X7" s="75">
        <f t="shared" ref="X7:Z7" si="2">AVERAGE(U7:W7)</f>
        <v>0.21550192608262644</v>
      </c>
      <c r="Y7" s="75">
        <f t="shared" si="2"/>
        <v>0.15937509487036297</v>
      </c>
      <c r="Z7" s="75">
        <f t="shared" si="2"/>
        <v>0.17692975551220494</v>
      </c>
    </row>
    <row r="8" spans="2:26">
      <c r="S8" s="73"/>
      <c r="T8" s="73"/>
      <c r="U8" s="73"/>
      <c r="V8" s="73"/>
      <c r="W8" s="75"/>
      <c r="X8" s="75"/>
      <c r="Y8" s="75"/>
      <c r="Z8" s="75"/>
    </row>
    <row r="9" spans="2:26">
      <c r="B9">
        <v>1</v>
      </c>
      <c r="C9" t="s">
        <v>252</v>
      </c>
      <c r="F9" s="76">
        <v>8.5332523021003193E-2</v>
      </c>
      <c r="G9" s="76">
        <v>0.1382673149429699</v>
      </c>
      <c r="H9" s="76">
        <v>0.17854834265705671</v>
      </c>
      <c r="I9" s="76">
        <v>0.12721482339146672</v>
      </c>
      <c r="R9" s="73"/>
      <c r="S9" s="73"/>
      <c r="T9" s="73"/>
      <c r="U9" s="73"/>
    </row>
    <row r="10" spans="2:26">
      <c r="B10">
        <v>2</v>
      </c>
      <c r="C10" t="s">
        <v>221</v>
      </c>
      <c r="F10" s="5">
        <f>(V6/R6)^(1/5)-1</f>
        <v>5.5067390360156399E-2</v>
      </c>
      <c r="G10" s="5">
        <f>(W6/S6)^(1/5)-1</f>
        <v>9.5656389814017473E-2</v>
      </c>
      <c r="H10" s="5">
        <f>(X6/T6)^(1/5)-1</f>
        <v>0.12103096255366275</v>
      </c>
      <c r="I10" s="5">
        <f>(Y6/U6)^(1/5)-1</f>
        <v>7.4784243456259114E-2</v>
      </c>
      <c r="R10" s="31">
        <v>-4.732902318000165E-2</v>
      </c>
      <c r="S10" s="31">
        <v>0.18089640897441028</v>
      </c>
      <c r="T10" s="31">
        <v>0.40244886544058311</v>
      </c>
      <c r="U10" s="31">
        <v>0.14496426439775711</v>
      </c>
      <c r="V10" s="5">
        <f>AVERAGE(R10:U10)</f>
        <v>0.17024512890818722</v>
      </c>
      <c r="W10" s="5">
        <f t="shared" ref="W10:Z10" si="3">AVERAGE(S10:V10)</f>
        <v>0.22463866693023443</v>
      </c>
      <c r="X10" s="5">
        <f t="shared" si="3"/>
        <v>0.23557423141919048</v>
      </c>
      <c r="Y10" s="5">
        <f t="shared" si="3"/>
        <v>0.19385557291384231</v>
      </c>
      <c r="Z10" s="5">
        <f t="shared" si="3"/>
        <v>0.2060784000428636</v>
      </c>
    </row>
    <row r="11" spans="2:26">
      <c r="B11">
        <v>3</v>
      </c>
      <c r="C11" t="s">
        <v>223</v>
      </c>
      <c r="F11" s="74">
        <v>0.06</v>
      </c>
      <c r="G11" s="74">
        <v>7.0000000000000007E-2</v>
      </c>
      <c r="H11" s="74">
        <v>0.08</v>
      </c>
      <c r="I11" s="74">
        <v>0.09</v>
      </c>
    </row>
    <row r="13" spans="2:26">
      <c r="C13" t="s">
        <v>384</v>
      </c>
      <c r="F13" s="89">
        <v>197042.57767406761</v>
      </c>
      <c r="G13" s="89">
        <v>213951.55191715711</v>
      </c>
      <c r="H13" s="89">
        <v>225748.29278973481</v>
      </c>
      <c r="I13" s="89">
        <v>240550.10033724233</v>
      </c>
      <c r="Q13" t="s">
        <v>385</v>
      </c>
      <c r="R13">
        <v>131218.69543652216</v>
      </c>
      <c r="S13">
        <v>143096.60438166533</v>
      </c>
      <c r="T13">
        <v>172935.00639826423</v>
      </c>
      <c r="U13">
        <v>175255.13733123319</v>
      </c>
      <c r="V13">
        <v>181312.7807693615</v>
      </c>
      <c r="W13">
        <f>V13*(1+W14)</f>
        <v>197042.57767406761</v>
      </c>
      <c r="X13">
        <f t="shared" ref="X13:Z13" si="4">W13*(1+X14)</f>
        <v>213951.55191715711</v>
      </c>
      <c r="Y13">
        <f t="shared" si="4"/>
        <v>225748.29278973481</v>
      </c>
      <c r="Z13">
        <f t="shared" si="4"/>
        <v>240550.10033724233</v>
      </c>
    </row>
    <row r="14" spans="2:26">
      <c r="S14" s="75">
        <f>S13/R13-1</f>
        <v>9.051994386645279E-2</v>
      </c>
      <c r="T14" s="75">
        <f t="shared" ref="T14:V14" si="5">T13/S13-1</f>
        <v>0.20851928769053329</v>
      </c>
      <c r="U14" s="75">
        <f t="shared" si="5"/>
        <v>1.3416201735499067E-2</v>
      </c>
      <c r="V14" s="75">
        <f t="shared" si="5"/>
        <v>3.4564712512132223E-2</v>
      </c>
      <c r="W14" s="75">
        <f>AVERAGE(S14:V14)</f>
        <v>8.6755036451154344E-2</v>
      </c>
      <c r="X14" s="75">
        <f t="shared" ref="X14:Z14" si="6">AVERAGE(T14:W14)</f>
        <v>8.5813809597329732E-2</v>
      </c>
      <c r="Y14" s="75">
        <f t="shared" si="6"/>
        <v>5.5137440074028841E-2</v>
      </c>
      <c r="Z14" s="75">
        <f t="shared" si="6"/>
        <v>6.5567749658661287E-2</v>
      </c>
    </row>
    <row r="16" spans="2:26" ht="15.75" thickBot="1">
      <c r="C16" s="43" t="s">
        <v>231</v>
      </c>
      <c r="D16" s="43"/>
      <c r="E16" s="43"/>
      <c r="F16" s="43"/>
      <c r="G16" s="43"/>
      <c r="H16" s="43"/>
      <c r="I16" s="43"/>
    </row>
    <row r="17" spans="3:26">
      <c r="R17" t="s">
        <v>222</v>
      </c>
    </row>
    <row r="18" spans="3:26">
      <c r="C18" t="s">
        <v>105</v>
      </c>
      <c r="F18" s="86">
        <v>0.68000897882600675</v>
      </c>
      <c r="G18" s="87">
        <v>0.68242610061665399</v>
      </c>
      <c r="H18" s="87">
        <v>0.67531593752715513</v>
      </c>
      <c r="I18" s="88">
        <v>0.67116727166153611</v>
      </c>
    </row>
    <row r="19" spans="3:26">
      <c r="R19">
        <v>6113.8899999999994</v>
      </c>
      <c r="S19">
        <v>6261.01</v>
      </c>
      <c r="T19">
        <v>7167.9</v>
      </c>
      <c r="U19">
        <v>9689.9</v>
      </c>
      <c r="V19">
        <v>10700.980000000001</v>
      </c>
      <c r="W19">
        <v>12618.94</v>
      </c>
      <c r="X19">
        <f>W19*(1+X20)</f>
        <v>15291.72532214457</v>
      </c>
      <c r="Y19">
        <f t="shared" ref="Y19:Z19" si="7">X19*(1+Y20)</f>
        <v>17816.813855697532</v>
      </c>
      <c r="Z19">
        <f t="shared" si="7"/>
        <v>21119.857476981877</v>
      </c>
    </row>
    <row r="20" spans="3:26">
      <c r="C20" t="s">
        <v>110</v>
      </c>
      <c r="F20" s="89">
        <v>1973.4754110712895</v>
      </c>
      <c r="G20" s="89">
        <v>1765.7062699843386</v>
      </c>
      <c r="H20" s="89">
        <v>1994.2447548665655</v>
      </c>
      <c r="I20" s="89">
        <v>2201.6127967239358</v>
      </c>
      <c r="S20" s="75">
        <f>S19/R19-1</f>
        <v>2.4063239606862519E-2</v>
      </c>
      <c r="T20" s="75">
        <f t="shared" ref="T20:W20" si="8">T19/S19-1</f>
        <v>0.14484723710711211</v>
      </c>
      <c r="U20" s="75">
        <f t="shared" si="8"/>
        <v>0.35184642642894026</v>
      </c>
      <c r="V20" s="75">
        <f t="shared" si="8"/>
        <v>0.10434369807737975</v>
      </c>
      <c r="W20" s="75">
        <f t="shared" si="8"/>
        <v>0.17923218247300698</v>
      </c>
      <c r="X20" s="75">
        <f>AVERAGE(U20:W20)</f>
        <v>0.21180743565977567</v>
      </c>
      <c r="Y20" s="75">
        <f t="shared" ref="Y20:Z20" si="9">AVERAGE(V20:X20)</f>
        <v>0.16512777207005414</v>
      </c>
      <c r="Z20" s="75">
        <f t="shared" si="9"/>
        <v>0.18538913006761226</v>
      </c>
    </row>
    <row r="23" spans="3:26" ht="15.75" thickBot="1">
      <c r="C23" s="63" t="s">
        <v>245</v>
      </c>
      <c r="D23" s="43"/>
      <c r="E23" s="43"/>
      <c r="F23" s="100">
        <f>CHOOSE($D$4,F25,F26,F27)</f>
        <v>6789.3230104904023</v>
      </c>
      <c r="G23" s="100">
        <f>CHOOSE($D$4,G25,G26,G27)</f>
        <v>8256.6909497304987</v>
      </c>
      <c r="H23" s="100">
        <f>CHOOSE($D$4,H25,H26,H27)</f>
        <v>9152.8832177456734</v>
      </c>
      <c r="I23" s="100">
        <f>CHOOSE($D$4,I25,I26,I27)</f>
        <v>10121.75778108029</v>
      </c>
    </row>
    <row r="24" spans="3:26">
      <c r="R24">
        <v>856.8</v>
      </c>
      <c r="S24">
        <v>676.11</v>
      </c>
      <c r="T24">
        <v>952.36</v>
      </c>
      <c r="U24">
        <v>1306.56</v>
      </c>
      <c r="V24">
        <v>1505.43</v>
      </c>
      <c r="W24">
        <f>V24*(1+W25)</f>
        <v>1973.4754110712895</v>
      </c>
      <c r="X24">
        <f t="shared" ref="X24:Z24" si="10">W24*(1+X25)</f>
        <v>2522.7803421259118</v>
      </c>
      <c r="Y24">
        <f t="shared" si="10"/>
        <v>3146.2918924949445</v>
      </c>
      <c r="Z24">
        <f t="shared" si="10"/>
        <v>4023.4794103580548</v>
      </c>
    </row>
    <row r="25" spans="3:26">
      <c r="C25" t="s">
        <v>246</v>
      </c>
      <c r="F25" s="90">
        <v>0.11908099145127382</v>
      </c>
      <c r="G25" s="90">
        <v>0.14454750431153962</v>
      </c>
      <c r="H25" s="90">
        <v>0.17587345734375681</v>
      </c>
      <c r="I25" s="90">
        <v>0.21459840010958042</v>
      </c>
      <c r="S25" s="75">
        <f>S24/R24-1</f>
        <v>-0.21088935574229684</v>
      </c>
      <c r="T25" s="75">
        <f t="shared" ref="T25:V25" si="11">T24/S24-1</f>
        <v>0.40858736004496299</v>
      </c>
      <c r="U25" s="75">
        <f t="shared" si="11"/>
        <v>0.37191818220000838</v>
      </c>
      <c r="V25" s="75">
        <f t="shared" si="11"/>
        <v>0.15220885378398252</v>
      </c>
      <c r="W25" s="75">
        <f>AVERAGE(T25:V25)</f>
        <v>0.31090479867631798</v>
      </c>
      <c r="X25" s="75">
        <f t="shared" ref="X25:Z25" si="12">AVERAGE(U25:W25)</f>
        <v>0.27834394488676967</v>
      </c>
      <c r="Y25" s="75">
        <f t="shared" si="12"/>
        <v>0.24715253244902338</v>
      </c>
      <c r="Z25" s="75">
        <f t="shared" si="12"/>
        <v>0.27880042533737032</v>
      </c>
    </row>
    <row r="26" spans="3:26">
      <c r="C26" t="s">
        <v>249</v>
      </c>
      <c r="F26" s="89">
        <f>W38</f>
        <v>6789.3230104904023</v>
      </c>
      <c r="G26" s="89">
        <f t="shared" ref="G26:I26" si="13">X38</f>
        <v>8256.6909497304987</v>
      </c>
      <c r="H26" s="89">
        <f t="shared" si="13"/>
        <v>9152.8832177456734</v>
      </c>
      <c r="I26" s="89">
        <f t="shared" si="13"/>
        <v>10121.75778108029</v>
      </c>
    </row>
    <row r="27" spans="3:26">
      <c r="C27" t="s">
        <v>251</v>
      </c>
      <c r="F27" s="75">
        <v>0.12470472680739159</v>
      </c>
      <c r="G27" s="75">
        <v>0.12352386527353516</v>
      </c>
      <c r="H27" s="75">
        <v>0.13242409560772531</v>
      </c>
      <c r="I27" s="75">
        <v>0.12370265072418557</v>
      </c>
    </row>
    <row r="28" spans="3:26">
      <c r="F28" s="75"/>
      <c r="G28" s="75"/>
      <c r="H28" s="75"/>
      <c r="I28" s="75"/>
      <c r="R28" t="s">
        <v>247</v>
      </c>
    </row>
    <row r="29" spans="3:26" ht="15.75" thickBot="1">
      <c r="C29" s="63" t="s">
        <v>255</v>
      </c>
      <c r="D29" s="43"/>
      <c r="E29" s="43"/>
      <c r="F29" s="102">
        <v>661.48</v>
      </c>
      <c r="G29" s="102">
        <v>782.80823566388983</v>
      </c>
      <c r="H29" s="102">
        <v>883.47294859004762</v>
      </c>
      <c r="I29" s="102">
        <v>909.09793628988575</v>
      </c>
      <c r="R29">
        <v>20</v>
      </c>
      <c r="S29">
        <v>21</v>
      </c>
      <c r="T29">
        <v>22</v>
      </c>
      <c r="U29">
        <v>23</v>
      </c>
      <c r="V29">
        <v>24</v>
      </c>
      <c r="W29">
        <v>25</v>
      </c>
      <c r="X29">
        <v>26</v>
      </c>
      <c r="Y29">
        <v>27</v>
      </c>
      <c r="Z29">
        <v>28</v>
      </c>
    </row>
    <row r="30" spans="3:26">
      <c r="R30">
        <v>3585</v>
      </c>
      <c r="S30">
        <v>4049</v>
      </c>
      <c r="T30">
        <v>4405</v>
      </c>
      <c r="U30">
        <v>5142</v>
      </c>
      <c r="V30">
        <v>5729</v>
      </c>
      <c r="W30">
        <f>V30*(1+R32)</f>
        <v>6292.11649434627</v>
      </c>
      <c r="X30">
        <f t="shared" ref="X30:Z30" si="14">W30*(1+S32)</f>
        <v>7041.3879648199372</v>
      </c>
      <c r="Y30">
        <f t="shared" si="14"/>
        <v>8059.2030220239703</v>
      </c>
      <c r="Z30">
        <f t="shared" si="14"/>
        <v>9476.6029209425797</v>
      </c>
    </row>
    <row r="31" spans="3:26">
      <c r="C31" t="s">
        <v>263</v>
      </c>
      <c r="F31" s="5">
        <v>3.1115791937276929E-3</v>
      </c>
      <c r="G31" s="5">
        <v>2.3168919758783423E-3</v>
      </c>
      <c r="H31" s="5">
        <v>2.359277141983853E-3</v>
      </c>
      <c r="I31" s="5">
        <v>2.4380913032101587E-3</v>
      </c>
      <c r="K31">
        <v>100</v>
      </c>
    </row>
    <row r="32" spans="3:26">
      <c r="R32" s="75">
        <f>(V30/R30)^(1/5)-1</f>
        <v>9.8292283879607201E-2</v>
      </c>
      <c r="S32" s="75">
        <f>(W30/R30)^(1/5)-1</f>
        <v>0.11908099145127382</v>
      </c>
      <c r="T32" s="75">
        <f>(X30/R30)^(1/5)-1</f>
        <v>0.14454750431153962</v>
      </c>
      <c r="U32" s="75">
        <f>(Y30/R30)^(1/5)-1</f>
        <v>0.17587345734375681</v>
      </c>
      <c r="V32" s="75">
        <f>(Z30/R30)^(1/5)-1</f>
        <v>0.21459840010958042</v>
      </c>
      <c r="W32" t="s">
        <v>248</v>
      </c>
    </row>
    <row r="33" spans="3:26">
      <c r="C33" t="s">
        <v>265</v>
      </c>
      <c r="F33" s="101">
        <v>53.18</v>
      </c>
      <c r="G33" s="101">
        <v>43.785126481429977</v>
      </c>
      <c r="H33" s="101">
        <v>50.372293976171761</v>
      </c>
      <c r="I33" s="101">
        <v>55.885178052558921</v>
      </c>
    </row>
    <row r="34" spans="3:26">
      <c r="R34" t="s">
        <v>250</v>
      </c>
    </row>
    <row r="35" spans="3:26">
      <c r="C35" t="s">
        <v>266</v>
      </c>
      <c r="F35" s="97">
        <v>0.25</v>
      </c>
      <c r="G35" s="98">
        <v>0.25</v>
      </c>
      <c r="H35" s="98">
        <v>0.25</v>
      </c>
      <c r="I35" s="99">
        <v>0.25</v>
      </c>
      <c r="R35" s="25">
        <v>9153.58</v>
      </c>
      <c r="S35" s="25">
        <v>8720.35</v>
      </c>
      <c r="T35" s="25">
        <v>10297.83</v>
      </c>
      <c r="U35" s="25">
        <v>14442.18</v>
      </c>
      <c r="V35" s="25">
        <v>16535.78</v>
      </c>
      <c r="W35" s="25">
        <v>17091</v>
      </c>
      <c r="X35" s="25">
        <v>20726.467362625241</v>
      </c>
      <c r="Y35" s="25">
        <v>23762.965806186668</v>
      </c>
      <c r="Z35" s="25">
        <v>26872.60369066957</v>
      </c>
    </row>
    <row r="36" spans="3:26">
      <c r="F36" s="75"/>
      <c r="G36" s="75"/>
      <c r="H36" s="75"/>
      <c r="I36" s="75"/>
      <c r="R36" s="25"/>
      <c r="S36" s="25"/>
      <c r="T36" s="25"/>
      <c r="U36" s="25"/>
      <c r="V36" s="25"/>
      <c r="W36" s="25"/>
      <c r="X36" s="25"/>
      <c r="Y36" s="25"/>
      <c r="Z36" s="25"/>
    </row>
    <row r="37" spans="3:26" ht="15.75" thickBot="1">
      <c r="C37" s="43" t="s">
        <v>271</v>
      </c>
      <c r="D37" s="43"/>
      <c r="E37" s="43"/>
      <c r="F37" s="100"/>
      <c r="G37" s="100"/>
      <c r="H37" s="100"/>
      <c r="I37" s="100"/>
      <c r="R37" s="25"/>
      <c r="S37" s="25"/>
      <c r="T37" s="25"/>
      <c r="U37" s="25"/>
      <c r="V37" s="25"/>
      <c r="W37" s="25"/>
      <c r="X37" s="25"/>
      <c r="Y37" s="25"/>
      <c r="Z37" s="25"/>
    </row>
    <row r="38" spans="3:26">
      <c r="C38" s="108" t="s">
        <v>272</v>
      </c>
      <c r="R38">
        <v>3585</v>
      </c>
      <c r="S38">
        <v>4049</v>
      </c>
      <c r="T38">
        <v>4405</v>
      </c>
      <c r="U38">
        <v>5142</v>
      </c>
      <c r="V38">
        <v>5729</v>
      </c>
      <c r="W38" s="25">
        <f>W35*W54</f>
        <v>6789.3230104904023</v>
      </c>
      <c r="X38" s="25">
        <f>X35*X54</f>
        <v>8256.6909497304987</v>
      </c>
      <c r="Y38" s="25">
        <f>Y35*Y54</f>
        <v>9152.8832177456734</v>
      </c>
      <c r="Z38" s="25">
        <f>Z35*Z54</f>
        <v>10121.75778108029</v>
      </c>
    </row>
    <row r="39" spans="3:26">
      <c r="C39" t="s">
        <v>267</v>
      </c>
      <c r="F39" s="71">
        <v>7.6719008995850002</v>
      </c>
      <c r="G39" s="71">
        <v>8.5143681885893727</v>
      </c>
      <c r="H39" s="71">
        <v>8.8932490966576356</v>
      </c>
      <c r="I39" s="71">
        <v>8.5307759803803993</v>
      </c>
    </row>
    <row r="40" spans="3:26">
      <c r="C40" t="s">
        <v>45</v>
      </c>
      <c r="F40" s="71">
        <v>47.811499334795123</v>
      </c>
      <c r="G40" s="71">
        <v>50.539925841258615</v>
      </c>
      <c r="H40" s="71">
        <v>50.450546686501752</v>
      </c>
      <c r="I40" s="71">
        <v>49.007961650275682</v>
      </c>
      <c r="R40">
        <v>9153.58</v>
      </c>
      <c r="S40">
        <v>8720.35</v>
      </c>
      <c r="T40">
        <v>10297.83</v>
      </c>
      <c r="U40">
        <v>14442.18</v>
      </c>
      <c r="V40">
        <v>16535.78</v>
      </c>
    </row>
    <row r="41" spans="3:26">
      <c r="C41" t="s">
        <v>162</v>
      </c>
      <c r="F41" s="71">
        <v>75.779247059181344</v>
      </c>
      <c r="G41" s="71">
        <v>78.899551179885435</v>
      </c>
      <c r="H41" s="71">
        <v>77.038697385777937</v>
      </c>
      <c r="I41" s="71">
        <v>74.236919431049699</v>
      </c>
      <c r="Q41" t="s">
        <v>386</v>
      </c>
    </row>
    <row r="42" spans="3:26">
      <c r="R42" s="25">
        <v>6113.8899999999994</v>
      </c>
      <c r="S42" s="25">
        <v>6261.01</v>
      </c>
      <c r="T42" s="25">
        <v>7167.9</v>
      </c>
      <c r="U42" s="25">
        <v>9689.9</v>
      </c>
      <c r="V42" s="25">
        <v>10700.980000000001</v>
      </c>
      <c r="W42" s="25">
        <f>W35</f>
        <v>17091</v>
      </c>
      <c r="X42" s="25">
        <f t="shared" ref="X42:Z42" si="15">X35</f>
        <v>20726.467362625241</v>
      </c>
      <c r="Y42" s="25">
        <f t="shared" si="15"/>
        <v>23762.965806186668</v>
      </c>
      <c r="Z42" s="25">
        <f t="shared" si="15"/>
        <v>26872.60369066957</v>
      </c>
    </row>
    <row r="43" spans="3:26" ht="15.75" thickBot="1">
      <c r="C43" s="43" t="s">
        <v>424</v>
      </c>
      <c r="D43" s="43"/>
      <c r="E43" s="43"/>
      <c r="F43" s="102">
        <v>2044.9474813550758</v>
      </c>
      <c r="G43" s="102">
        <v>3005.6488612510361</v>
      </c>
      <c r="H43" s="102">
        <v>4749.9537424025139</v>
      </c>
      <c r="I43" s="102">
        <v>7207.4500132984222</v>
      </c>
    </row>
    <row r="44" spans="3:26">
      <c r="R44">
        <f>R42/R35</f>
        <v>0.66792336987277101</v>
      </c>
      <c r="S44">
        <f t="shared" ref="S44:V44" si="16">S42/S35</f>
        <v>0.71797691606414882</v>
      </c>
      <c r="T44">
        <f t="shared" si="16"/>
        <v>0.6960592668552501</v>
      </c>
      <c r="U44">
        <f t="shared" si="16"/>
        <v>0.67094441420893514</v>
      </c>
      <c r="V44">
        <f t="shared" si="16"/>
        <v>0.64714092712892901</v>
      </c>
      <c r="W44">
        <f>AVERAGE(R44:V44)</f>
        <v>0.68000897882600675</v>
      </c>
      <c r="X44">
        <f t="shared" ref="X44:Z44" si="17">AVERAGE(S44:W44)</f>
        <v>0.68242610061665399</v>
      </c>
      <c r="Y44">
        <f t="shared" si="17"/>
        <v>0.67531593752715513</v>
      </c>
      <c r="Z44">
        <f t="shared" si="17"/>
        <v>0.67116727166153611</v>
      </c>
    </row>
    <row r="45" spans="3:26">
      <c r="C45" t="s">
        <v>489</v>
      </c>
      <c r="W45" s="25">
        <f>W42*W44</f>
        <v>11622.033457115282</v>
      </c>
      <c r="X45" s="25">
        <f t="shared" ref="X45:Z45" si="18">X42*X44</f>
        <v>14144.282301834688</v>
      </c>
      <c r="Y45" s="25">
        <f t="shared" si="18"/>
        <v>16047.509531830679</v>
      </c>
      <c r="Z45" s="25">
        <f t="shared" si="18"/>
        <v>18036.012101508422</v>
      </c>
    </row>
    <row r="46" spans="3:26">
      <c r="F46" s="75">
        <f>'Income Statement'!J30/SUM('Income Statement'!J23:J24)</f>
        <v>0.22234264965611591</v>
      </c>
      <c r="G46" s="75">
        <f>'Income Statement'!K30/SUM('Income Statement'!K23:K24)</f>
        <v>0.24856355559552307</v>
      </c>
      <c r="H46" s="75">
        <f>'Income Statement'!L30/SUM('Income Statement'!L23:L24)</f>
        <v>0.2488046383376066</v>
      </c>
      <c r="I46" s="75">
        <f>'Income Statement'!M30/SUM('Income Statement'!M23:M24)</f>
        <v>0.24901224710390407</v>
      </c>
    </row>
    <row r="54" spans="3:27">
      <c r="R54" s="75">
        <f>R38/R35</f>
        <v>0.39165004293402145</v>
      </c>
      <c r="S54" s="75">
        <f>S38/S35</f>
        <v>0.46431622583955917</v>
      </c>
      <c r="T54" s="75">
        <f>T38/T35</f>
        <v>0.42776002322819467</v>
      </c>
      <c r="U54" s="75">
        <f>U38/U35</f>
        <v>0.35604043156919524</v>
      </c>
      <c r="V54" s="75">
        <f>V38/V35</f>
        <v>0.34646082615999974</v>
      </c>
      <c r="W54" s="75">
        <f>AVERAGE(R54:V54)</f>
        <v>0.39724550994619406</v>
      </c>
      <c r="X54" s="75">
        <f t="shared" ref="X54:Z54" si="19">AVERAGE(S54:W54)</f>
        <v>0.39836460334862855</v>
      </c>
      <c r="Y54" s="75">
        <f t="shared" si="19"/>
        <v>0.38517427885044248</v>
      </c>
      <c r="Z54" s="75">
        <f t="shared" si="19"/>
        <v>0.37665712997489198</v>
      </c>
    </row>
    <row r="56" spans="3:27" ht="15.75" thickBot="1">
      <c r="D56" s="80" t="s">
        <v>94</v>
      </c>
      <c r="E56" s="80" t="s">
        <v>95</v>
      </c>
      <c r="F56" s="80" t="s">
        <v>96</v>
      </c>
      <c r="G56" s="80" t="s">
        <v>97</v>
      </c>
      <c r="H56" s="80" t="s">
        <v>98</v>
      </c>
      <c r="I56" s="92" t="s">
        <v>103</v>
      </c>
      <c r="J56" s="80" t="s">
        <v>99</v>
      </c>
      <c r="K56" s="80" t="s">
        <v>100</v>
      </c>
      <c r="L56" s="80" t="s">
        <v>101</v>
      </c>
      <c r="S56" s="75">
        <f>S38/R38-1</f>
        <v>0.12942817294281728</v>
      </c>
      <c r="T56" s="75">
        <f t="shared" ref="T56:V56" si="20">T38/S38-1</f>
        <v>8.7922943936774578E-2</v>
      </c>
      <c r="U56" s="75">
        <f t="shared" si="20"/>
        <v>0.16730987514188422</v>
      </c>
      <c r="V56" s="75">
        <f t="shared" si="20"/>
        <v>0.11415791520809027</v>
      </c>
      <c r="W56" s="75">
        <f>AVERAGE(S56:V56)</f>
        <v>0.12470472680739159</v>
      </c>
      <c r="X56" s="75">
        <f t="shared" ref="X56:Z56" si="21">AVERAGE(T56:W56)</f>
        <v>0.12352386527353516</v>
      </c>
      <c r="Y56" s="75">
        <f t="shared" si="21"/>
        <v>0.13242409560772531</v>
      </c>
      <c r="Z56" s="75">
        <f t="shared" si="21"/>
        <v>0.12370265072418557</v>
      </c>
    </row>
    <row r="57" spans="3:27" ht="15.75" thickTop="1"/>
    <row r="58" spans="3:27">
      <c r="C58" t="s">
        <v>6</v>
      </c>
      <c r="D58">
        <v>9153.58</v>
      </c>
      <c r="E58">
        <v>8720.35</v>
      </c>
      <c r="F58">
        <v>10297.83</v>
      </c>
      <c r="G58">
        <v>14442.18</v>
      </c>
      <c r="H58">
        <v>16535.78</v>
      </c>
      <c r="I58">
        <v>17091</v>
      </c>
      <c r="J58">
        <v>18898.216635599023</v>
      </c>
      <c r="K58">
        <v>21350.732001673634</v>
      </c>
      <c r="L58">
        <v>22921.692054344581</v>
      </c>
    </row>
    <row r="60" spans="3:27">
      <c r="C60" s="106" t="s">
        <v>262</v>
      </c>
      <c r="D60">
        <v>856.8</v>
      </c>
      <c r="E60">
        <v>676.11</v>
      </c>
      <c r="F60">
        <v>952.36</v>
      </c>
      <c r="G60">
        <v>1306.56</v>
      </c>
      <c r="H60">
        <v>1505.43</v>
      </c>
      <c r="I60">
        <v>1973.4754110712895</v>
      </c>
      <c r="J60">
        <f>J58*J62</f>
        <v>1765.7062699843386</v>
      </c>
      <c r="K60">
        <f t="shared" ref="K60:L60" si="22">K58*K62</f>
        <v>1994.2447548665655</v>
      </c>
      <c r="L60">
        <f t="shared" si="22"/>
        <v>2201.6127967239358</v>
      </c>
    </row>
    <row r="61" spans="3:27">
      <c r="S61">
        <v>697582</v>
      </c>
      <c r="T61">
        <v>609403</v>
      </c>
      <c r="U61">
        <v>595474</v>
      </c>
      <c r="V61">
        <v>824066</v>
      </c>
      <c r="W61">
        <v>912003</v>
      </c>
      <c r="X61">
        <f>W61*(1+X62)</f>
        <v>989826.51699272392</v>
      </c>
      <c r="Y61">
        <f t="shared" ref="Y61:AA61" si="23">X61*(1+Y62)</f>
        <v>1126687.1717566599</v>
      </c>
      <c r="Z61">
        <f t="shared" si="23"/>
        <v>1327855.298966778</v>
      </c>
      <c r="AA61">
        <f t="shared" si="23"/>
        <v>1496778.1763142599</v>
      </c>
    </row>
    <row r="62" spans="3:27">
      <c r="D62" s="75">
        <f>D60/D58</f>
        <v>9.3602721558122604E-2</v>
      </c>
      <c r="E62" s="75">
        <f t="shared" ref="E62:I62" si="24">E60/E58</f>
        <v>7.7532438491574304E-2</v>
      </c>
      <c r="F62" s="75">
        <f t="shared" si="24"/>
        <v>9.2481619914098409E-2</v>
      </c>
      <c r="G62" s="75">
        <f t="shared" si="24"/>
        <v>9.046833649767555E-2</v>
      </c>
      <c r="H62" s="75">
        <f t="shared" si="24"/>
        <v>9.1040761306693738E-2</v>
      </c>
      <c r="I62" s="75">
        <f t="shared" si="24"/>
        <v>0.11546869177176815</v>
      </c>
      <c r="J62" s="75">
        <f>AVERAGE(D62:I62)</f>
        <v>9.3432428256655473E-2</v>
      </c>
      <c r="K62" s="75">
        <f t="shared" ref="K62:L62" si="25">AVERAGE(E62:J62)</f>
        <v>9.3404046039744268E-2</v>
      </c>
      <c r="L62" s="75">
        <f t="shared" si="25"/>
        <v>9.6049313964439276E-2</v>
      </c>
      <c r="T62" s="97">
        <f>T61/S61-1</f>
        <v>-0.12640664466686358</v>
      </c>
      <c r="U62" s="98">
        <f t="shared" ref="U62:W62" si="26">U61/T61-1</f>
        <v>-2.2856795913377526E-2</v>
      </c>
      <c r="V62" s="98">
        <f t="shared" si="26"/>
        <v>0.38388241971941683</v>
      </c>
      <c r="W62" s="99">
        <f t="shared" si="26"/>
        <v>0.10671111294483704</v>
      </c>
      <c r="X62" s="75">
        <f>AVERAGE(T62:W62)</f>
        <v>8.5332523021003193E-2</v>
      </c>
      <c r="Y62" s="75">
        <f t="shared" ref="Y62:AA62" si="27">AVERAGE(U62:X62)</f>
        <v>0.1382673149429699</v>
      </c>
      <c r="Z62" s="75">
        <f t="shared" si="27"/>
        <v>0.17854834265705671</v>
      </c>
      <c r="AA62" s="75">
        <f t="shared" si="27"/>
        <v>0.12721482339146672</v>
      </c>
    </row>
    <row r="64" spans="3:27">
      <c r="C64" t="s">
        <v>209</v>
      </c>
      <c r="D64" s="25">
        <v>6113.8899999999994</v>
      </c>
      <c r="E64" s="25">
        <v>6261.01</v>
      </c>
      <c r="F64" s="25">
        <v>7167.9</v>
      </c>
      <c r="G64" s="25">
        <v>9689.9</v>
      </c>
      <c r="H64" s="25">
        <v>10700.980000000001</v>
      </c>
      <c r="I64" s="25">
        <v>12618.94</v>
      </c>
      <c r="J64">
        <f>J58*J66</f>
        <v>13034.677041770017</v>
      </c>
      <c r="K64">
        <f t="shared" ref="K64:L64" si="28">K58*K66</f>
        <v>14803.851591190753</v>
      </c>
      <c r="L64">
        <f t="shared" si="28"/>
        <v>15799.076175428418</v>
      </c>
      <c r="S64">
        <f>'Income Statement'!E7</f>
        <v>9153.58</v>
      </c>
      <c r="T64">
        <f>'Income Statement'!F7</f>
        <v>8720.35</v>
      </c>
      <c r="U64">
        <f>'Income Statement'!G7</f>
        <v>10297.83</v>
      </c>
      <c r="V64">
        <f>'Income Statement'!H7</f>
        <v>14442.18</v>
      </c>
      <c r="W64">
        <f>'Income Statement'!I7</f>
        <v>16535.78</v>
      </c>
      <c r="X64">
        <f>'Income Statement'!J7</f>
        <v>18959.922045296687</v>
      </c>
      <c r="Y64">
        <f>'Income Statement'!K7</f>
        <v>22556.218039432442</v>
      </c>
      <c r="Z64">
        <f>'Income Statement'!L7</f>
        <v>26680.436195219154</v>
      </c>
      <c r="AA64">
        <f>'Income Statement'!M7</f>
        <v>30555.914365131775</v>
      </c>
    </row>
    <row r="66" spans="3:27">
      <c r="D66" s="75">
        <f>AVERAGE(D64/D58)</f>
        <v>0.66792336987277101</v>
      </c>
      <c r="E66" s="75">
        <f t="shared" ref="E66:I66" si="29">AVERAGE(E64/E58)</f>
        <v>0.71797691606414882</v>
      </c>
      <c r="F66" s="75">
        <f t="shared" si="29"/>
        <v>0.6960592668552501</v>
      </c>
      <c r="G66" s="75">
        <f t="shared" si="29"/>
        <v>0.67094441420893514</v>
      </c>
      <c r="H66" s="75">
        <f t="shared" si="29"/>
        <v>0.64714092712892901</v>
      </c>
      <c r="I66" s="75">
        <f t="shared" si="29"/>
        <v>0.73833830671113454</v>
      </c>
      <c r="J66" s="75">
        <f>AVERAGE(D66:I66)</f>
        <v>0.68973053347352808</v>
      </c>
      <c r="K66" s="75">
        <f t="shared" ref="K66:L66" si="30">AVERAGE(E66:J66)</f>
        <v>0.69336506074032089</v>
      </c>
      <c r="L66" s="75">
        <f t="shared" si="30"/>
        <v>0.68926308485301624</v>
      </c>
      <c r="Q66" s="34" t="s">
        <v>115</v>
      </c>
      <c r="S66" s="31">
        <v>4.1682052268074352E-2</v>
      </c>
      <c r="T66" s="31">
        <v>5.1687145584752903E-2</v>
      </c>
      <c r="U66" s="31">
        <v>4.3885944902955283E-2</v>
      </c>
      <c r="V66" s="31">
        <v>3.643563506340456E-2</v>
      </c>
      <c r="W66" s="31">
        <v>3.6139813180872025E-2</v>
      </c>
      <c r="X66" s="31">
        <v>3.8703411152068344E-2</v>
      </c>
      <c r="Y66" s="5">
        <f>AVERAGE(S66:X66)</f>
        <v>4.1422333692021245E-2</v>
      </c>
      <c r="Z66" s="5">
        <f t="shared" ref="Z66:AA66" si="31">AVERAGE(T66:Y66)</f>
        <v>4.1379047262679061E-2</v>
      </c>
      <c r="AA66" s="5">
        <f t="shared" si="31"/>
        <v>3.9661030875666754E-2</v>
      </c>
    </row>
    <row r="67" spans="3:27">
      <c r="Y67">
        <f>Y64*Y66</f>
        <v>934.33119045935985</v>
      </c>
      <c r="Z67">
        <f t="shared" ref="Z67:AA67" si="32">Z64*Z66</f>
        <v>1104.0110303108665</v>
      </c>
      <c r="AA67">
        <f t="shared" si="32"/>
        <v>1211.8790630697206</v>
      </c>
    </row>
    <row r="68" spans="3:27">
      <c r="C68" t="s">
        <v>264</v>
      </c>
      <c r="D68">
        <v>18.88</v>
      </c>
      <c r="E68">
        <v>16.45</v>
      </c>
      <c r="F68">
        <v>18.78</v>
      </c>
      <c r="G68">
        <v>28.02</v>
      </c>
      <c r="H68">
        <v>50.88</v>
      </c>
      <c r="I68">
        <v>53.18</v>
      </c>
      <c r="J68">
        <f>J58*J70</f>
        <v>43.785126481429977</v>
      </c>
      <c r="K68">
        <f t="shared" ref="K68:L68" si="33">K58*K70</f>
        <v>50.372293976171761</v>
      </c>
      <c r="L68">
        <f t="shared" si="33"/>
        <v>55.885178052558921</v>
      </c>
    </row>
    <row r="70" spans="3:27">
      <c r="D70">
        <f>D68/D58</f>
        <v>2.0625809792452787E-3</v>
      </c>
      <c r="E70">
        <f t="shared" ref="E70:I70" si="34">E68/E58</f>
        <v>1.8863921746260183E-3</v>
      </c>
      <c r="F70">
        <f t="shared" si="34"/>
        <v>1.8236851841601581E-3</v>
      </c>
      <c r="G70">
        <f t="shared" si="34"/>
        <v>1.9401503097177849E-3</v>
      </c>
      <c r="H70">
        <f t="shared" si="34"/>
        <v>3.0769640137931205E-3</v>
      </c>
      <c r="I70">
        <f t="shared" si="34"/>
        <v>3.1115791937276929E-3</v>
      </c>
      <c r="J70">
        <f>AVERAGE(D70:I70)</f>
        <v>2.3168919758783423E-3</v>
      </c>
      <c r="K70">
        <f t="shared" ref="K70:L70" si="35">AVERAGE(E70:J70)</f>
        <v>2.359277141983853E-3</v>
      </c>
      <c r="L70">
        <f t="shared" si="35"/>
        <v>2.4380913032101587E-3</v>
      </c>
      <c r="R70" t="s">
        <v>261</v>
      </c>
    </row>
    <row r="71" spans="3:27">
      <c r="S71">
        <v>856.8</v>
      </c>
      <c r="T71">
        <v>676.11</v>
      </c>
      <c r="U71">
        <v>952.36</v>
      </c>
      <c r="V71">
        <v>1306.56</v>
      </c>
      <c r="W71">
        <v>1505.43</v>
      </c>
      <c r="X71" s="71">
        <v>1973.4754110712895</v>
      </c>
      <c r="Y71" s="71">
        <f>Y61*Y72</f>
        <v>103131.79128375021</v>
      </c>
      <c r="Z71" s="71">
        <f t="shared" ref="Z71:AA71" si="36">Z61*Z72</f>
        <v>121088.29033839265</v>
      </c>
      <c r="AA71" s="71">
        <f t="shared" si="36"/>
        <v>139899.79146155759</v>
      </c>
    </row>
    <row r="72" spans="3:27">
      <c r="S72" s="75">
        <f>S71/S64</f>
        <v>9.3602721558122604E-2</v>
      </c>
      <c r="T72" s="75">
        <f t="shared" ref="T72:X72" si="37">T71/T64</f>
        <v>7.7532438491574304E-2</v>
      </c>
      <c r="U72" s="75">
        <f t="shared" si="37"/>
        <v>9.2481619914098409E-2</v>
      </c>
      <c r="V72" s="75">
        <f t="shared" si="37"/>
        <v>9.046833649767555E-2</v>
      </c>
      <c r="W72" s="75">
        <f t="shared" si="37"/>
        <v>9.1040761306693738E-2</v>
      </c>
      <c r="X72" s="75">
        <f t="shared" si="37"/>
        <v>0.10408668381423233</v>
      </c>
      <c r="Y72" s="75">
        <f>AVERAGE(S72:X72)</f>
        <v>9.1535426930399497E-2</v>
      </c>
      <c r="Z72" s="75">
        <f t="shared" ref="Z72:AA72" si="38">AVERAGE(T72:Y72)</f>
        <v>9.1190877825778963E-2</v>
      </c>
      <c r="AA72" s="75">
        <f t="shared" si="38"/>
        <v>9.3467284381479762E-2</v>
      </c>
    </row>
    <row r="73" spans="3:27">
      <c r="C73" s="33" t="s">
        <v>268</v>
      </c>
    </row>
    <row r="74" spans="3:27">
      <c r="C74" s="32" t="s">
        <v>267</v>
      </c>
      <c r="D74" s="71">
        <v>3.4595644545631332</v>
      </c>
      <c r="E74" s="71">
        <v>6.6199636482480626</v>
      </c>
      <c r="F74" s="71">
        <v>10.705614678043821</v>
      </c>
      <c r="G74" s="71">
        <v>9.3237862981904396</v>
      </c>
      <c r="H74" s="71">
        <v>8.2505754188795457</v>
      </c>
      <c r="I74" s="71">
        <f>AVERAGE(D74:H74)</f>
        <v>7.6719008995850002</v>
      </c>
      <c r="J74" s="71">
        <f t="shared" ref="J74:L74" si="39">AVERAGE(E74:I74)</f>
        <v>8.5143681885893727</v>
      </c>
      <c r="K74" s="71">
        <f t="shared" si="39"/>
        <v>8.8932490966576356</v>
      </c>
      <c r="L74" s="71">
        <f t="shared" si="39"/>
        <v>8.5307759803803993</v>
      </c>
    </row>
    <row r="75" spans="3:27">
      <c r="C75" s="32" t="s">
        <v>45</v>
      </c>
      <c r="D75" s="71">
        <v>34.16936680247764</v>
      </c>
      <c r="E75" s="71">
        <v>50.986821615042942</v>
      </c>
      <c r="F75" s="71">
        <v>57.66347186763209</v>
      </c>
      <c r="G75" s="71">
        <v>48.156389642823974</v>
      </c>
      <c r="H75" s="71">
        <v>48.08144674599896</v>
      </c>
      <c r="I75" s="71">
        <f t="shared" ref="I75:L75" si="40">AVERAGE(D75:H75)</f>
        <v>47.811499334795123</v>
      </c>
      <c r="J75" s="71">
        <f t="shared" si="40"/>
        <v>50.539925841258615</v>
      </c>
      <c r="K75" s="71">
        <f t="shared" si="40"/>
        <v>50.450546686501752</v>
      </c>
      <c r="L75" s="71">
        <f t="shared" si="40"/>
        <v>49.007961650275682</v>
      </c>
    </row>
    <row r="76" spans="3:27">
      <c r="C76" s="32" t="s">
        <v>162</v>
      </c>
      <c r="D76" s="71">
        <v>60.177726455660803</v>
      </c>
      <c r="E76" s="71">
        <v>88.203820150423013</v>
      </c>
      <c r="F76" s="71">
        <v>91.047587159419081</v>
      </c>
      <c r="G76" s="71">
        <v>68.179238175832566</v>
      </c>
      <c r="H76" s="71">
        <v>71.287863354571257</v>
      </c>
      <c r="I76" s="71">
        <f t="shared" ref="I76:L76" si="41">AVERAGE(D76:H76)</f>
        <v>75.779247059181344</v>
      </c>
      <c r="J76" s="71">
        <f t="shared" si="41"/>
        <v>78.899551179885435</v>
      </c>
      <c r="K76" s="71">
        <f t="shared" si="41"/>
        <v>77.038697385777937</v>
      </c>
      <c r="L76" s="71">
        <f t="shared" si="41"/>
        <v>74.236919431049699</v>
      </c>
    </row>
    <row r="79" spans="3:27">
      <c r="C79" t="s">
        <v>423</v>
      </c>
      <c r="D79">
        <v>572.41999999999996</v>
      </c>
      <c r="E79">
        <v>482.34</v>
      </c>
      <c r="F79">
        <v>495.65</v>
      </c>
      <c r="G79">
        <v>908.14</v>
      </c>
      <c r="H79">
        <v>1521.13</v>
      </c>
      <c r="I79" s="89">
        <f>H79*(1+I80)</f>
        <v>2044.9474813550758</v>
      </c>
      <c r="J79" s="89">
        <f t="shared" ref="J79:L79" si="42">I79*(1+J80)</f>
        <v>3005.6488612510361</v>
      </c>
      <c r="K79" s="89">
        <f t="shared" si="42"/>
        <v>4749.9537424025139</v>
      </c>
      <c r="L79" s="89">
        <f t="shared" si="42"/>
        <v>7207.4500132984222</v>
      </c>
    </row>
    <row r="80" spans="3:27">
      <c r="E80" s="73">
        <f>E79/D79-1</f>
        <v>-0.1573669683099822</v>
      </c>
      <c r="F80" s="73">
        <f t="shared" ref="F80:H80" si="43">F79/E79-1</f>
        <v>2.7594642783099088E-2</v>
      </c>
      <c r="G80" s="73">
        <f t="shared" si="43"/>
        <v>0.83222031675577535</v>
      </c>
      <c r="H80" s="73">
        <f t="shared" si="43"/>
        <v>0.67499504481687866</v>
      </c>
      <c r="I80" s="73">
        <f>AVERAGE(E80:H80)</f>
        <v>0.3443607590114427</v>
      </c>
      <c r="J80" s="73">
        <f t="shared" ref="J80:L80" si="44">AVERAGE(F80:I80)</f>
        <v>0.46979269084179898</v>
      </c>
      <c r="K80" s="73">
        <f t="shared" si="44"/>
        <v>0.58034220285647387</v>
      </c>
      <c r="L80" s="73">
        <f t="shared" si="44"/>
        <v>0.51737267438164847</v>
      </c>
    </row>
  </sheetData>
  <dataValidations disablePrompts="1" count="1">
    <dataValidation type="list" allowBlank="1" showInputMessage="1" showErrorMessage="1" sqref="D4" xr:uid="{68FA1C10-7EB0-4CD6-A813-C1D7DA168776}">
      <formula1>$B$9:$B$11</formula1>
    </dataValidation>
  </dataValidations>
  <hyperlinks>
    <hyperlink ref="C60" r:id="rId1" xr:uid="{9EB9EB73-A7DE-4BC7-878A-A718055FFFB5}"/>
  </hyperlinks>
  <pageMargins left="0.7" right="0.7" top="0.75" bottom="0.75" header="0.3" footer="0.3"/>
  <pageSetup scale="2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CA68-5157-4271-8D0E-F083A8C33FA9}">
  <dimension ref="B3:T41"/>
  <sheetViews>
    <sheetView showGridLines="0" workbookViewId="0">
      <selection activeCell="M25" sqref="M25"/>
    </sheetView>
  </sheetViews>
  <sheetFormatPr defaultRowHeight="15"/>
  <cols>
    <col min="1" max="1" width="4.42578125" customWidth="1"/>
    <col min="2" max="2" width="6.28515625" customWidth="1"/>
    <col min="4" max="4" width="9.5703125" customWidth="1"/>
  </cols>
  <sheetData>
    <row r="3" spans="2:19">
      <c r="B3" t="s">
        <v>490</v>
      </c>
    </row>
    <row r="8" spans="2:19">
      <c r="B8" t="s">
        <v>491</v>
      </c>
      <c r="O8" t="s">
        <v>494</v>
      </c>
    </row>
    <row r="9" spans="2:19">
      <c r="O9" t="s">
        <v>492</v>
      </c>
      <c r="S9" s="75">
        <v>6.7000000000000004E-2</v>
      </c>
    </row>
    <row r="10" spans="2:19">
      <c r="O10" t="s">
        <v>376</v>
      </c>
      <c r="S10" s="75">
        <v>0.13896665141054212</v>
      </c>
    </row>
    <row r="11" spans="2:19">
      <c r="O11" t="s">
        <v>465</v>
      </c>
    </row>
    <row r="12" spans="2:19">
      <c r="O12" t="s">
        <v>495</v>
      </c>
    </row>
    <row r="13" spans="2:19">
      <c r="O13" t="s">
        <v>496</v>
      </c>
    </row>
    <row r="20" spans="2:20">
      <c r="D20" s="326"/>
      <c r="E20" s="329" t="s">
        <v>403</v>
      </c>
      <c r="F20" s="326"/>
      <c r="G20" s="326"/>
      <c r="Q20" s="329" t="s">
        <v>497</v>
      </c>
      <c r="R20" s="326"/>
    </row>
    <row r="22" spans="2:20">
      <c r="F22" s="2" t="s">
        <v>492</v>
      </c>
      <c r="Q22" s="2" t="s">
        <v>492</v>
      </c>
    </row>
    <row r="23" spans="2:20">
      <c r="B23" t="s">
        <v>498</v>
      </c>
      <c r="D23" s="89">
        <v>53381.74627184734</v>
      </c>
      <c r="E23" s="73">
        <v>0.1</v>
      </c>
      <c r="F23" s="73">
        <v>0.11</v>
      </c>
      <c r="G23" s="73">
        <v>0.12</v>
      </c>
      <c r="H23" s="73">
        <v>0.14000000000000001</v>
      </c>
      <c r="O23" s="172">
        <f>'DCF calcuation'!D71</f>
        <v>1940.2555249031168</v>
      </c>
      <c r="P23" s="75">
        <v>0.04</v>
      </c>
      <c r="Q23" s="75">
        <v>0.05</v>
      </c>
      <c r="R23" s="75">
        <v>0.06</v>
      </c>
      <c r="S23" s="75">
        <f>'DCF calcuation'!D32</f>
        <v>6.7000000000000004E-2</v>
      </c>
      <c r="T23" s="75">
        <v>0.08</v>
      </c>
    </row>
    <row r="24" spans="2:20">
      <c r="D24" s="73">
        <v>0.04</v>
      </c>
      <c r="E24">
        <f t="dataTable" ref="E24:H27" dt2D="1" dtr="1" r1="S10" r2="S9"/>
        <v>53381.74627184734</v>
      </c>
      <c r="F24">
        <v>53381.74627184734</v>
      </c>
      <c r="G24">
        <v>53381.74627184734</v>
      </c>
      <c r="H24">
        <v>53381.74627184734</v>
      </c>
      <c r="O24" s="75">
        <v>0.11</v>
      </c>
      <c r="P24" s="152">
        <f t="dataTable" ref="P24:T29" dt2D="1" dtr="1" r1="S9" r2="S10"/>
        <v>1940.2555249031168</v>
      </c>
      <c r="Q24" s="38">
        <v>1940.2555249031168</v>
      </c>
      <c r="R24" s="38">
        <v>1940.2555249031168</v>
      </c>
      <c r="S24" s="38">
        <v>1940.2555249031168</v>
      </c>
      <c r="T24" s="153">
        <v>1940.2555249031168</v>
      </c>
    </row>
    <row r="25" spans="2:20">
      <c r="D25" s="73">
        <v>0.05</v>
      </c>
      <c r="E25">
        <v>53381.74627184734</v>
      </c>
      <c r="F25">
        <v>53381.74627184734</v>
      </c>
      <c r="G25">
        <v>53381.74627184734</v>
      </c>
      <c r="H25">
        <v>53381.74627184734</v>
      </c>
      <c r="O25" s="75">
        <v>0.12</v>
      </c>
      <c r="P25" s="154">
        <v>1940.2555249031168</v>
      </c>
      <c r="Q25">
        <v>1940.2555249031168</v>
      </c>
      <c r="R25">
        <v>1940.2555249031168</v>
      </c>
      <c r="S25">
        <v>1940.2555249031168</v>
      </c>
      <c r="T25" s="161">
        <v>1940.2555249031168</v>
      </c>
    </row>
    <row r="26" spans="2:20">
      <c r="C26" s="325"/>
      <c r="D26" s="73">
        <v>0.06</v>
      </c>
      <c r="E26">
        <v>53381.74627184734</v>
      </c>
      <c r="F26">
        <v>53381.74627184734</v>
      </c>
      <c r="G26">
        <v>53381.74627184734</v>
      </c>
      <c r="H26">
        <v>53381.74627184734</v>
      </c>
      <c r="O26" s="327" t="s">
        <v>493</v>
      </c>
      <c r="P26" s="154">
        <v>1940.2555249031168</v>
      </c>
      <c r="Q26">
        <v>1940.2555249031168</v>
      </c>
      <c r="R26">
        <v>1940.2555249031168</v>
      </c>
      <c r="S26" s="328">
        <v>1940.2555249031168</v>
      </c>
      <c r="T26" s="161">
        <v>1940.2555249031168</v>
      </c>
    </row>
    <row r="27" spans="2:20">
      <c r="C27" t="s">
        <v>376</v>
      </c>
      <c r="D27" s="73">
        <v>7.0000000000000007E-2</v>
      </c>
      <c r="E27">
        <v>53381.74627184734</v>
      </c>
      <c r="F27">
        <v>53381.74627184734</v>
      </c>
      <c r="G27">
        <v>53381.74627184734</v>
      </c>
      <c r="H27">
        <v>53381.74627184734</v>
      </c>
      <c r="N27" t="s">
        <v>376</v>
      </c>
      <c r="O27" s="75">
        <f>'DCF calcuation'!D33</f>
        <v>0.13896665141054212</v>
      </c>
      <c r="P27" s="154">
        <v>1940.2555249031168</v>
      </c>
      <c r="Q27">
        <v>1940.2555249031168</v>
      </c>
      <c r="R27">
        <v>1940.2555249031168</v>
      </c>
      <c r="S27">
        <v>1940.2555249031168</v>
      </c>
      <c r="T27" s="161">
        <v>1940.2555249031168</v>
      </c>
    </row>
    <row r="28" spans="2:20">
      <c r="O28" s="75">
        <v>0.14000000000000001</v>
      </c>
      <c r="P28" s="154">
        <v>1940.2555249031168</v>
      </c>
      <c r="Q28">
        <v>1940.2555249031168</v>
      </c>
      <c r="R28">
        <v>1940.2555249031168</v>
      </c>
      <c r="S28">
        <v>1940.2555249031168</v>
      </c>
      <c r="T28" s="161">
        <v>1940.2555249031168</v>
      </c>
    </row>
    <row r="29" spans="2:20">
      <c r="O29" s="75">
        <v>0.15</v>
      </c>
      <c r="P29" s="214">
        <v>1940.2555249031168</v>
      </c>
      <c r="Q29" s="215">
        <v>1940.2555249031168</v>
      </c>
      <c r="R29" s="215">
        <v>1940.2555249031168</v>
      </c>
      <c r="S29" s="215">
        <v>1940.2555249031168</v>
      </c>
      <c r="T29" s="216">
        <v>1940.2555249031168</v>
      </c>
    </row>
    <row r="34" spans="4:9">
      <c r="F34" t="s">
        <v>406</v>
      </c>
    </row>
    <row r="35" spans="4:9">
      <c r="D35" s="172">
        <f>'DCF calcuation'!D68</f>
        <v>53124.196271847337</v>
      </c>
      <c r="E35" s="75">
        <v>0.04</v>
      </c>
      <c r="F35" s="75">
        <v>0.05</v>
      </c>
      <c r="G35" s="75">
        <v>0.06</v>
      </c>
      <c r="H35" s="75">
        <f>'DCF calcuation'!D44</f>
        <v>0</v>
      </c>
      <c r="I35" s="75">
        <v>0.08</v>
      </c>
    </row>
    <row r="36" spans="4:9">
      <c r="D36" s="75">
        <v>0.11</v>
      </c>
      <c r="E36" s="152">
        <f t="dataTable" ref="E36:I41" dt2D="1" dtr="1" r1="S9" r2="S10"/>
        <v>53124.196271847337</v>
      </c>
      <c r="F36" s="38">
        <v>53124.196271847337</v>
      </c>
      <c r="G36" s="38">
        <v>53124.196271847337</v>
      </c>
      <c r="H36" s="38">
        <v>53124.196271847337</v>
      </c>
      <c r="I36" s="153">
        <v>53124.196271847337</v>
      </c>
    </row>
    <row r="37" spans="4:9">
      <c r="D37" s="75">
        <v>0.12</v>
      </c>
      <c r="E37" s="154">
        <v>53124.196271847337</v>
      </c>
      <c r="F37">
        <v>53124.196271847337</v>
      </c>
      <c r="G37">
        <v>53124.196271847337</v>
      </c>
      <c r="H37">
        <v>53124.196271847337</v>
      </c>
      <c r="I37" s="161">
        <v>53124.196271847337</v>
      </c>
    </row>
    <row r="38" spans="4:9">
      <c r="D38" s="327" t="s">
        <v>493</v>
      </c>
      <c r="E38" s="154">
        <v>53124.196271847337</v>
      </c>
      <c r="F38">
        <v>53124.196271847337</v>
      </c>
      <c r="G38">
        <v>53124.196271847337</v>
      </c>
      <c r="H38" s="328">
        <v>53124.196271847337</v>
      </c>
      <c r="I38" s="161">
        <v>53124.196271847337</v>
      </c>
    </row>
    <row r="39" spans="4:9">
      <c r="D39" s="75">
        <f>'DCF calcuation'!D45</f>
        <v>0</v>
      </c>
      <c r="E39" s="154">
        <v>53124.196271847337</v>
      </c>
      <c r="F39">
        <v>53124.196271847337</v>
      </c>
      <c r="G39">
        <v>53124.196271847337</v>
      </c>
      <c r="H39">
        <v>53124.196271847337</v>
      </c>
      <c r="I39" s="161">
        <v>53124.196271847337</v>
      </c>
    </row>
    <row r="40" spans="4:9">
      <c r="D40" s="75">
        <v>0.14000000000000001</v>
      </c>
      <c r="E40" s="154">
        <v>53124.196271847337</v>
      </c>
      <c r="F40">
        <v>53124.196271847337</v>
      </c>
      <c r="G40">
        <v>53124.196271847337</v>
      </c>
      <c r="H40">
        <v>53124.196271847337</v>
      </c>
      <c r="I40" s="161">
        <v>53124.196271847337</v>
      </c>
    </row>
    <row r="41" spans="4:9">
      <c r="D41" s="75">
        <v>0.15</v>
      </c>
      <c r="E41" s="214">
        <v>53124.196271847337</v>
      </c>
      <c r="F41" s="215">
        <v>53124.196271847337</v>
      </c>
      <c r="G41" s="215">
        <v>53124.196271847337</v>
      </c>
      <c r="H41" s="215">
        <v>53124.196271847337</v>
      </c>
      <c r="I41" s="216">
        <v>53124.196271847337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C8D2-DB80-4C99-B489-D8ECE3BF6576}">
  <dimension ref="A3:H20"/>
  <sheetViews>
    <sheetView workbookViewId="0">
      <selection activeCell="A13" sqref="A13"/>
    </sheetView>
  </sheetViews>
  <sheetFormatPr defaultRowHeight="15"/>
  <cols>
    <col min="2" max="2" width="23.42578125" bestFit="1" customWidth="1"/>
    <col min="3" max="3" width="9.5703125" bestFit="1" customWidth="1"/>
  </cols>
  <sheetData>
    <row r="3" spans="1:8">
      <c r="A3" t="s">
        <v>220</v>
      </c>
      <c r="B3" t="s">
        <v>478</v>
      </c>
      <c r="C3" t="s">
        <v>220</v>
      </c>
    </row>
    <row r="4" spans="1:8">
      <c r="B4" t="s">
        <v>376</v>
      </c>
      <c r="C4" s="73">
        <f>'DCF schedule'!E46</f>
        <v>0.13896665141054212</v>
      </c>
    </row>
    <row r="5" spans="1:8">
      <c r="B5" t="s">
        <v>481</v>
      </c>
      <c r="C5" s="89">
        <f>'DCF calcuation'!D85</f>
        <v>20.05</v>
      </c>
    </row>
    <row r="6" spans="1:8">
      <c r="B6" t="s">
        <v>479</v>
      </c>
      <c r="C6" s="75">
        <f>'DCF calcuation'!D32</f>
        <v>6.7000000000000004E-2</v>
      </c>
    </row>
    <row r="7" spans="1:8">
      <c r="B7" t="s">
        <v>482</v>
      </c>
    </row>
    <row r="8" spans="1:8">
      <c r="B8" s="72" t="s">
        <v>480</v>
      </c>
      <c r="C8" s="46">
        <f>'DCF calcuation'!D71</f>
        <v>1940.2555249031168</v>
      </c>
    </row>
    <row r="9" spans="1:8">
      <c r="B9" s="72" t="s">
        <v>481</v>
      </c>
      <c r="C9" s="46">
        <f>'DCF calcuation'!D125</f>
        <v>3326.8030861651519</v>
      </c>
    </row>
    <row r="13" spans="1:8">
      <c r="B13" t="s">
        <v>483</v>
      </c>
      <c r="E13" t="s">
        <v>479</v>
      </c>
    </row>
    <row r="14" spans="1:8">
      <c r="C14" s="46">
        <f>C8</f>
        <v>1940.2555249031168</v>
      </c>
      <c r="D14" s="73">
        <v>0.05</v>
      </c>
      <c r="E14" s="73">
        <v>0.06</v>
      </c>
      <c r="F14" s="73">
        <v>7.0000000000000007E-2</v>
      </c>
      <c r="G14" s="73">
        <v>0.08</v>
      </c>
      <c r="H14" s="73">
        <v>0.09</v>
      </c>
    </row>
    <row r="15" spans="1:8">
      <c r="C15" s="73">
        <v>0.1</v>
      </c>
      <c r="D15" s="75"/>
    </row>
    <row r="16" spans="1:8">
      <c r="C16" s="73">
        <v>0.11</v>
      </c>
    </row>
    <row r="17" spans="2:3">
      <c r="C17" s="73">
        <v>0.12</v>
      </c>
    </row>
    <row r="18" spans="2:3">
      <c r="B18" t="s">
        <v>376</v>
      </c>
      <c r="C18" s="73">
        <f>C4</f>
        <v>0.13896665141054212</v>
      </c>
    </row>
    <row r="19" spans="2:3">
      <c r="C19" s="73">
        <v>0.14000000000000001</v>
      </c>
    </row>
    <row r="20" spans="2:3">
      <c r="C20" s="73">
        <v>0.15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F529-7D48-4DBD-8736-581A9C1EEDE0}">
  <dimension ref="A1:E36"/>
  <sheetViews>
    <sheetView workbookViewId="0">
      <selection activeCell="D2" sqref="D2"/>
    </sheetView>
  </sheetViews>
  <sheetFormatPr defaultRowHeight="15"/>
  <cols>
    <col min="4" max="4" width="18.140625" bestFit="1" customWidth="1"/>
  </cols>
  <sheetData>
    <row r="1" spans="1:5">
      <c r="A1" t="s">
        <v>365</v>
      </c>
    </row>
    <row r="3" spans="1:5">
      <c r="A3" t="s">
        <v>180</v>
      </c>
      <c r="B3" t="s">
        <v>364</v>
      </c>
    </row>
    <row r="4" spans="1:5">
      <c r="A4">
        <v>2000</v>
      </c>
      <c r="B4" s="75">
        <v>-0.14649999999999999</v>
      </c>
    </row>
    <row r="5" spans="1:5">
      <c r="A5">
        <v>2001</v>
      </c>
      <c r="B5" s="75">
        <v>-0.1618</v>
      </c>
    </row>
    <row r="6" spans="1:5">
      <c r="A6">
        <v>2002</v>
      </c>
      <c r="B6" s="75">
        <v>3.2500000000000001E-2</v>
      </c>
      <c r="D6" t="s">
        <v>366</v>
      </c>
      <c r="E6" s="90">
        <f>AVERAGE(B4:B28)</f>
        <v>0.15334799999999998</v>
      </c>
    </row>
    <row r="7" spans="1:5">
      <c r="A7">
        <v>2003</v>
      </c>
      <c r="B7" s="75">
        <v>0.71900000000000008</v>
      </c>
      <c r="D7" t="s">
        <v>367</v>
      </c>
      <c r="E7" s="74">
        <v>1.2699999999999999E-2</v>
      </c>
    </row>
    <row r="8" spans="1:5">
      <c r="A8">
        <v>2004</v>
      </c>
      <c r="B8" s="75">
        <v>0.10679999999999999</v>
      </c>
    </row>
    <row r="9" spans="1:5">
      <c r="A9">
        <v>2005</v>
      </c>
      <c r="B9" s="75">
        <v>0.36340000000000006</v>
      </c>
      <c r="D9" t="s">
        <v>368</v>
      </c>
      <c r="E9" s="128">
        <f>SUM(E6:E7)</f>
        <v>0.16604799999999997</v>
      </c>
    </row>
    <row r="10" spans="1:5">
      <c r="A10">
        <v>2006</v>
      </c>
      <c r="B10" s="75">
        <v>0.39829999999999999</v>
      </c>
    </row>
    <row r="11" spans="1:5">
      <c r="A11">
        <v>2007</v>
      </c>
      <c r="B11" s="75">
        <v>0.54770000000000008</v>
      </c>
    </row>
    <row r="12" spans="1:5">
      <c r="A12">
        <v>2008</v>
      </c>
      <c r="B12" s="75">
        <v>-0.51790000000000003</v>
      </c>
    </row>
    <row r="13" spans="1:5">
      <c r="A13">
        <v>2009</v>
      </c>
      <c r="B13" s="75">
        <v>0.75760000000000005</v>
      </c>
    </row>
    <row r="14" spans="1:5">
      <c r="A14">
        <v>2010</v>
      </c>
      <c r="B14" s="75">
        <v>0.17949999999999999</v>
      </c>
    </row>
    <row r="15" spans="1:5">
      <c r="A15">
        <v>2011</v>
      </c>
      <c r="B15" s="75">
        <v>-0.2462</v>
      </c>
    </row>
    <row r="16" spans="1:5">
      <c r="A16">
        <v>2012</v>
      </c>
      <c r="B16" s="75">
        <v>0.27699999999999997</v>
      </c>
    </row>
    <row r="17" spans="1:2">
      <c r="A17">
        <v>2013</v>
      </c>
      <c r="B17" s="75">
        <v>6.7599999999999993E-2</v>
      </c>
    </row>
    <row r="18" spans="1:2">
      <c r="A18">
        <v>2014</v>
      </c>
      <c r="B18" s="75">
        <v>0.31390000000000001</v>
      </c>
    </row>
    <row r="19" spans="1:2">
      <c r="A19">
        <v>2015</v>
      </c>
      <c r="B19" s="75">
        <v>-4.0599999999999997E-2</v>
      </c>
    </row>
    <row r="20" spans="1:2">
      <c r="A20">
        <v>2016</v>
      </c>
      <c r="B20" s="75">
        <v>3.0099999999999998E-2</v>
      </c>
    </row>
    <row r="21" spans="1:2">
      <c r="A21">
        <v>2017</v>
      </c>
      <c r="B21" s="75">
        <v>0.28649999999999998</v>
      </c>
    </row>
    <row r="22" spans="1:2">
      <c r="A22">
        <v>2018</v>
      </c>
      <c r="B22" s="75">
        <v>3.15E-2</v>
      </c>
    </row>
    <row r="23" spans="1:2">
      <c r="A23">
        <v>2019</v>
      </c>
      <c r="B23" s="75">
        <v>0.1202</v>
      </c>
    </row>
    <row r="24" spans="1:2">
      <c r="A24">
        <v>2020</v>
      </c>
      <c r="B24" s="75">
        <v>0.14899999999999999</v>
      </c>
    </row>
    <row r="25" spans="1:2">
      <c r="A25">
        <v>2021</v>
      </c>
      <c r="B25" s="75">
        <v>0.2412</v>
      </c>
    </row>
    <row r="26" spans="1:2">
      <c r="A26">
        <v>2022</v>
      </c>
      <c r="B26" s="75">
        <v>4.3200000000000002E-2</v>
      </c>
    </row>
    <row r="27" spans="1:2">
      <c r="A27">
        <v>2023</v>
      </c>
      <c r="B27" s="75">
        <v>0.19420000000000001</v>
      </c>
    </row>
    <row r="28" spans="1:2">
      <c r="A28">
        <v>2024</v>
      </c>
      <c r="B28" s="75">
        <v>8.7499999999999994E-2</v>
      </c>
    </row>
    <row r="29" spans="1:2">
      <c r="A29" t="s">
        <v>220</v>
      </c>
    </row>
    <row r="30" spans="1:2">
      <c r="B30">
        <v>100</v>
      </c>
    </row>
    <row r="33" spans="1:4">
      <c r="A33" t="s">
        <v>373</v>
      </c>
    </row>
    <row r="34" spans="1:4">
      <c r="B34" t="s">
        <v>374</v>
      </c>
      <c r="C34">
        <f>'Income Statement'!I26</f>
        <v>50.88</v>
      </c>
    </row>
    <row r="35" spans="1:4">
      <c r="B35" t="s">
        <v>375</v>
      </c>
      <c r="C35">
        <f>'DCF schedule'!G9</f>
        <v>403.86</v>
      </c>
    </row>
    <row r="36" spans="1:4">
      <c r="D36" s="75">
        <f>C34/C35</f>
        <v>0.12598425196850394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0CAC-C8AA-405A-A833-20AF332F44F4}">
  <dimension ref="C4:P31"/>
  <sheetViews>
    <sheetView workbookViewId="0">
      <selection activeCell="G43" sqref="G43"/>
    </sheetView>
  </sheetViews>
  <sheetFormatPr defaultRowHeight="15"/>
  <cols>
    <col min="2" max="2" width="2" bestFit="1" customWidth="1"/>
    <col min="3" max="4" width="16.7109375" bestFit="1" customWidth="1"/>
    <col min="5" max="5" width="15.85546875" bestFit="1" customWidth="1"/>
    <col min="6" max="6" width="7.85546875" bestFit="1" customWidth="1"/>
    <col min="7" max="7" width="10.7109375" bestFit="1" customWidth="1"/>
    <col min="8" max="8" width="9.85546875" bestFit="1" customWidth="1"/>
    <col min="9" max="9" width="10" bestFit="1" customWidth="1"/>
    <col min="10" max="10" width="21" bestFit="1" customWidth="1"/>
    <col min="11" max="11" width="11" bestFit="1" customWidth="1"/>
    <col min="12" max="12" width="13.28515625" bestFit="1" customWidth="1"/>
  </cols>
  <sheetData>
    <row r="4" spans="3:16">
      <c r="C4" s="2" t="s">
        <v>317</v>
      </c>
      <c r="D4" s="2" t="s">
        <v>326</v>
      </c>
      <c r="E4" s="2" t="s">
        <v>327</v>
      </c>
      <c r="F4" s="2" t="s">
        <v>328</v>
      </c>
      <c r="G4" s="2" t="s">
        <v>329</v>
      </c>
      <c r="H4" s="2" t="s">
        <v>330</v>
      </c>
      <c r="I4" s="2" t="s">
        <v>331</v>
      </c>
      <c r="J4" s="2" t="s">
        <v>339</v>
      </c>
      <c r="K4" s="2" t="s">
        <v>340</v>
      </c>
      <c r="L4" s="2" t="s">
        <v>343</v>
      </c>
      <c r="M4" s="2" t="s">
        <v>358</v>
      </c>
    </row>
    <row r="5" spans="3:16">
      <c r="C5" t="s">
        <v>332</v>
      </c>
      <c r="D5">
        <v>4972.3500000000004</v>
      </c>
      <c r="E5">
        <v>136308.25</v>
      </c>
      <c r="F5">
        <v>403.86</v>
      </c>
      <c r="G5">
        <v>0.02</v>
      </c>
      <c r="H5">
        <v>136504.23000000001</v>
      </c>
      <c r="I5">
        <v>1092.3399999999999</v>
      </c>
      <c r="J5">
        <v>17885.28</v>
      </c>
      <c r="K5">
        <v>4442.74</v>
      </c>
      <c r="L5">
        <f>F5/G5</f>
        <v>20193</v>
      </c>
    </row>
    <row r="6" spans="3:16">
      <c r="C6" t="s">
        <v>333</v>
      </c>
      <c r="D6">
        <v>2485</v>
      </c>
      <c r="E6">
        <v>118059.15</v>
      </c>
      <c r="F6">
        <v>14618.8</v>
      </c>
      <c r="G6">
        <v>1.88</v>
      </c>
      <c r="H6">
        <v>129108.15</v>
      </c>
      <c r="I6">
        <v>1044.51</v>
      </c>
      <c r="J6">
        <v>42885.64</v>
      </c>
      <c r="K6">
        <v>2093.83</v>
      </c>
      <c r="L6">
        <f t="shared" ref="L6:L11" si="0">F6/G6</f>
        <v>7775.9574468085111</v>
      </c>
      <c r="M6" s="75">
        <v>0.34</v>
      </c>
    </row>
    <row r="7" spans="3:16">
      <c r="C7" t="s">
        <v>334</v>
      </c>
      <c r="D7">
        <v>4085.55</v>
      </c>
      <c r="E7">
        <v>81715.429999999993</v>
      </c>
      <c r="F7">
        <v>588.07000000000005</v>
      </c>
      <c r="G7">
        <v>0.03</v>
      </c>
      <c r="H7">
        <v>82004.31</v>
      </c>
      <c r="I7">
        <v>1409.18</v>
      </c>
      <c r="J7">
        <v>40570.29</v>
      </c>
      <c r="K7">
        <v>4150.5200000000004</v>
      </c>
      <c r="L7">
        <f t="shared" si="0"/>
        <v>19602.333333333336</v>
      </c>
      <c r="M7" s="75">
        <v>0.26</v>
      </c>
    </row>
    <row r="8" spans="3:16">
      <c r="C8" t="s">
        <v>335</v>
      </c>
      <c r="D8">
        <v>65.260000000000005</v>
      </c>
      <c r="E8">
        <v>28785.08</v>
      </c>
      <c r="F8">
        <v>3355</v>
      </c>
      <c r="G8">
        <v>0.51</v>
      </c>
      <c r="H8">
        <v>26222.080000000002</v>
      </c>
      <c r="I8">
        <v>0</v>
      </c>
      <c r="J8">
        <v>5501</v>
      </c>
      <c r="K8">
        <v>-1822</v>
      </c>
      <c r="L8">
        <f t="shared" si="0"/>
        <v>6578.4313725490192</v>
      </c>
      <c r="M8" s="75">
        <v>0</v>
      </c>
    </row>
    <row r="9" spans="3:16">
      <c r="C9" t="s">
        <v>336</v>
      </c>
      <c r="D9">
        <v>31.79</v>
      </c>
      <c r="E9">
        <v>828.75</v>
      </c>
      <c r="F9">
        <v>176.52</v>
      </c>
      <c r="G9">
        <v>1.78</v>
      </c>
      <c r="H9">
        <v>975.72</v>
      </c>
      <c r="I9">
        <v>2.59</v>
      </c>
      <c r="J9">
        <v>321.42</v>
      </c>
      <c r="K9">
        <v>4.58</v>
      </c>
      <c r="L9">
        <f t="shared" si="0"/>
        <v>99.168539325842701</v>
      </c>
      <c r="M9" s="75">
        <v>0.31</v>
      </c>
    </row>
    <row r="10" spans="3:16">
      <c r="C10" t="s">
        <v>337</v>
      </c>
      <c r="D10">
        <v>13.75</v>
      </c>
      <c r="E10">
        <v>722.5</v>
      </c>
      <c r="F10">
        <v>6.27</v>
      </c>
      <c r="G10">
        <v>0.04</v>
      </c>
      <c r="H10">
        <v>727.86</v>
      </c>
      <c r="I10">
        <v>0</v>
      </c>
      <c r="J10">
        <v>63.09</v>
      </c>
      <c r="K10">
        <v>1.68</v>
      </c>
      <c r="L10">
        <f t="shared" si="0"/>
        <v>156.75</v>
      </c>
      <c r="M10" s="75">
        <v>0.28420000000000001</v>
      </c>
    </row>
    <row r="11" spans="3:16">
      <c r="C11" t="s">
        <v>338</v>
      </c>
      <c r="D11">
        <v>40.4</v>
      </c>
      <c r="E11">
        <v>223.42</v>
      </c>
      <c r="F11">
        <v>37.25</v>
      </c>
      <c r="G11">
        <v>0.4</v>
      </c>
      <c r="H11">
        <v>245.91</v>
      </c>
      <c r="I11">
        <v>3.83</v>
      </c>
      <c r="J11">
        <v>104.6</v>
      </c>
      <c r="K11">
        <v>11.81</v>
      </c>
      <c r="L11">
        <f t="shared" si="0"/>
        <v>93.125</v>
      </c>
      <c r="M11" s="75">
        <v>0.24</v>
      </c>
    </row>
    <row r="12" spans="3:16">
      <c r="C12" t="s">
        <v>362</v>
      </c>
      <c r="D12">
        <v>8762</v>
      </c>
      <c r="E12">
        <v>244685.52</v>
      </c>
      <c r="F12">
        <v>5245.29</v>
      </c>
      <c r="G12">
        <v>0.17</v>
      </c>
      <c r="J12">
        <f>F12/G12</f>
        <v>30854.647058823528</v>
      </c>
    </row>
    <row r="13" spans="3:16">
      <c r="G13">
        <f>F12/J12</f>
        <v>0.17</v>
      </c>
      <c r="I13">
        <f>E12/J12</f>
        <v>7.9302647518059057</v>
      </c>
    </row>
    <row r="14" spans="3:16">
      <c r="D14" s="2" t="s">
        <v>317</v>
      </c>
      <c r="E14" s="2" t="s">
        <v>326</v>
      </c>
      <c r="F14" s="2" t="s">
        <v>327</v>
      </c>
      <c r="G14" s="2" t="s">
        <v>328</v>
      </c>
      <c r="H14" s="2" t="s">
        <v>329</v>
      </c>
      <c r="I14" s="2" t="s">
        <v>330</v>
      </c>
      <c r="J14" s="2" t="s">
        <v>331</v>
      </c>
      <c r="K14" s="2" t="s">
        <v>339</v>
      </c>
      <c r="L14" s="2" t="s">
        <v>340</v>
      </c>
      <c r="M14" s="2" t="s">
        <v>343</v>
      </c>
      <c r="N14" s="2" t="s">
        <v>358</v>
      </c>
    </row>
    <row r="15" spans="3:16">
      <c r="C15">
        <v>1</v>
      </c>
      <c r="D15" t="s">
        <v>332</v>
      </c>
      <c r="E15">
        <v>4972.3500000000004</v>
      </c>
      <c r="F15">
        <v>136308.25</v>
      </c>
      <c r="G15">
        <v>403.86</v>
      </c>
      <c r="H15">
        <v>0.02</v>
      </c>
      <c r="I15">
        <v>136504.23000000001</v>
      </c>
      <c r="J15">
        <v>1092.3399999999999</v>
      </c>
      <c r="K15">
        <v>17885.28</v>
      </c>
      <c r="L15">
        <v>4442.74</v>
      </c>
      <c r="M15">
        <f>G15/H15</f>
        <v>20193</v>
      </c>
      <c r="P15">
        <v>100</v>
      </c>
    </row>
    <row r="16" spans="3:16">
      <c r="C16">
        <v>2</v>
      </c>
      <c r="D16" t="s">
        <v>333</v>
      </c>
      <c r="E16">
        <v>2485</v>
      </c>
      <c r="F16">
        <v>118059.15</v>
      </c>
      <c r="G16">
        <v>14618.8</v>
      </c>
      <c r="H16">
        <v>1.88</v>
      </c>
      <c r="I16">
        <v>129108.15</v>
      </c>
      <c r="J16">
        <v>1044.51</v>
      </c>
      <c r="K16">
        <v>42885.64</v>
      </c>
      <c r="L16">
        <v>2093.83</v>
      </c>
      <c r="M16">
        <f t="shared" ref="M16:M21" si="1">G16/H16</f>
        <v>7775.9574468085111</v>
      </c>
      <c r="N16" s="75">
        <v>0.34</v>
      </c>
    </row>
    <row r="17" spans="3:14">
      <c r="C17">
        <v>3</v>
      </c>
      <c r="D17" t="s">
        <v>334</v>
      </c>
      <c r="E17">
        <v>4085.55</v>
      </c>
      <c r="F17">
        <v>81715.429999999993</v>
      </c>
      <c r="G17">
        <v>588.07000000000005</v>
      </c>
      <c r="H17">
        <v>0.03</v>
      </c>
      <c r="I17">
        <v>82004.31</v>
      </c>
      <c r="J17">
        <v>1409.18</v>
      </c>
      <c r="K17">
        <v>40570.29</v>
      </c>
      <c r="L17">
        <v>4150.5200000000004</v>
      </c>
      <c r="M17">
        <f t="shared" si="1"/>
        <v>19602.333333333336</v>
      </c>
      <c r="N17" s="75">
        <v>0.26</v>
      </c>
    </row>
    <row r="18" spans="3:14">
      <c r="C18">
        <v>4</v>
      </c>
      <c r="D18" t="s">
        <v>335</v>
      </c>
      <c r="E18">
        <v>65.260000000000005</v>
      </c>
      <c r="F18">
        <v>28785.08</v>
      </c>
      <c r="G18">
        <v>3355</v>
      </c>
      <c r="H18">
        <v>0.51</v>
      </c>
      <c r="I18">
        <v>26222.080000000002</v>
      </c>
      <c r="J18">
        <v>0</v>
      </c>
      <c r="K18">
        <v>5501</v>
      </c>
      <c r="L18">
        <v>-1822</v>
      </c>
      <c r="M18">
        <f t="shared" si="1"/>
        <v>6578.4313725490192</v>
      </c>
      <c r="N18" s="75">
        <v>0</v>
      </c>
    </row>
    <row r="19" spans="3:14">
      <c r="C19">
        <v>5</v>
      </c>
      <c r="D19" t="s">
        <v>336</v>
      </c>
      <c r="E19">
        <v>31.79</v>
      </c>
      <c r="F19">
        <v>828.75</v>
      </c>
      <c r="G19">
        <v>176.52</v>
      </c>
      <c r="H19">
        <v>1.78</v>
      </c>
      <c r="I19">
        <v>975.72</v>
      </c>
      <c r="J19">
        <v>2.59</v>
      </c>
      <c r="K19">
        <v>321.42</v>
      </c>
      <c r="L19">
        <v>4.58</v>
      </c>
      <c r="M19">
        <f t="shared" si="1"/>
        <v>99.168539325842701</v>
      </c>
      <c r="N19" s="75">
        <v>0.31</v>
      </c>
    </row>
    <row r="20" spans="3:14">
      <c r="C20">
        <v>6</v>
      </c>
      <c r="D20" t="s">
        <v>337</v>
      </c>
      <c r="E20">
        <v>13.75</v>
      </c>
      <c r="F20">
        <v>722.5</v>
      </c>
      <c r="G20">
        <v>6.27</v>
      </c>
      <c r="H20">
        <v>0.04</v>
      </c>
      <c r="I20">
        <v>727.86</v>
      </c>
      <c r="J20">
        <v>0</v>
      </c>
      <c r="K20">
        <v>63.09</v>
      </c>
      <c r="L20">
        <v>1.68</v>
      </c>
      <c r="M20">
        <f t="shared" si="1"/>
        <v>156.75</v>
      </c>
      <c r="N20" s="75">
        <v>0.28420000000000001</v>
      </c>
    </row>
    <row r="21" spans="3:14">
      <c r="C21">
        <v>7</v>
      </c>
      <c r="D21" t="s">
        <v>338</v>
      </c>
      <c r="E21">
        <v>40.4</v>
      </c>
      <c r="F21">
        <v>223.42</v>
      </c>
      <c r="G21">
        <v>37.25</v>
      </c>
      <c r="H21">
        <v>0.4</v>
      </c>
      <c r="I21">
        <v>245.91</v>
      </c>
      <c r="J21">
        <v>3.83</v>
      </c>
      <c r="K21">
        <v>104.6</v>
      </c>
      <c r="L21">
        <v>11.81</v>
      </c>
      <c r="M21">
        <f t="shared" si="1"/>
        <v>93.125</v>
      </c>
      <c r="N21" s="75">
        <v>0.24</v>
      </c>
    </row>
    <row r="24" spans="3:14">
      <c r="E24" t="s">
        <v>317</v>
      </c>
      <c r="F24" t="s">
        <v>326</v>
      </c>
      <c r="G24" t="s">
        <v>419</v>
      </c>
      <c r="H24" t="s">
        <v>330</v>
      </c>
      <c r="I24" t="s">
        <v>381</v>
      </c>
      <c r="K24">
        <f>G15/M15</f>
        <v>0.02</v>
      </c>
    </row>
    <row r="25" spans="3:14">
      <c r="D25">
        <v>1</v>
      </c>
      <c r="E25" t="s">
        <v>332</v>
      </c>
      <c r="F25">
        <v>4703.3500000000004</v>
      </c>
      <c r="G25">
        <v>20.190000000000001</v>
      </c>
      <c r="H25">
        <v>129138.49</v>
      </c>
      <c r="I25">
        <f>H25/G25</f>
        <v>6396.1609707776124</v>
      </c>
      <c r="J25">
        <f>H25/I25</f>
        <v>20.190000000000001</v>
      </c>
    </row>
    <row r="26" spans="3:14">
      <c r="D26">
        <v>2</v>
      </c>
      <c r="E26" t="s">
        <v>333</v>
      </c>
      <c r="F26">
        <v>2401.4</v>
      </c>
      <c r="G26">
        <v>19.91</v>
      </c>
      <c r="H26">
        <v>125136.42</v>
      </c>
      <c r="I26">
        <f t="shared" ref="I26:I29" si="2">H26/G26</f>
        <v>6285.1039678553489</v>
      </c>
      <c r="J26">
        <f>H26/I26</f>
        <v>19.91</v>
      </c>
    </row>
    <row r="27" spans="3:14">
      <c r="D27">
        <v>3</v>
      </c>
      <c r="E27" t="s">
        <v>334</v>
      </c>
      <c r="F27">
        <v>3862.4</v>
      </c>
      <c r="G27">
        <v>11.86</v>
      </c>
      <c r="H27">
        <v>77541.06</v>
      </c>
      <c r="I27">
        <f t="shared" si="2"/>
        <v>6538.0320404721751</v>
      </c>
      <c r="J27">
        <f t="shared" ref="J27:J29" si="3">H27/I27</f>
        <v>11.86</v>
      </c>
    </row>
    <row r="28" spans="3:14">
      <c r="D28">
        <v>4</v>
      </c>
      <c r="E28" t="s">
        <v>335</v>
      </c>
      <c r="F28">
        <v>60.87</v>
      </c>
      <c r="G28">
        <v>-24.73</v>
      </c>
      <c r="H28">
        <v>24285.72</v>
      </c>
      <c r="I28">
        <f t="shared" si="2"/>
        <v>-982.0347755762233</v>
      </c>
      <c r="J28">
        <f t="shared" si="3"/>
        <v>-24.73</v>
      </c>
    </row>
    <row r="29" spans="3:14">
      <c r="D29">
        <v>5</v>
      </c>
      <c r="E29" t="s">
        <v>362</v>
      </c>
      <c r="F29">
        <v>8506.5</v>
      </c>
      <c r="G29">
        <v>21.92</v>
      </c>
      <c r="H29">
        <v>241242.57</v>
      </c>
      <c r="I29">
        <f t="shared" si="2"/>
        <v>11005.591697080292</v>
      </c>
      <c r="J29">
        <f t="shared" si="3"/>
        <v>21.92</v>
      </c>
    </row>
    <row r="30" spans="3:14">
      <c r="D30">
        <v>6</v>
      </c>
    </row>
    <row r="31" spans="3:14">
      <c r="D31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2231-6BF1-4160-8A2E-2DAEDDAC792E}">
  <dimension ref="C3:C77"/>
  <sheetViews>
    <sheetView workbookViewId="0">
      <selection activeCell="K57" sqref="K57"/>
    </sheetView>
  </sheetViews>
  <sheetFormatPr defaultRowHeight="15"/>
  <cols>
    <col min="1" max="1" width="4.7109375" customWidth="1"/>
    <col min="2" max="2" width="5.85546875" customWidth="1"/>
    <col min="3" max="3" width="13.42578125" bestFit="1" customWidth="1"/>
  </cols>
  <sheetData>
    <row r="3" spans="3:3">
      <c r="C3" s="2" t="s">
        <v>332</v>
      </c>
    </row>
    <row r="38" spans="3:3">
      <c r="C38" s="103"/>
    </row>
    <row r="74" spans="3:3">
      <c r="C74" s="103"/>
    </row>
    <row r="77" spans="3:3">
      <c r="C77" s="10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A3DC-A682-4265-940C-BF4A52ABF833}">
  <dimension ref="B4:AA37"/>
  <sheetViews>
    <sheetView topLeftCell="H6" workbookViewId="0">
      <selection activeCell="Y6" sqref="Y6"/>
    </sheetView>
  </sheetViews>
  <sheetFormatPr defaultRowHeight="15"/>
  <cols>
    <col min="1" max="1" width="5.28515625" customWidth="1"/>
    <col min="2" max="2" width="4.85546875" customWidth="1"/>
    <col min="3" max="3" width="24" bestFit="1" customWidth="1"/>
    <col min="6" max="8" width="12.28515625" bestFit="1" customWidth="1"/>
    <col min="9" max="10" width="11.85546875" bestFit="1" customWidth="1"/>
  </cols>
  <sheetData>
    <row r="4" spans="2:27" ht="15.75" thickBot="1">
      <c r="B4" t="s">
        <v>116</v>
      </c>
      <c r="C4" t="s">
        <v>206</v>
      </c>
    </row>
    <row r="5" spans="2:27" ht="15.75" thickBot="1">
      <c r="F5" s="35" t="s">
        <v>94</v>
      </c>
      <c r="G5" s="36" t="s">
        <v>95</v>
      </c>
      <c r="H5" s="36" t="s">
        <v>96</v>
      </c>
      <c r="I5" s="36" t="s">
        <v>97</v>
      </c>
      <c r="J5" s="36" t="s">
        <v>98</v>
      </c>
      <c r="K5" s="36" t="s">
        <v>103</v>
      </c>
      <c r="L5" s="36" t="s">
        <v>99</v>
      </c>
      <c r="M5" s="36" t="s">
        <v>100</v>
      </c>
      <c r="N5" s="36" t="s">
        <v>101</v>
      </c>
    </row>
    <row r="6" spans="2:27">
      <c r="C6" t="s">
        <v>207</v>
      </c>
      <c r="F6" s="71">
        <v>365</v>
      </c>
      <c r="G6" s="71">
        <v>365</v>
      </c>
      <c r="H6" s="71">
        <v>365</v>
      </c>
      <c r="I6" s="71">
        <v>365</v>
      </c>
      <c r="J6" s="71">
        <v>365</v>
      </c>
      <c r="K6" s="71">
        <v>365</v>
      </c>
      <c r="L6" s="71">
        <v>365</v>
      </c>
      <c r="M6" s="71">
        <v>365</v>
      </c>
      <c r="N6" s="71">
        <v>365</v>
      </c>
      <c r="X6">
        <v>2025</v>
      </c>
      <c r="Y6">
        <f>X6+1</f>
        <v>2026</v>
      </c>
      <c r="Z6">
        <f t="shared" ref="Z6:AA6" si="0">Y6+1</f>
        <v>2027</v>
      </c>
      <c r="AA6">
        <f t="shared" si="0"/>
        <v>2028</v>
      </c>
    </row>
    <row r="7" spans="2:27">
      <c r="C7" t="s">
        <v>208</v>
      </c>
      <c r="F7">
        <f>'Income Statement'!E7</f>
        <v>9153.58</v>
      </c>
      <c r="G7">
        <f>'Income Statement'!F7</f>
        <v>8720.35</v>
      </c>
      <c r="H7">
        <f>'Income Statement'!G7</f>
        <v>10297.83</v>
      </c>
      <c r="I7">
        <f>'Income Statement'!H7</f>
        <v>14442.18</v>
      </c>
      <c r="J7">
        <f>'Income Statement'!I7</f>
        <v>16535.78</v>
      </c>
    </row>
    <row r="8" spans="2:27">
      <c r="C8" t="s">
        <v>209</v>
      </c>
      <c r="F8">
        <f>'Income Statement'!E10</f>
        <v>6113.8899999999994</v>
      </c>
      <c r="G8">
        <f>'Income Statement'!F10</f>
        <v>6261.01</v>
      </c>
      <c r="H8">
        <f>'Income Statement'!G10</f>
        <v>7167.9</v>
      </c>
      <c r="I8">
        <f>'Income Statement'!H10</f>
        <v>9689.9</v>
      </c>
      <c r="J8">
        <f>'Income Statement'!I10</f>
        <v>10700.980000000001</v>
      </c>
      <c r="X8" t="e">
        <f>W8*(1+G11)</f>
        <v>#DIV/0!</v>
      </c>
      <c r="Y8" t="e">
        <f>X8*(1+H11)</f>
        <v>#DIV/0!</v>
      </c>
      <c r="Z8" t="e">
        <f>Y8*(1+I11)</f>
        <v>#DIV/0!</v>
      </c>
    </row>
    <row r="10" spans="2:27">
      <c r="G10" s="76"/>
      <c r="H10" s="76"/>
      <c r="I10" s="76"/>
      <c r="J10" s="76"/>
    </row>
    <row r="11" spans="2:27">
      <c r="D11" t="s">
        <v>221</v>
      </c>
      <c r="G11" t="e">
        <f>(W8/S8)^(1/5)-1</f>
        <v>#DIV/0!</v>
      </c>
      <c r="H11" t="e">
        <f>(X8/T8)^(1/5)-1</f>
        <v>#DIV/0!</v>
      </c>
      <c r="I11" t="e">
        <f>(Y8/U8)^(1/5)-1</f>
        <v>#DIV/0!</v>
      </c>
    </row>
    <row r="12" spans="2:27">
      <c r="C12" s="2" t="s">
        <v>210</v>
      </c>
    </row>
    <row r="14" spans="2:27">
      <c r="C14" s="6" t="s">
        <v>78</v>
      </c>
      <c r="D14" t="s">
        <v>215</v>
      </c>
      <c r="F14" s="71">
        <f>F21/F7*F6</f>
        <v>0</v>
      </c>
      <c r="G14" s="71">
        <f t="shared" ref="G14:J14" si="1">G21/G7*G6</f>
        <v>-3.0554966257088303</v>
      </c>
      <c r="H14" s="71">
        <f t="shared" si="1"/>
        <v>-5.2103210093777035</v>
      </c>
      <c r="I14" s="71">
        <f t="shared" si="1"/>
        <v>-1.4911183768655423</v>
      </c>
      <c r="J14" s="71">
        <f t="shared" si="1"/>
        <v>-0.11036673201989866</v>
      </c>
    </row>
    <row r="15" spans="2:27">
      <c r="C15" s="6" t="s">
        <v>45</v>
      </c>
      <c r="D15" t="s">
        <v>215</v>
      </c>
      <c r="F15" s="71">
        <f>F22/F8*F6</f>
        <v>3.6417076525747119</v>
      </c>
      <c r="G15" s="71">
        <f t="shared" ref="G15:J15" si="2">G22/G8*G6</f>
        <v>-17.605785648002477</v>
      </c>
      <c r="H15" s="71">
        <f t="shared" si="2"/>
        <v>-13.137739086761812</v>
      </c>
      <c r="I15" s="71">
        <f t="shared" si="2"/>
        <v>-5.4995407589345611</v>
      </c>
      <c r="J15" s="71">
        <f t="shared" si="2"/>
        <v>-4.4682823442338915</v>
      </c>
    </row>
    <row r="16" spans="2:27">
      <c r="C16" s="32" t="s">
        <v>162</v>
      </c>
      <c r="D16" t="s">
        <v>215</v>
      </c>
      <c r="F16" s="71">
        <f>F23/F8*F6</f>
        <v>-14.029529481230446</v>
      </c>
      <c r="G16" s="71">
        <f t="shared" ref="G16:J16" si="3">G23/G8*G6</f>
        <v>28.857165217752407</v>
      </c>
      <c r="H16" s="71">
        <f t="shared" si="3"/>
        <v>14.410775819975168</v>
      </c>
      <c r="I16" s="71">
        <f t="shared" si="3"/>
        <v>0.8286979225791804</v>
      </c>
      <c r="J16" s="71">
        <f t="shared" si="3"/>
        <v>10.36914376066491</v>
      </c>
    </row>
    <row r="19" spans="2:10">
      <c r="C19" t="s">
        <v>211</v>
      </c>
    </row>
    <row r="21" spans="2:10">
      <c r="C21" s="6" t="s">
        <v>78</v>
      </c>
      <c r="F21" s="25">
        <f>F28</f>
        <v>0</v>
      </c>
      <c r="G21" s="25">
        <f t="shared" ref="G21:J21" si="4">G28</f>
        <v>-73</v>
      </c>
      <c r="H21" s="25">
        <f t="shared" si="4"/>
        <v>-147</v>
      </c>
      <c r="I21" s="25">
        <f t="shared" si="4"/>
        <v>-59</v>
      </c>
      <c r="J21" s="25">
        <f t="shared" si="4"/>
        <v>-5</v>
      </c>
    </row>
    <row r="22" spans="2:10">
      <c r="C22" s="6" t="s">
        <v>45</v>
      </c>
      <c r="F22" s="25">
        <f>F29</f>
        <v>61</v>
      </c>
      <c r="G22" s="25">
        <f t="shared" ref="G22:J22" si="5">G29</f>
        <v>-302</v>
      </c>
      <c r="H22" s="25">
        <f t="shared" si="5"/>
        <v>-258</v>
      </c>
      <c r="I22" s="25">
        <f t="shared" si="5"/>
        <v>-146</v>
      </c>
      <c r="J22" s="25">
        <f t="shared" si="5"/>
        <v>-131</v>
      </c>
    </row>
    <row r="23" spans="2:10">
      <c r="C23" s="32" t="s">
        <v>162</v>
      </c>
      <c r="F23" s="25">
        <f>F33</f>
        <v>-235</v>
      </c>
      <c r="G23" s="25">
        <f t="shared" ref="G23:J23" si="6">G33</f>
        <v>495</v>
      </c>
      <c r="H23" s="25">
        <f t="shared" si="6"/>
        <v>283</v>
      </c>
      <c r="I23" s="25">
        <f t="shared" si="6"/>
        <v>22</v>
      </c>
      <c r="J23" s="25">
        <f t="shared" si="6"/>
        <v>304</v>
      </c>
    </row>
    <row r="26" spans="2:10">
      <c r="B26" t="s">
        <v>116</v>
      </c>
      <c r="C26" s="2" t="s">
        <v>212</v>
      </c>
    </row>
    <row r="27" spans="2:10">
      <c r="C27" t="s">
        <v>213</v>
      </c>
    </row>
    <row r="28" spans="2:10">
      <c r="C28" s="72" t="str">
        <f>'Income Statement'!C89</f>
        <v>Receivables</v>
      </c>
      <c r="F28" s="25">
        <f>'Income Statement'!E89</f>
        <v>0</v>
      </c>
      <c r="G28" s="25">
        <f>'Income Statement'!F89</f>
        <v>-73</v>
      </c>
      <c r="H28" s="25">
        <f>'Income Statement'!G89</f>
        <v>-147</v>
      </c>
      <c r="I28" s="25">
        <f>'Income Statement'!H89</f>
        <v>-59</v>
      </c>
      <c r="J28" s="25">
        <f>'Income Statement'!I89</f>
        <v>-5</v>
      </c>
    </row>
    <row r="29" spans="2:10">
      <c r="C29" s="72" t="str">
        <f>'Income Statement'!C90</f>
        <v>Inventory</v>
      </c>
      <c r="F29" s="25">
        <f>'Income Statement'!E90</f>
        <v>61</v>
      </c>
      <c r="G29" s="25">
        <f>'Income Statement'!F90</f>
        <v>-302</v>
      </c>
      <c r="H29" s="25">
        <f>'Income Statement'!G90</f>
        <v>-258</v>
      </c>
      <c r="I29" s="25">
        <f>'Income Statement'!H90</f>
        <v>-146</v>
      </c>
      <c r="J29" s="25">
        <f>'Income Statement'!I90</f>
        <v>-131</v>
      </c>
    </row>
    <row r="30" spans="2:10">
      <c r="C30" s="72" t="str">
        <f>'Income Statement'!C92</f>
        <v>Loans Advances</v>
      </c>
      <c r="F30" s="25">
        <f>'Income Statement'!E92</f>
        <v>1</v>
      </c>
      <c r="G30" s="25">
        <f>'Income Statement'!F92</f>
        <v>0</v>
      </c>
      <c r="H30" s="25">
        <f>'Income Statement'!G92</f>
        <v>0</v>
      </c>
      <c r="I30" s="25">
        <f>'Income Statement'!H92</f>
        <v>0</v>
      </c>
      <c r="J30" s="25">
        <f>'Income Statement'!I92</f>
        <v>0</v>
      </c>
    </row>
    <row r="31" spans="2:10">
      <c r="C31" s="2" t="s">
        <v>213</v>
      </c>
      <c r="F31" s="67">
        <f>SUM(F28:F30)</f>
        <v>62</v>
      </c>
      <c r="G31" s="67">
        <f t="shared" ref="G31:J31" si="7">SUM(G28:G30)</f>
        <v>-375</v>
      </c>
      <c r="H31" s="67">
        <f t="shared" si="7"/>
        <v>-405</v>
      </c>
      <c r="I31" s="67">
        <f t="shared" si="7"/>
        <v>-205</v>
      </c>
      <c r="J31" s="67">
        <f t="shared" si="7"/>
        <v>-136</v>
      </c>
    </row>
    <row r="32" spans="2:10">
      <c r="C32" t="s">
        <v>214</v>
      </c>
      <c r="F32" s="25"/>
      <c r="G32" s="25"/>
      <c r="H32" s="25"/>
      <c r="I32" s="25"/>
      <c r="J32" s="25"/>
    </row>
    <row r="33" spans="3:10">
      <c r="C33" s="72" t="str">
        <f>'Income Statement'!C91</f>
        <v>Payables</v>
      </c>
      <c r="F33" s="25">
        <f>'Income Statement'!E91</f>
        <v>-235</v>
      </c>
      <c r="G33" s="25">
        <f>'Income Statement'!F91</f>
        <v>495</v>
      </c>
      <c r="H33" s="25">
        <f>'Income Statement'!G91</f>
        <v>283</v>
      </c>
      <c r="I33" s="25">
        <f>'Income Statement'!H91</f>
        <v>22</v>
      </c>
      <c r="J33" s="25">
        <f>'Income Statement'!I91</f>
        <v>304</v>
      </c>
    </row>
    <row r="34" spans="3:10">
      <c r="C34" s="2" t="s">
        <v>214</v>
      </c>
      <c r="F34" s="67">
        <f>F33</f>
        <v>-235</v>
      </c>
      <c r="G34" s="67">
        <f t="shared" ref="G34:J34" si="8">G33</f>
        <v>495</v>
      </c>
      <c r="H34" s="67">
        <f t="shared" si="8"/>
        <v>283</v>
      </c>
      <c r="I34" s="67">
        <f t="shared" si="8"/>
        <v>22</v>
      </c>
      <c r="J34" s="67">
        <f t="shared" si="8"/>
        <v>304</v>
      </c>
    </row>
    <row r="35" spans="3:10">
      <c r="C35" t="str">
        <f>'Income Statement'!C93</f>
        <v>Other WC items</v>
      </c>
      <c r="F35" s="67">
        <f>'Income Statement'!E93</f>
        <v>259</v>
      </c>
      <c r="G35" s="67">
        <f>'Income Statement'!F93</f>
        <v>115</v>
      </c>
      <c r="H35" s="67">
        <f>'Income Statement'!G93</f>
        <v>-10</v>
      </c>
      <c r="I35" s="67">
        <f>'Income Statement'!H93</f>
        <v>249</v>
      </c>
      <c r="J35" s="67">
        <f>'Income Statement'!I93</f>
        <v>220</v>
      </c>
    </row>
    <row r="36" spans="3:10">
      <c r="F36" s="25"/>
      <c r="G36" s="25"/>
      <c r="H36" s="25"/>
      <c r="I36" s="25"/>
      <c r="J36" s="25"/>
    </row>
    <row r="37" spans="3:10">
      <c r="C37" s="2" t="s">
        <v>212</v>
      </c>
      <c r="D37" s="2"/>
      <c r="E37" s="2"/>
      <c r="F37" s="67">
        <f>SUM(F35,F34,F31)</f>
        <v>86</v>
      </c>
      <c r="G37" s="67">
        <f t="shared" ref="G37:J37" si="9">SUM(G35,G34,G31)</f>
        <v>235</v>
      </c>
      <c r="H37" s="67">
        <f t="shared" si="9"/>
        <v>-132</v>
      </c>
      <c r="I37" s="67">
        <f t="shared" si="9"/>
        <v>66</v>
      </c>
      <c r="J37" s="67">
        <f t="shared" si="9"/>
        <v>388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6347-4A3A-4BB3-8C49-C33956486391}">
  <dimension ref="B4:AA31"/>
  <sheetViews>
    <sheetView workbookViewId="0">
      <selection activeCell="G7" sqref="G7"/>
    </sheetView>
  </sheetViews>
  <sheetFormatPr defaultRowHeight="15"/>
  <cols>
    <col min="2" max="2" width="28" bestFit="1" customWidth="1"/>
    <col min="3" max="7" width="17.140625" customWidth="1"/>
  </cols>
  <sheetData>
    <row r="4" spans="2:27">
      <c r="C4" s="50">
        <v>43891</v>
      </c>
      <c r="D4" s="50">
        <v>44256</v>
      </c>
      <c r="E4" s="50">
        <v>44621</v>
      </c>
      <c r="F4" s="50">
        <v>44986</v>
      </c>
      <c r="G4" s="50">
        <v>45352</v>
      </c>
    </row>
    <row r="5" spans="2:27">
      <c r="B5" s="2" t="s">
        <v>188</v>
      </c>
      <c r="C5" s="51">
        <v>1694</v>
      </c>
      <c r="D5" s="51">
        <v>1691</v>
      </c>
      <c r="E5" s="51">
        <v>1527</v>
      </c>
      <c r="F5" s="51">
        <v>2823</v>
      </c>
      <c r="G5" s="51">
        <v>3724</v>
      </c>
    </row>
    <row r="6" spans="2:27">
      <c r="B6" t="s">
        <v>189</v>
      </c>
      <c r="C6" s="49">
        <v>2236</v>
      </c>
      <c r="D6" s="49">
        <v>1912</v>
      </c>
      <c r="E6" s="49">
        <v>2172</v>
      </c>
      <c r="F6" s="49">
        <v>3527</v>
      </c>
      <c r="G6" s="49">
        <v>4404</v>
      </c>
      <c r="X6">
        <v>2025</v>
      </c>
      <c r="Y6">
        <f>X6+1</f>
        <v>2026</v>
      </c>
      <c r="Z6">
        <f t="shared" ref="Z6:AA6" si="0">Y6+1</f>
        <v>2027</v>
      </c>
      <c r="AA6">
        <f t="shared" si="0"/>
        <v>2028</v>
      </c>
    </row>
    <row r="7" spans="2:27">
      <c r="B7" t="s">
        <v>78</v>
      </c>
      <c r="C7">
        <v>0</v>
      </c>
      <c r="D7">
        <v>-73</v>
      </c>
      <c r="E7">
        <v>-147</v>
      </c>
      <c r="F7">
        <v>-59</v>
      </c>
      <c r="G7">
        <v>-5</v>
      </c>
    </row>
    <row r="8" spans="2:27">
      <c r="B8" t="s">
        <v>45</v>
      </c>
      <c r="C8">
        <v>61</v>
      </c>
      <c r="D8">
        <v>-302</v>
      </c>
      <c r="E8">
        <v>-258</v>
      </c>
      <c r="F8">
        <v>-146</v>
      </c>
      <c r="G8">
        <v>-131</v>
      </c>
      <c r="X8">
        <f>W8*(1+G11)</f>
        <v>0</v>
      </c>
      <c r="Y8" t="e">
        <f>X8*(1+H11)</f>
        <v>#DIV/0!</v>
      </c>
      <c r="Z8" t="e">
        <f>Y8*(1+I11)</f>
        <v>#DIV/0!</v>
      </c>
    </row>
    <row r="9" spans="2:27">
      <c r="B9" t="s">
        <v>161</v>
      </c>
      <c r="C9">
        <v>-235</v>
      </c>
      <c r="D9">
        <v>495</v>
      </c>
      <c r="E9">
        <v>283</v>
      </c>
      <c r="F9">
        <v>22</v>
      </c>
      <c r="G9">
        <v>304</v>
      </c>
    </row>
    <row r="10" spans="2:27">
      <c r="B10" t="s">
        <v>190</v>
      </c>
      <c r="C10">
        <v>1</v>
      </c>
      <c r="D10">
        <v>0</v>
      </c>
      <c r="E10">
        <v>0</v>
      </c>
      <c r="F10">
        <v>0</v>
      </c>
      <c r="G10" s="76">
        <v>0</v>
      </c>
      <c r="H10" s="76"/>
      <c r="I10" s="76"/>
      <c r="J10" s="76"/>
    </row>
    <row r="11" spans="2:27">
      <c r="B11" t="s">
        <v>191</v>
      </c>
      <c r="C11">
        <v>259</v>
      </c>
      <c r="D11">
        <v>115</v>
      </c>
      <c r="E11">
        <v>-10</v>
      </c>
      <c r="F11">
        <v>249</v>
      </c>
      <c r="G11">
        <v>220</v>
      </c>
      <c r="H11" t="e">
        <f>(X8/T8)^(1/5)-1</f>
        <v>#DIV/0!</v>
      </c>
      <c r="I11" t="e">
        <f>(Y8/U8)^(1/5)-1</f>
        <v>#DIV/0!</v>
      </c>
    </row>
    <row r="12" spans="2:27">
      <c r="B12" t="s">
        <v>192</v>
      </c>
      <c r="C12">
        <v>86</v>
      </c>
      <c r="D12">
        <v>235</v>
      </c>
      <c r="E12">
        <v>-131</v>
      </c>
      <c r="F12">
        <v>66</v>
      </c>
    </row>
    <row r="13" spans="2:27">
      <c r="B13" t="s">
        <v>193</v>
      </c>
      <c r="C13">
        <v>-628</v>
      </c>
      <c r="D13">
        <v>-457</v>
      </c>
      <c r="E13">
        <v>-514</v>
      </c>
      <c r="F13">
        <v>-770</v>
      </c>
      <c r="G13" s="49">
        <v>-1068</v>
      </c>
    </row>
    <row r="14" spans="2:27">
      <c r="B14" s="2" t="s">
        <v>170</v>
      </c>
      <c r="C14" s="51">
        <v>-1508</v>
      </c>
      <c r="D14" s="51">
        <v>-1625</v>
      </c>
      <c r="E14" s="2">
        <v>-983</v>
      </c>
      <c r="F14" s="51">
        <v>-2397</v>
      </c>
      <c r="G14" s="51">
        <v>-2834</v>
      </c>
    </row>
    <row r="15" spans="2:27">
      <c r="B15" t="s">
        <v>171</v>
      </c>
      <c r="C15">
        <v>-546</v>
      </c>
      <c r="D15">
        <v>-532</v>
      </c>
      <c r="E15">
        <v>-641</v>
      </c>
      <c r="F15">
        <v>-682</v>
      </c>
      <c r="G15">
        <v>-819</v>
      </c>
    </row>
    <row r="16" spans="2:27">
      <c r="B16" t="s">
        <v>172</v>
      </c>
      <c r="C16">
        <v>1</v>
      </c>
      <c r="D16">
        <v>17</v>
      </c>
      <c r="E16">
        <v>2</v>
      </c>
      <c r="F16">
        <v>9</v>
      </c>
      <c r="G16">
        <v>4</v>
      </c>
    </row>
    <row r="17" spans="2:7">
      <c r="B17" t="s">
        <v>173</v>
      </c>
      <c r="C17" s="49">
        <v>-8746</v>
      </c>
      <c r="D17" s="49">
        <v>-3983</v>
      </c>
      <c r="E17" s="49">
        <v>-7134</v>
      </c>
      <c r="F17" s="49">
        <v>-9103</v>
      </c>
      <c r="G17" s="49">
        <v>-6106</v>
      </c>
    </row>
    <row r="18" spans="2:7">
      <c r="B18" t="s">
        <v>174</v>
      </c>
      <c r="C18" s="49">
        <v>8176</v>
      </c>
      <c r="D18" s="49">
        <v>5971</v>
      </c>
      <c r="E18" s="49">
        <v>3500</v>
      </c>
      <c r="F18" s="49">
        <v>5080</v>
      </c>
      <c r="G18" s="49">
        <v>5968</v>
      </c>
    </row>
    <row r="19" spans="2:7">
      <c r="B19" t="s">
        <v>175</v>
      </c>
      <c r="C19">
        <v>204</v>
      </c>
      <c r="D19">
        <v>192</v>
      </c>
      <c r="E19">
        <v>398</v>
      </c>
      <c r="F19">
        <v>204</v>
      </c>
      <c r="G19">
        <v>112</v>
      </c>
    </row>
    <row r="20" spans="2:7">
      <c r="B20" t="s">
        <v>176</v>
      </c>
      <c r="C20">
        <v>68</v>
      </c>
      <c r="D20">
        <v>0</v>
      </c>
      <c r="E20">
        <v>27</v>
      </c>
      <c r="F20">
        <v>41</v>
      </c>
      <c r="G20">
        <v>95</v>
      </c>
    </row>
    <row r="21" spans="2:7">
      <c r="B21" t="s">
        <v>177</v>
      </c>
      <c r="C21">
        <v>-1</v>
      </c>
      <c r="D21">
        <v>0</v>
      </c>
      <c r="E21">
        <v>0</v>
      </c>
      <c r="F21">
        <v>0</v>
      </c>
      <c r="G21">
        <v>0</v>
      </c>
    </row>
    <row r="22" spans="2:7">
      <c r="B22" t="s">
        <v>178</v>
      </c>
      <c r="C22">
        <v>-665</v>
      </c>
      <c r="D22" s="49">
        <v>-3290</v>
      </c>
      <c r="E22" s="49">
        <v>2864</v>
      </c>
      <c r="F22" s="49">
        <v>2055</v>
      </c>
      <c r="G22" s="49">
        <v>-2089</v>
      </c>
    </row>
    <row r="23" spans="2:7">
      <c r="B23" s="2" t="s">
        <v>194</v>
      </c>
      <c r="C23" s="2">
        <v>-858</v>
      </c>
      <c r="D23" s="2">
        <v>-15</v>
      </c>
      <c r="E23" s="2">
        <v>-593</v>
      </c>
      <c r="F23" s="2">
        <v>-417</v>
      </c>
      <c r="G23" s="2">
        <v>-844</v>
      </c>
    </row>
    <row r="24" spans="2:7">
      <c r="B24" t="s">
        <v>195</v>
      </c>
      <c r="C24">
        <v>29</v>
      </c>
      <c r="D24">
        <v>38</v>
      </c>
      <c r="E24">
        <v>6</v>
      </c>
      <c r="F24">
        <v>11</v>
      </c>
      <c r="G24">
        <v>47</v>
      </c>
    </row>
    <row r="25" spans="2:7">
      <c r="B25" t="s">
        <v>196</v>
      </c>
      <c r="C25">
        <v>267</v>
      </c>
      <c r="D25">
        <v>40</v>
      </c>
      <c r="E25">
        <v>32</v>
      </c>
      <c r="F25">
        <v>202</v>
      </c>
      <c r="G25">
        <v>322</v>
      </c>
    </row>
    <row r="26" spans="2:7">
      <c r="B26" t="s">
        <v>197</v>
      </c>
      <c r="C26">
        <v>-298</v>
      </c>
      <c r="D26">
        <v>-27</v>
      </c>
      <c r="E26">
        <v>-137</v>
      </c>
      <c r="F26">
        <v>-20</v>
      </c>
      <c r="G26">
        <v>-127</v>
      </c>
    </row>
    <row r="27" spans="2:7">
      <c r="B27" t="s">
        <v>198</v>
      </c>
      <c r="C27">
        <v>-8</v>
      </c>
      <c r="D27">
        <v>-16</v>
      </c>
      <c r="E27">
        <v>-19</v>
      </c>
      <c r="F27">
        <v>-18</v>
      </c>
      <c r="G27">
        <v>-35</v>
      </c>
    </row>
    <row r="28" spans="2:7">
      <c r="B28" t="s">
        <v>199</v>
      </c>
      <c r="C28">
        <v>-682</v>
      </c>
      <c r="D28">
        <v>0</v>
      </c>
      <c r="E28">
        <v>-465</v>
      </c>
      <c r="F28">
        <v>-574</v>
      </c>
      <c r="G28" s="49">
        <v>-1013</v>
      </c>
    </row>
    <row r="29" spans="2:7">
      <c r="B29" t="s">
        <v>200</v>
      </c>
      <c r="C29">
        <v>-40</v>
      </c>
      <c r="D29">
        <v>-39</v>
      </c>
      <c r="E29">
        <v>-17</v>
      </c>
      <c r="F29">
        <v>-19</v>
      </c>
      <c r="G29">
        <v>-37</v>
      </c>
    </row>
    <row r="30" spans="2:7">
      <c r="B30" t="s">
        <v>201</v>
      </c>
      <c r="C30">
        <v>-126</v>
      </c>
      <c r="D30">
        <v>-11</v>
      </c>
      <c r="E30">
        <v>5</v>
      </c>
      <c r="F30">
        <v>0</v>
      </c>
      <c r="G30">
        <v>0</v>
      </c>
    </row>
    <row r="31" spans="2:7">
      <c r="B31" s="2" t="s">
        <v>35</v>
      </c>
      <c r="C31" s="2">
        <v>-673</v>
      </c>
      <c r="D31" s="2">
        <v>51</v>
      </c>
      <c r="E31" s="2">
        <v>-50</v>
      </c>
      <c r="F31" s="2">
        <v>8</v>
      </c>
      <c r="G31" s="2">
        <v>45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9CA9-EA50-4CFF-834A-25B52423745F}">
  <dimension ref="C3:M44"/>
  <sheetViews>
    <sheetView workbookViewId="0">
      <selection activeCell="C9" sqref="C9"/>
    </sheetView>
  </sheetViews>
  <sheetFormatPr defaultRowHeight="15"/>
  <cols>
    <col min="1" max="1" width="5" customWidth="1"/>
    <col min="2" max="2" width="6" customWidth="1"/>
    <col min="3" max="3" width="27.7109375" bestFit="1" customWidth="1"/>
    <col min="8" max="8" width="11.140625" bestFit="1" customWidth="1"/>
    <col min="9" max="13" width="11.5703125" customWidth="1"/>
  </cols>
  <sheetData>
    <row r="3" spans="3:13">
      <c r="C3" t="s">
        <v>179</v>
      </c>
    </row>
    <row r="4" spans="3:13">
      <c r="C4" s="2" t="s">
        <v>180</v>
      </c>
      <c r="D4" s="2">
        <v>2020</v>
      </c>
      <c r="E4" s="2">
        <f>D4+1</f>
        <v>2021</v>
      </c>
      <c r="F4" s="2">
        <f t="shared" ref="F4:H4" si="0">E4+1</f>
        <v>2022</v>
      </c>
      <c r="G4" s="2">
        <f t="shared" si="0"/>
        <v>2023</v>
      </c>
      <c r="H4" s="2">
        <f t="shared" si="0"/>
        <v>2024</v>
      </c>
      <c r="I4" s="2"/>
    </row>
    <row r="5" spans="3:13">
      <c r="C5" t="s">
        <v>137</v>
      </c>
      <c r="D5" s="49">
        <v>2378</v>
      </c>
      <c r="E5" s="49">
        <v>2433</v>
      </c>
      <c r="F5" s="49">
        <v>2424</v>
      </c>
      <c r="G5" s="49">
        <v>2690</v>
      </c>
      <c r="H5" s="49">
        <v>2914</v>
      </c>
      <c r="I5" s="49"/>
    </row>
    <row r="6" spans="3:13">
      <c r="C6" t="s">
        <v>138</v>
      </c>
      <c r="D6">
        <v>182</v>
      </c>
      <c r="E6">
        <v>232</v>
      </c>
      <c r="F6">
        <v>230</v>
      </c>
      <c r="G6">
        <v>230</v>
      </c>
      <c r="H6">
        <v>229</v>
      </c>
    </row>
    <row r="7" spans="3:13">
      <c r="C7" t="s">
        <v>139</v>
      </c>
      <c r="D7">
        <v>871</v>
      </c>
      <c r="E7">
        <v>866</v>
      </c>
      <c r="F7">
        <v>867</v>
      </c>
      <c r="G7" s="49">
        <v>1051</v>
      </c>
      <c r="H7" s="49">
        <v>1127</v>
      </c>
    </row>
    <row r="8" spans="3:13">
      <c r="C8" t="s">
        <v>140</v>
      </c>
      <c r="D8" s="49">
        <v>1928</v>
      </c>
      <c r="E8" s="49">
        <v>2088</v>
      </c>
      <c r="F8" s="49">
        <v>2336</v>
      </c>
      <c r="G8" s="49">
        <v>2598</v>
      </c>
      <c r="H8" s="49">
        <v>2744</v>
      </c>
    </row>
    <row r="9" spans="3:13">
      <c r="C9" t="s">
        <v>141</v>
      </c>
      <c r="D9">
        <v>188</v>
      </c>
      <c r="E9">
        <v>204</v>
      </c>
      <c r="F9">
        <v>226</v>
      </c>
      <c r="G9">
        <v>266</v>
      </c>
      <c r="H9">
        <v>231</v>
      </c>
      <c r="I9" s="25"/>
      <c r="J9" s="25"/>
      <c r="K9" s="25"/>
      <c r="L9" s="25"/>
      <c r="M9" s="25"/>
    </row>
    <row r="10" spans="3:13">
      <c r="C10" t="s">
        <v>142</v>
      </c>
      <c r="D10">
        <v>34</v>
      </c>
      <c r="E10">
        <v>38</v>
      </c>
      <c r="F10">
        <v>37</v>
      </c>
      <c r="G10">
        <v>39</v>
      </c>
      <c r="H10">
        <v>42</v>
      </c>
    </row>
    <row r="11" spans="3:13">
      <c r="C11" t="s">
        <v>143</v>
      </c>
      <c r="D11">
        <v>81</v>
      </c>
      <c r="E11">
        <v>97</v>
      </c>
      <c r="F11">
        <v>122</v>
      </c>
      <c r="G11">
        <v>137</v>
      </c>
      <c r="H11">
        <v>180</v>
      </c>
    </row>
    <row r="12" spans="3:13">
      <c r="C12" t="s">
        <v>144</v>
      </c>
      <c r="D12">
        <v>0</v>
      </c>
      <c r="E12">
        <v>0</v>
      </c>
      <c r="F12">
        <v>0</v>
      </c>
      <c r="G12">
        <v>0</v>
      </c>
      <c r="H12">
        <v>0</v>
      </c>
      <c r="I12" s="49"/>
    </row>
    <row r="13" spans="3:13">
      <c r="C13" t="s">
        <v>145</v>
      </c>
      <c r="D13">
        <v>301</v>
      </c>
      <c r="E13">
        <v>523</v>
      </c>
      <c r="F13">
        <v>588</v>
      </c>
      <c r="G13">
        <v>820</v>
      </c>
      <c r="H13" s="49">
        <v>1177</v>
      </c>
      <c r="J13" s="25"/>
      <c r="K13" s="25"/>
      <c r="L13" s="25"/>
      <c r="M13" s="25"/>
    </row>
    <row r="14" spans="3:13">
      <c r="C14" s="2" t="s">
        <v>146</v>
      </c>
      <c r="D14" s="51">
        <v>3585</v>
      </c>
      <c r="E14" s="51">
        <v>4049</v>
      </c>
      <c r="F14" s="51">
        <v>4405</v>
      </c>
      <c r="G14" s="51">
        <v>5142</v>
      </c>
      <c r="H14" s="51">
        <v>5729</v>
      </c>
      <c r="J14" s="25"/>
      <c r="K14" s="25"/>
      <c r="L14" s="25"/>
      <c r="M14" s="25"/>
    </row>
    <row r="15" spans="3:13">
      <c r="C15" s="2" t="s">
        <v>147</v>
      </c>
      <c r="D15">
        <v>1208</v>
      </c>
      <c r="E15">
        <v>1616</v>
      </c>
      <c r="F15">
        <v>1981</v>
      </c>
      <c r="G15">
        <v>2452</v>
      </c>
      <c r="H15">
        <v>2815</v>
      </c>
      <c r="I15" s="25"/>
      <c r="J15" s="25"/>
      <c r="K15" s="25"/>
      <c r="L15" s="25"/>
      <c r="M15" s="25"/>
    </row>
    <row r="16" spans="3:13">
      <c r="C16" t="s">
        <v>148</v>
      </c>
      <c r="D16">
        <v>312</v>
      </c>
      <c r="E16">
        <v>314</v>
      </c>
      <c r="F16">
        <v>505</v>
      </c>
      <c r="G16">
        <v>472</v>
      </c>
      <c r="H16">
        <v>555</v>
      </c>
    </row>
    <row r="17" spans="3:13">
      <c r="C17" t="s">
        <v>29</v>
      </c>
      <c r="D17" s="49">
        <v>5749</v>
      </c>
      <c r="E17" s="49">
        <v>3902</v>
      </c>
      <c r="F17" s="49">
        <v>7721</v>
      </c>
      <c r="G17" s="49">
        <v>12321</v>
      </c>
      <c r="H17" s="49">
        <v>13527</v>
      </c>
    </row>
    <row r="20" spans="3:13">
      <c r="I20" s="25"/>
      <c r="J20" s="25"/>
      <c r="K20" s="25"/>
      <c r="L20" s="25"/>
      <c r="M20" s="25"/>
    </row>
    <row r="21" spans="3:13">
      <c r="C21" t="s">
        <v>181</v>
      </c>
    </row>
    <row r="22" spans="3:13">
      <c r="D22" s="2">
        <f>D4</f>
        <v>2020</v>
      </c>
      <c r="E22" s="2">
        <f t="shared" ref="E22:H22" si="1">E4</f>
        <v>2021</v>
      </c>
      <c r="F22" s="2">
        <f t="shared" si="1"/>
        <v>2022</v>
      </c>
      <c r="G22" s="2">
        <f t="shared" si="1"/>
        <v>2023</v>
      </c>
      <c r="H22" s="2">
        <f t="shared" si="1"/>
        <v>2024</v>
      </c>
      <c r="J22" s="25"/>
      <c r="K22" s="25"/>
      <c r="L22" s="25"/>
      <c r="M22" s="25"/>
    </row>
    <row r="23" spans="3:13">
      <c r="C23" t="s">
        <v>182</v>
      </c>
      <c r="D23">
        <v>2767</v>
      </c>
      <c r="E23" s="49">
        <f>D25</f>
        <v>3585</v>
      </c>
      <c r="F23" s="49">
        <f t="shared" ref="F23:H23" si="2">E25</f>
        <v>4049</v>
      </c>
      <c r="G23" s="49">
        <f t="shared" si="2"/>
        <v>4405</v>
      </c>
      <c r="H23" s="49">
        <f t="shared" si="2"/>
        <v>5142</v>
      </c>
      <c r="J23" s="25"/>
      <c r="K23" s="25"/>
      <c r="L23" s="25"/>
      <c r="M23" s="25"/>
    </row>
    <row r="24" spans="3:13">
      <c r="C24" t="s">
        <v>183</v>
      </c>
      <c r="D24" s="49">
        <f>D25-D23</f>
        <v>818</v>
      </c>
      <c r="E24" s="49">
        <f>E25-E23</f>
        <v>464</v>
      </c>
      <c r="F24" s="49">
        <f t="shared" ref="F24:H24" si="3">F25-F23</f>
        <v>356</v>
      </c>
      <c r="G24" s="49">
        <f t="shared" si="3"/>
        <v>737</v>
      </c>
      <c r="H24" s="49">
        <f t="shared" si="3"/>
        <v>587</v>
      </c>
      <c r="I24" s="25"/>
      <c r="J24" s="25"/>
      <c r="K24" s="25"/>
      <c r="L24" s="25"/>
      <c r="M24" s="25"/>
    </row>
    <row r="25" spans="3:13">
      <c r="C25" s="2" t="s">
        <v>168</v>
      </c>
      <c r="D25" s="51">
        <f>D14</f>
        <v>3585</v>
      </c>
      <c r="E25" s="51">
        <f>E14</f>
        <v>4049</v>
      </c>
      <c r="F25" s="51">
        <f t="shared" ref="F25:H25" si="4">F14</f>
        <v>4405</v>
      </c>
      <c r="G25" s="51">
        <f t="shared" si="4"/>
        <v>5142</v>
      </c>
      <c r="H25" s="51">
        <f t="shared" si="4"/>
        <v>5729</v>
      </c>
    </row>
    <row r="28" spans="3:13">
      <c r="C28" t="s">
        <v>184</v>
      </c>
    </row>
    <row r="29" spans="3:13">
      <c r="D29" s="2">
        <v>2020</v>
      </c>
      <c r="E29" s="2">
        <v>2021</v>
      </c>
      <c r="F29" s="2">
        <v>2022</v>
      </c>
      <c r="G29" s="2">
        <v>2023</v>
      </c>
      <c r="H29" s="2">
        <v>2024</v>
      </c>
    </row>
    <row r="30" spans="3:13">
      <c r="C30" t="s">
        <v>182</v>
      </c>
      <c r="D30">
        <v>4923</v>
      </c>
      <c r="E30" s="49">
        <f>D32</f>
        <v>5749</v>
      </c>
      <c r="F30" s="49">
        <f t="shared" ref="F30:H30" si="5">E32</f>
        <v>3902</v>
      </c>
      <c r="G30" s="49">
        <f t="shared" si="5"/>
        <v>7721</v>
      </c>
      <c r="H30" s="49">
        <f t="shared" si="5"/>
        <v>12321</v>
      </c>
    </row>
    <row r="31" spans="3:13">
      <c r="C31" t="s">
        <v>183</v>
      </c>
      <c r="D31" s="49">
        <f>D32-D30</f>
        <v>826</v>
      </c>
      <c r="E31" s="49">
        <f>E32-E30</f>
        <v>-1847</v>
      </c>
      <c r="F31" s="49">
        <f t="shared" ref="F31:H31" si="6">F32-F30</f>
        <v>3819</v>
      </c>
      <c r="G31" s="49">
        <f t="shared" si="6"/>
        <v>4600</v>
      </c>
      <c r="H31" s="49">
        <f t="shared" si="6"/>
        <v>1206</v>
      </c>
    </row>
    <row r="32" spans="3:13">
      <c r="C32" s="2" t="s">
        <v>168</v>
      </c>
      <c r="D32" s="51">
        <f>D17</f>
        <v>5749</v>
      </c>
      <c r="E32" s="51">
        <f>E17</f>
        <v>3902</v>
      </c>
      <c r="F32" s="51">
        <f t="shared" ref="F32:H32" si="7">F17</f>
        <v>7721</v>
      </c>
      <c r="G32" s="51">
        <f t="shared" si="7"/>
        <v>12321</v>
      </c>
      <c r="H32" s="51">
        <f t="shared" si="7"/>
        <v>13527</v>
      </c>
    </row>
    <row r="34" spans="3:8">
      <c r="C34" t="s">
        <v>148</v>
      </c>
      <c r="D34" s="2">
        <v>2020</v>
      </c>
      <c r="E34" s="2">
        <v>2021</v>
      </c>
      <c r="F34" s="2">
        <v>2022</v>
      </c>
      <c r="G34" s="2">
        <v>2023</v>
      </c>
      <c r="H34" s="2">
        <v>2024</v>
      </c>
    </row>
    <row r="35" spans="3:8">
      <c r="C35" t="s">
        <v>182</v>
      </c>
      <c r="D35">
        <v>450</v>
      </c>
      <c r="E35">
        <f>D37</f>
        <v>312</v>
      </c>
      <c r="F35">
        <f t="shared" ref="F35:H35" si="8">E37</f>
        <v>314</v>
      </c>
      <c r="G35">
        <f t="shared" si="8"/>
        <v>505</v>
      </c>
      <c r="H35">
        <f t="shared" si="8"/>
        <v>472</v>
      </c>
    </row>
    <row r="36" spans="3:8">
      <c r="C36" t="s">
        <v>183</v>
      </c>
      <c r="D36">
        <f>D37-D35</f>
        <v>-138</v>
      </c>
      <c r="E36">
        <f>E37-E35</f>
        <v>2</v>
      </c>
      <c r="F36">
        <f t="shared" ref="F36:H36" si="9">F37-F35</f>
        <v>191</v>
      </c>
      <c r="G36">
        <f t="shared" si="9"/>
        <v>-33</v>
      </c>
      <c r="H36">
        <f t="shared" si="9"/>
        <v>83</v>
      </c>
    </row>
    <row r="37" spans="3:8">
      <c r="C37" s="2" t="s">
        <v>168</v>
      </c>
      <c r="D37" s="2">
        <f>D16</f>
        <v>312</v>
      </c>
      <c r="E37" s="2">
        <f>E16</f>
        <v>314</v>
      </c>
      <c r="F37" s="2">
        <f t="shared" ref="F37:H37" si="10">F16</f>
        <v>505</v>
      </c>
      <c r="G37" s="2">
        <f t="shared" si="10"/>
        <v>472</v>
      </c>
      <c r="H37" s="2">
        <f t="shared" si="10"/>
        <v>555</v>
      </c>
    </row>
    <row r="40" spans="3:8">
      <c r="C40" t="s">
        <v>185</v>
      </c>
    </row>
    <row r="41" spans="3:8">
      <c r="D41" s="2">
        <v>2020</v>
      </c>
      <c r="E41" s="2">
        <v>2021</v>
      </c>
      <c r="F41" s="2">
        <v>2022</v>
      </c>
      <c r="G41" s="2">
        <v>2023</v>
      </c>
      <c r="H41" s="2">
        <v>2024</v>
      </c>
    </row>
    <row r="42" spans="3:8">
      <c r="C42" t="s">
        <v>182</v>
      </c>
      <c r="D42">
        <v>893</v>
      </c>
      <c r="E42" s="49">
        <f>D44</f>
        <v>1208</v>
      </c>
      <c r="F42" s="49">
        <f t="shared" ref="F42:H42" si="11">E44</f>
        <v>1616</v>
      </c>
      <c r="G42" s="49">
        <f t="shared" si="11"/>
        <v>1981</v>
      </c>
      <c r="H42" s="49">
        <f t="shared" si="11"/>
        <v>2452</v>
      </c>
    </row>
    <row r="43" spans="3:8">
      <c r="C43" t="s">
        <v>186</v>
      </c>
      <c r="D43" s="49">
        <f>'Income Statement'!E21</f>
        <v>381.54</v>
      </c>
      <c r="E43" s="49">
        <f>'Income Statement'!F21</f>
        <v>450.73</v>
      </c>
      <c r="F43" s="49">
        <f>'Income Statement'!G21</f>
        <v>451.93</v>
      </c>
      <c r="G43" s="49">
        <f>'Income Statement'!H21</f>
        <v>526.21</v>
      </c>
      <c r="H43" s="49">
        <f>'Income Statement'!I21</f>
        <v>597.6</v>
      </c>
    </row>
    <row r="44" spans="3:8">
      <c r="C44" s="2" t="s">
        <v>187</v>
      </c>
      <c r="D44" s="2">
        <f>D15</f>
        <v>1208</v>
      </c>
      <c r="E44" s="2">
        <f t="shared" ref="E44:H44" si="12">E15</f>
        <v>1616</v>
      </c>
      <c r="F44" s="2">
        <f t="shared" si="12"/>
        <v>1981</v>
      </c>
      <c r="G44" s="2">
        <f t="shared" si="12"/>
        <v>2452</v>
      </c>
      <c r="H44" s="2">
        <f t="shared" si="12"/>
        <v>2815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C18" activePane="bottomRight" state="frozen"/>
      <selection activeCell="C9" sqref="C9"/>
      <selection pane="topRight" activeCell="C9" sqref="C9"/>
      <selection pane="bottomLeft" activeCell="C9" sqref="C9"/>
      <selection pane="bottomRight" activeCell="L18" sqref="L18"/>
    </sheetView>
  </sheetViews>
  <sheetFormatPr defaultColWidth="8.85546875" defaultRowHeight="15"/>
  <cols>
    <col min="1" max="1" width="20.7109375" customWidth="1"/>
    <col min="2" max="2" width="13.42578125" customWidth="1"/>
    <col min="3" max="3" width="5.28515625" customWidth="1"/>
    <col min="4" max="4" width="4.5703125" customWidth="1"/>
    <col min="5" max="6" width="13.42578125" hidden="1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2" customFormat="1">
      <c r="A1" s="2" t="str">
        <f>'Data Sheet'!B1</f>
        <v>EICHER MOTORS LTD</v>
      </c>
      <c r="H1" t="str">
        <f>UPDATE</f>
        <v/>
      </c>
      <c r="J1" s="3"/>
      <c r="K1" s="3"/>
      <c r="M1" s="2" t="s">
        <v>1</v>
      </c>
    </row>
    <row r="3" spans="1:14" s="2" customFormat="1">
      <c r="A3" s="11" t="s">
        <v>2</v>
      </c>
      <c r="B3" s="12">
        <f>'Data Sheet'!B16</f>
        <v>42004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>
      <c r="A4" s="2" t="s">
        <v>6</v>
      </c>
      <c r="B4" s="1">
        <f>'Data Sheet'!B17</f>
        <v>8738.32</v>
      </c>
      <c r="C4" s="1">
        <f>'Data Sheet'!C17</f>
        <v>6173.46</v>
      </c>
      <c r="D4" s="1">
        <f>'Data Sheet'!D17</f>
        <v>7033.36</v>
      </c>
      <c r="E4" s="1">
        <f>'Data Sheet'!E17</f>
        <v>8964.9599999999991</v>
      </c>
      <c r="F4" s="1">
        <f>'Data Sheet'!F17</f>
        <v>9797.06</v>
      </c>
      <c r="G4" s="1">
        <f>'Data Sheet'!G17</f>
        <v>9153.58</v>
      </c>
      <c r="H4" s="1">
        <f>'Data Sheet'!H17</f>
        <v>8720.35</v>
      </c>
      <c r="I4" s="1">
        <f>'Data Sheet'!I17</f>
        <v>10297.83</v>
      </c>
      <c r="J4" s="1">
        <f>'Data Sheet'!J17</f>
        <v>14442.18</v>
      </c>
      <c r="K4" s="1">
        <f>'Data Sheet'!K17</f>
        <v>16535.78</v>
      </c>
      <c r="L4" s="1">
        <f>SUM(Quarters!H4:K4)</f>
        <v>17091</v>
      </c>
      <c r="M4" s="1">
        <f>$K4+M23*K4</f>
        <v>20467.035464012228</v>
      </c>
      <c r="N4" s="1">
        <f>$K4+N23*L4</f>
        <v>17790.927879923511</v>
      </c>
    </row>
    <row r="5" spans="1:14">
      <c r="A5" t="s">
        <v>7</v>
      </c>
      <c r="B5" s="6">
        <f>SUM('Data Sheet'!B18,'Data Sheet'!B20:B24, -1*'Data Sheet'!B19)</f>
        <v>7620.65</v>
      </c>
      <c r="C5" s="6">
        <f>SUM('Data Sheet'!C18,'Data Sheet'!C20:C24, -1*'Data Sheet'!C19)</f>
        <v>4483.7299999999996</v>
      </c>
      <c r="D5" s="6">
        <f>SUM('Data Sheet'!D18,'Data Sheet'!D20:D24, -1*'Data Sheet'!D19)</f>
        <v>4859.05</v>
      </c>
      <c r="E5" s="6">
        <f>SUM('Data Sheet'!E18,'Data Sheet'!E20:E24, -1*'Data Sheet'!E19)</f>
        <v>6156.33</v>
      </c>
      <c r="F5" s="6">
        <f>SUM('Data Sheet'!F18,'Data Sheet'!F20:F24, -1*'Data Sheet'!F19)</f>
        <v>6892.8200000000006</v>
      </c>
      <c r="G5" s="6">
        <f>SUM('Data Sheet'!G18,'Data Sheet'!G20:G24, -1*'Data Sheet'!G19)</f>
        <v>6970.69</v>
      </c>
      <c r="H5" s="6">
        <f>SUM('Data Sheet'!H18,'Data Sheet'!H20:H24, -1*'Data Sheet'!H19)</f>
        <v>6937.1200000000008</v>
      </c>
      <c r="I5" s="6">
        <f>SUM('Data Sheet'!I18,'Data Sheet'!I20:I24, -1*'Data Sheet'!I19)</f>
        <v>8120.26</v>
      </c>
      <c r="J5" s="6">
        <f>SUM('Data Sheet'!J18,'Data Sheet'!J20:J24, -1*'Data Sheet'!J19)</f>
        <v>10996.46</v>
      </c>
      <c r="K5" s="6">
        <f>SUM('Data Sheet'!K18,'Data Sheet'!K20:K24, -1*'Data Sheet'!K19)</f>
        <v>12206.410000000002</v>
      </c>
      <c r="L5" s="6">
        <f>SUM(Quarters!H5:K5)</f>
        <v>12618.94</v>
      </c>
      <c r="M5" s="6">
        <f t="shared" ref="M5:N5" si="0">M4-M6</f>
        <v>15111.596307895526</v>
      </c>
      <c r="N5" s="6">
        <f t="shared" si="0"/>
        <v>13604.466622684733</v>
      </c>
    </row>
    <row r="6" spans="1:14" s="2" customFormat="1">
      <c r="A6" s="2" t="s">
        <v>8</v>
      </c>
      <c r="B6" s="1">
        <f>B4-B5</f>
        <v>1117.67</v>
      </c>
      <c r="C6" s="1">
        <f t="shared" ref="C6:K6" si="1">C4-C5</f>
        <v>1689.7300000000005</v>
      </c>
      <c r="D6" s="1">
        <f t="shared" si="1"/>
        <v>2174.3099999999995</v>
      </c>
      <c r="E6" s="1">
        <f t="shared" si="1"/>
        <v>2808.6299999999992</v>
      </c>
      <c r="F6" s="1">
        <f t="shared" si="1"/>
        <v>2904.2399999999989</v>
      </c>
      <c r="G6" s="1">
        <f t="shared" si="1"/>
        <v>2182.8900000000003</v>
      </c>
      <c r="H6" s="1">
        <f t="shared" si="1"/>
        <v>1783.2299999999996</v>
      </c>
      <c r="I6" s="1">
        <f t="shared" si="1"/>
        <v>2177.5699999999997</v>
      </c>
      <c r="J6" s="1">
        <f t="shared" si="1"/>
        <v>3445.7200000000012</v>
      </c>
      <c r="K6" s="1">
        <f t="shared" si="1"/>
        <v>4329.3699999999972</v>
      </c>
      <c r="L6" s="1">
        <f>SUM(Quarters!H6:K6)</f>
        <v>4472.0600000000004</v>
      </c>
      <c r="M6" s="1">
        <f>M4*M24</f>
        <v>5355.4391561167013</v>
      </c>
      <c r="N6" s="1">
        <f>N4*N24</f>
        <v>4186.4612572387787</v>
      </c>
    </row>
    <row r="7" spans="1:14">
      <c r="A7" t="s">
        <v>9</v>
      </c>
      <c r="B7" s="6">
        <f>'Data Sheet'!B25</f>
        <v>104.55</v>
      </c>
      <c r="C7" s="26">
        <f>'Data Sheet'!C25</f>
        <v>325.91000000000003</v>
      </c>
      <c r="D7" s="26">
        <f>'Data Sheet'!D25</f>
        <v>416.44</v>
      </c>
      <c r="E7" s="26">
        <f>'Data Sheet'!E25</f>
        <v>535.66</v>
      </c>
      <c r="F7" s="27">
        <f>'Data Sheet'!F25</f>
        <v>700.66</v>
      </c>
      <c r="G7" s="27">
        <f>'Data Sheet'!G25</f>
        <v>572.41999999999996</v>
      </c>
      <c r="H7" s="27">
        <f>'Data Sheet'!H25</f>
        <v>482.34</v>
      </c>
      <c r="I7" s="27">
        <f>'Data Sheet'!I25</f>
        <v>495.65</v>
      </c>
      <c r="J7" s="27">
        <f>'Data Sheet'!J25</f>
        <v>908.14</v>
      </c>
      <c r="K7" s="27">
        <f>'Data Sheet'!K25</f>
        <v>1521.13</v>
      </c>
      <c r="L7" s="27">
        <f>SUM(Quarters!H7:K7)</f>
        <v>1728.58</v>
      </c>
      <c r="M7" s="27">
        <v>0</v>
      </c>
      <c r="N7" s="6">
        <v>0</v>
      </c>
    </row>
    <row r="8" spans="1:14">
      <c r="A8" t="s">
        <v>10</v>
      </c>
      <c r="B8" s="6">
        <f>'Data Sheet'!B26</f>
        <v>219.82</v>
      </c>
      <c r="C8" s="6">
        <f>'Data Sheet'!C26</f>
        <v>136.6</v>
      </c>
      <c r="D8" s="6">
        <f>'Data Sheet'!D26</f>
        <v>153.81</v>
      </c>
      <c r="E8" s="6">
        <f>'Data Sheet'!E26</f>
        <v>223.3</v>
      </c>
      <c r="F8" s="6">
        <f>'Data Sheet'!F26</f>
        <v>300.27999999999997</v>
      </c>
      <c r="G8" s="6">
        <f>'Data Sheet'!G26</f>
        <v>381.54</v>
      </c>
      <c r="H8" s="6">
        <f>'Data Sheet'!H26</f>
        <v>450.73</v>
      </c>
      <c r="I8" s="6">
        <f>'Data Sheet'!I26</f>
        <v>451.93</v>
      </c>
      <c r="J8" s="6">
        <f>'Data Sheet'!J26</f>
        <v>526.21</v>
      </c>
      <c r="K8" s="6">
        <f>'Data Sheet'!K26</f>
        <v>597.6</v>
      </c>
      <c r="L8" s="6">
        <f>SUM(Quarters!H8:K8)</f>
        <v>661.48</v>
      </c>
      <c r="M8" s="6">
        <f>+$L8</f>
        <v>661.48</v>
      </c>
      <c r="N8" s="6">
        <f>+$L8</f>
        <v>661.48</v>
      </c>
    </row>
    <row r="9" spans="1:14">
      <c r="A9" t="s">
        <v>11</v>
      </c>
      <c r="B9" s="6">
        <f>'Data Sheet'!B27</f>
        <v>9.7799999999999994</v>
      </c>
      <c r="C9" s="6">
        <f>'Data Sheet'!C27</f>
        <v>2.12</v>
      </c>
      <c r="D9" s="6">
        <f>'Data Sheet'!D27</f>
        <v>3.56</v>
      </c>
      <c r="E9" s="6">
        <f>'Data Sheet'!E27</f>
        <v>5.34</v>
      </c>
      <c r="F9" s="6">
        <f>'Data Sheet'!F27</f>
        <v>7.33</v>
      </c>
      <c r="G9" s="6">
        <f>'Data Sheet'!G27</f>
        <v>18.88</v>
      </c>
      <c r="H9" s="6">
        <f>'Data Sheet'!H27</f>
        <v>16.45</v>
      </c>
      <c r="I9" s="6">
        <f>'Data Sheet'!I27</f>
        <v>18.78</v>
      </c>
      <c r="J9" s="6">
        <f>'Data Sheet'!J27</f>
        <v>28.02</v>
      </c>
      <c r="K9" s="6">
        <f>'Data Sheet'!K27</f>
        <v>50.88</v>
      </c>
      <c r="L9" s="6">
        <f>SUM(Quarters!H9:K9)</f>
        <v>53.18</v>
      </c>
      <c r="M9" s="6">
        <f>+$L9</f>
        <v>53.18</v>
      </c>
      <c r="N9" s="6">
        <f>+$L9</f>
        <v>53.18</v>
      </c>
    </row>
    <row r="10" spans="1:14">
      <c r="A10" t="s">
        <v>12</v>
      </c>
      <c r="B10" s="6">
        <f>'Data Sheet'!B28</f>
        <v>992.62</v>
      </c>
      <c r="C10" s="6">
        <f>'Data Sheet'!C28</f>
        <v>1876.92</v>
      </c>
      <c r="D10" s="6">
        <f>'Data Sheet'!D28</f>
        <v>2433.38</v>
      </c>
      <c r="E10" s="6">
        <f>'Data Sheet'!E28</f>
        <v>3115.65</v>
      </c>
      <c r="F10" s="6">
        <f>'Data Sheet'!F28</f>
        <v>3297.29</v>
      </c>
      <c r="G10" s="6">
        <f>'Data Sheet'!G28</f>
        <v>2354.89</v>
      </c>
      <c r="H10" s="6">
        <f>'Data Sheet'!H28</f>
        <v>1798.39</v>
      </c>
      <c r="I10" s="6">
        <f>'Data Sheet'!I28</f>
        <v>2202.5100000000002</v>
      </c>
      <c r="J10" s="6">
        <f>'Data Sheet'!J28</f>
        <v>3799.63</v>
      </c>
      <c r="K10" s="6">
        <f>'Data Sheet'!K28</f>
        <v>5202.0200000000004</v>
      </c>
      <c r="L10" s="6">
        <f>SUM(Quarters!H10:K10)</f>
        <v>5485.9800000000005</v>
      </c>
      <c r="M10" s="6">
        <f>M6+M7-SUM(M8:M9)</f>
        <v>4640.7791561167014</v>
      </c>
      <c r="N10" s="6">
        <f>N6+N7-SUM(N8:N9)</f>
        <v>3471.8012572387788</v>
      </c>
    </row>
    <row r="11" spans="1:14">
      <c r="A11" t="s">
        <v>13</v>
      </c>
      <c r="B11" s="6">
        <f>'Data Sheet'!B29</f>
        <v>290.88</v>
      </c>
      <c r="C11" s="6">
        <f>'Data Sheet'!C29</f>
        <v>538.88</v>
      </c>
      <c r="D11" s="6">
        <f>'Data Sheet'!D29</f>
        <v>720.3</v>
      </c>
      <c r="E11" s="6">
        <f>'Data Sheet'!E29</f>
        <v>935.93</v>
      </c>
      <c r="F11" s="6">
        <f>'Data Sheet'!F29</f>
        <v>1077.04</v>
      </c>
      <c r="G11" s="6">
        <f>'Data Sheet'!G29</f>
        <v>527.45000000000005</v>
      </c>
      <c r="H11" s="6">
        <f>'Data Sheet'!H29</f>
        <v>451.5</v>
      </c>
      <c r="I11" s="6">
        <f>'Data Sheet'!I29</f>
        <v>525.91</v>
      </c>
      <c r="J11" s="6">
        <f>'Data Sheet'!J29</f>
        <v>885.69</v>
      </c>
      <c r="K11" s="6">
        <f>'Data Sheet'!K29</f>
        <v>1201.01</v>
      </c>
      <c r="L11" s="6">
        <f>SUM(Quarters!H11:K11)</f>
        <v>1217.77</v>
      </c>
      <c r="M11" s="7">
        <f>IF($L10&gt;0,$L11/$L10,0)</f>
        <v>0.22197857082964209</v>
      </c>
      <c r="N11" s="7">
        <f>IF($L10&gt;0,$L11/$L10,0)</f>
        <v>0.22197857082964209</v>
      </c>
    </row>
    <row r="12" spans="1:14" s="2" customFormat="1">
      <c r="A12" s="2" t="s">
        <v>14</v>
      </c>
      <c r="B12" s="1">
        <f>'Data Sheet'!B30</f>
        <v>615.36</v>
      </c>
      <c r="C12" s="1">
        <f>'Data Sheet'!C30</f>
        <v>1338.04</v>
      </c>
      <c r="D12" s="1">
        <f>'Data Sheet'!D30</f>
        <v>1667.08</v>
      </c>
      <c r="E12" s="1">
        <f>'Data Sheet'!E30</f>
        <v>1959.67</v>
      </c>
      <c r="F12" s="1">
        <f>'Data Sheet'!F30</f>
        <v>2202.73</v>
      </c>
      <c r="G12" s="1">
        <f>'Data Sheet'!G30</f>
        <v>1827.44</v>
      </c>
      <c r="H12" s="1">
        <f>'Data Sheet'!H30</f>
        <v>1346.89</v>
      </c>
      <c r="I12" s="1">
        <f>'Data Sheet'!I30</f>
        <v>1676.6</v>
      </c>
      <c r="J12" s="1">
        <f>'Data Sheet'!J30</f>
        <v>2913.94</v>
      </c>
      <c r="K12" s="1">
        <f>'Data Sheet'!K30</f>
        <v>4001.01</v>
      </c>
      <c r="L12" s="1">
        <f>SUM(Quarters!H12:K12)</f>
        <v>4268.21</v>
      </c>
      <c r="M12" s="1">
        <f>M10-M11*M10</f>
        <v>3610.6256315059236</v>
      </c>
      <c r="N12" s="1">
        <f>N10-N11*N10</f>
        <v>2701.1357759523598</v>
      </c>
    </row>
    <row r="13" spans="1:14">
      <c r="A13" t="s">
        <v>57</v>
      </c>
      <c r="B13" s="6">
        <f>IF('Data Sheet'!B93&gt;0,B12/'Data Sheet'!B93,0)</f>
        <v>22.707011070110699</v>
      </c>
      <c r="C13" s="6">
        <f>IF('Data Sheet'!C93&gt;0,C12/'Data Sheet'!C93,0)</f>
        <v>49.265095729013254</v>
      </c>
      <c r="D13" s="6">
        <f>IF('Data Sheet'!D93&gt;0,D12/'Data Sheet'!D93,0)</f>
        <v>61.267181183388459</v>
      </c>
      <c r="E13" s="6">
        <f>IF('Data Sheet'!E93&gt;0,E12/'Data Sheet'!E93,0)</f>
        <v>71.888114453411589</v>
      </c>
      <c r="F13" s="6">
        <f>IF('Data Sheet'!F93&gt;0,F12/'Data Sheet'!F93,0)</f>
        <v>80.745234604105576</v>
      </c>
      <c r="G13" s="6">
        <f>IF('Data Sheet'!G93&gt;0,G12/'Data Sheet'!G93,0)</f>
        <v>66.914683266202857</v>
      </c>
      <c r="H13" s="6">
        <f>IF('Data Sheet'!H93&gt;0,H12/'Data Sheet'!H93,0)</f>
        <v>49.28247347237469</v>
      </c>
      <c r="I13" s="6">
        <f>IF('Data Sheet'!I93&gt;0,I12/'Data Sheet'!I93,0)</f>
        <v>61.324067300658371</v>
      </c>
      <c r="J13" s="6">
        <f>IF('Data Sheet'!J93&gt;0,J12/'Data Sheet'!J93,0)</f>
        <v>106.54259597806215</v>
      </c>
      <c r="K13" s="6">
        <f>IF('Data Sheet'!K93&gt;0,K12/'Data Sheet'!K93,0)</f>
        <v>146.12892622352084</v>
      </c>
      <c r="L13" s="6">
        <f>IF('Data Sheet'!$B6&gt;0,'Profit &amp; Loss'!L12/'Data Sheet'!$B6,0)</f>
        <v>155.69882247738454</v>
      </c>
      <c r="M13" s="6">
        <f>IF('Data Sheet'!$B6&gt;0,'Profit &amp; Loss'!M12/'Data Sheet'!$B6,0)</f>
        <v>131.71098873582491</v>
      </c>
      <c r="N13" s="6">
        <f>IF('Data Sheet'!$B6&gt;0,'Profit &amp; Loss'!N12/'Data Sheet'!$B6,0)</f>
        <v>98.533966151458998</v>
      </c>
    </row>
    <row r="14" spans="1:14">
      <c r="A14" t="s">
        <v>16</v>
      </c>
      <c r="B14" s="6">
        <f>IF(B15&gt;0,B15/B13,"")</f>
        <v>66.389186817472705</v>
      </c>
      <c r="C14" s="6">
        <f t="shared" ref="C14:K14" si="2">IF(C15&gt;0,C15/C13,"")</f>
        <v>38.933447131625364</v>
      </c>
      <c r="D14" s="6">
        <f t="shared" si="2"/>
        <v>41.763795078820451</v>
      </c>
      <c r="E14" s="6">
        <f t="shared" si="2"/>
        <v>39.467859486546203</v>
      </c>
      <c r="F14" s="6">
        <f t="shared" si="2"/>
        <v>25.44756987919536</v>
      </c>
      <c r="G14" s="6">
        <f t="shared" si="2"/>
        <v>19.571040854966508</v>
      </c>
      <c r="H14" s="6">
        <f t="shared" si="2"/>
        <v>52.837242462264904</v>
      </c>
      <c r="I14" s="6">
        <f t="shared" si="2"/>
        <v>40.068281641417158</v>
      </c>
      <c r="J14" s="6">
        <f t="shared" si="2"/>
        <v>27.677662374654247</v>
      </c>
      <c r="K14" s="6">
        <f t="shared" si="2"/>
        <v>27.505163446229826</v>
      </c>
      <c r="L14" s="6">
        <f t="shared" ref="L14" si="3">IF(L13&gt;0,L15/L13,0)</f>
        <v>33.041354572525719</v>
      </c>
      <c r="M14" s="6">
        <f>M25</f>
        <v>33.041354572525719</v>
      </c>
      <c r="N14" s="6">
        <f>N25</f>
        <v>32.073115508706735</v>
      </c>
    </row>
    <row r="15" spans="1:14" s="2" customFormat="1">
      <c r="A15" s="2" t="s">
        <v>58</v>
      </c>
      <c r="B15" s="1">
        <f>'Data Sheet'!B90</f>
        <v>1507.5</v>
      </c>
      <c r="C15" s="1">
        <f>'Data Sheet'!C90</f>
        <v>1918.06</v>
      </c>
      <c r="D15" s="1">
        <f>'Data Sheet'!D90</f>
        <v>2558.75</v>
      </c>
      <c r="E15" s="1">
        <f>'Data Sheet'!E90</f>
        <v>2837.27</v>
      </c>
      <c r="F15" s="1">
        <f>'Data Sheet'!F90</f>
        <v>2054.77</v>
      </c>
      <c r="G15" s="1">
        <f>'Data Sheet'!G90</f>
        <v>1309.5899999999999</v>
      </c>
      <c r="H15" s="1">
        <f>'Data Sheet'!H90</f>
        <v>2603.9499999999998</v>
      </c>
      <c r="I15" s="1">
        <f>'Data Sheet'!I90</f>
        <v>2457.15</v>
      </c>
      <c r="J15" s="1">
        <f>'Data Sheet'!J90</f>
        <v>2948.85</v>
      </c>
      <c r="K15" s="1">
        <f>'Data Sheet'!K90</f>
        <v>4019.3</v>
      </c>
      <c r="L15" s="1">
        <f>'Data Sheet'!B8</f>
        <v>5144.5</v>
      </c>
      <c r="M15" s="8">
        <f>M13*M14</f>
        <v>4351.9094799183322</v>
      </c>
      <c r="N15" s="9">
        <f>N13*N14</f>
        <v>3160.2912779067442</v>
      </c>
    </row>
    <row r="17" spans="1:14" s="2" customFormat="1">
      <c r="A17" s="2" t="s">
        <v>15</v>
      </c>
    </row>
    <row r="18" spans="1:14">
      <c r="A18" t="s">
        <v>17</v>
      </c>
      <c r="B18" s="5">
        <f>IF('Data Sheet'!B30&gt;0, 'Data Sheet'!B31/'Data Sheet'!B30, 0)</f>
        <v>0.22019630785231409</v>
      </c>
      <c r="C18" s="5">
        <f>IF('Data Sheet'!C30&gt;0, 'Data Sheet'!C31/'Data Sheet'!C30, 0)</f>
        <v>0.20298346835670086</v>
      </c>
      <c r="D18" s="5">
        <f>IF('Data Sheet'!D30&gt;0, 'Data Sheet'!D31/'Data Sheet'!D30, 0)</f>
        <v>0.16321952155865346</v>
      </c>
      <c r="E18" s="5">
        <f>IF('Data Sheet'!E30&gt;0, 'Data Sheet'!E31/'Data Sheet'!E30, 0)</f>
        <v>0.1530155587420331</v>
      </c>
      <c r="F18" s="5">
        <f>IF('Data Sheet'!F30&gt;0, 'Data Sheet'!F31/'Data Sheet'!F30, 0)</f>
        <v>0.15480789747268162</v>
      </c>
      <c r="G18" s="5">
        <f>IF('Data Sheet'!G30&gt;0, 'Data Sheet'!G31/'Data Sheet'!G30, 0)</f>
        <v>0.18673663704417107</v>
      </c>
      <c r="H18" s="5">
        <f>IF('Data Sheet'!H30&gt;0, 'Data Sheet'!H31/'Data Sheet'!H30, 0)</f>
        <v>0.34495021865185721</v>
      </c>
      <c r="I18" s="5">
        <f>IF('Data Sheet'!I30&gt;0, 'Data Sheet'!I31/'Data Sheet'!I30, 0)</f>
        <v>0.34244303948467136</v>
      </c>
      <c r="J18" s="5">
        <f>IF('Data Sheet'!J30&gt;0, 'Data Sheet'!J31/'Data Sheet'!J30, 0)</f>
        <v>0.34727894191369763</v>
      </c>
      <c r="K18" s="5">
        <f>IF('Data Sheet'!K30&gt;0, 'Data Sheet'!K31/'Data Sheet'!K30, 0)</f>
        <v>0.34900687576386963</v>
      </c>
    </row>
    <row r="19" spans="1:14">
      <c r="A19" t="s">
        <v>18</v>
      </c>
      <c r="B19" s="5">
        <f t="shared" ref="B19:L19" si="4">IF(B6&gt;0,B6/B4,0)</f>
        <v>0.12790444845233409</v>
      </c>
      <c r="C19" s="5">
        <f t="shared" ref="C19:K19" si="5">IF(C6&gt;0,C6/C4,0)</f>
        <v>0.27370874679677204</v>
      </c>
      <c r="D19" s="5">
        <f t="shared" si="5"/>
        <v>0.30914242979173534</v>
      </c>
      <c r="E19" s="5">
        <f t="shared" si="5"/>
        <v>0.31328974139315729</v>
      </c>
      <c r="F19" s="5">
        <f t="shared" si="5"/>
        <v>0.29643995239388132</v>
      </c>
      <c r="G19" s="5">
        <f t="shared" si="5"/>
        <v>0.23847390856910633</v>
      </c>
      <c r="H19" s="5">
        <f t="shared" si="5"/>
        <v>0.20449064544427684</v>
      </c>
      <c r="I19" s="5">
        <f t="shared" si="5"/>
        <v>0.21145911323065147</v>
      </c>
      <c r="J19" s="5">
        <f t="shared" si="5"/>
        <v>0.23858724929338931</v>
      </c>
      <c r="K19" s="5">
        <f t="shared" si="5"/>
        <v>0.26181831156437724</v>
      </c>
      <c r="L19" s="5">
        <f t="shared" si="4"/>
        <v>0.26166169328886552</v>
      </c>
    </row>
    <row r="20" spans="1:1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>
      <c r="A23"/>
      <c r="B23"/>
      <c r="C23"/>
      <c r="D23"/>
      <c r="E23"/>
      <c r="F23"/>
      <c r="G23" t="s">
        <v>22</v>
      </c>
      <c r="H23" s="5">
        <f>IF(B4=0,"",POWER($K4/B4,1/9)-1)</f>
        <v>7.3439112978966214E-2</v>
      </c>
      <c r="I23" s="5">
        <f>IF(D4=0,"",POWER($K4/D4,1/7)-1)</f>
        <v>0.12989322741226261</v>
      </c>
      <c r="J23" s="5">
        <f>IF(F4=0,"",POWER($K4/F4,1/5)-1)</f>
        <v>0.11036505036928346</v>
      </c>
      <c r="K23" s="5">
        <f>IF(H4=0,"",POWER($K4/H4, 1/3)-1)</f>
        <v>0.23774236619090416</v>
      </c>
      <c r="L23" s="5">
        <f>IF(ISERROR(MAX(IF(J4=0,"",(K4-J4)/J4),IF(K4=0,"",(L4-K4)/K4))),"",MAX(IF(J4=0,"",(K4-J4)/J4),IF(K4=0,"",(L4-K4)/K4)))</f>
        <v>0.14496426439775703</v>
      </c>
      <c r="M23" s="16">
        <f>MAX(K23:L23)</f>
        <v>0.23774236619090416</v>
      </c>
      <c r="N23" s="16">
        <f>MIN(H23:L23)</f>
        <v>7.3439112978966214E-2</v>
      </c>
    </row>
    <row r="24" spans="1:14">
      <c r="G24" t="s">
        <v>18</v>
      </c>
      <c r="H24" s="5">
        <f>IF(SUM(B4:$K$4)=0,"",SUMPRODUCT(B19:$K$19,B4:$K$4)/SUM(B4:$K$4))</f>
        <v>0.24648637129459675</v>
      </c>
      <c r="I24" s="5">
        <f>IF(SUM(E4:$K$4)=0,"",SUMPRODUCT(E19:$K$19,E4:$K$4)/SUM(E4:$K$4))</f>
        <v>0.25197293758296241</v>
      </c>
      <c r="J24" s="5">
        <f>IF(SUM(G4:$K$4)=0,"",SUMPRODUCT(G19:$K$19,G4:$K$4)/SUM(G4:$K$4))</f>
        <v>0.23531438525829027</v>
      </c>
      <c r="K24" s="5">
        <f>IF(SUM(I4:$K$4)=0, "", SUMPRODUCT(I19:$K$19,I4:$K$4)/SUM(I4:$K$4))</f>
        <v>0.24112585125566338</v>
      </c>
      <c r="L24" s="5">
        <f>L19</f>
        <v>0.26166169328886552</v>
      </c>
      <c r="M24" s="16">
        <f>MAX(K24:L24)</f>
        <v>0.26166169328886552</v>
      </c>
      <c r="N24" s="16">
        <f>MIN(H24:L24)</f>
        <v>0.23531438525829027</v>
      </c>
    </row>
    <row r="25" spans="1:14">
      <c r="G25" t="s">
        <v>23</v>
      </c>
      <c r="H25" s="6">
        <f>IF(ISERROR(AVERAGEIF(B14:$L14,"&gt;0")),"",AVERAGEIF(B14:$L14,"&gt;0"))</f>
        <v>37.518418522338045</v>
      </c>
      <c r="I25" s="6">
        <f>IF(ISERROR(AVERAGEIF(E14:$L14,"&gt;0")),"",AVERAGEIF(E14:$L14,"&gt;0"))</f>
        <v>33.202021839724985</v>
      </c>
      <c r="J25" s="6">
        <f>IF(ISERROR(AVERAGEIF(G14:$L14,"&gt;0")),"",AVERAGEIF(G14:$L14,"&gt;0"))</f>
        <v>33.450124225343053</v>
      </c>
      <c r="K25" s="6">
        <f>IF(ISERROR(AVERAGEIF(I14:$L14,"&gt;0")),"",AVERAGEIF(I14:$L14,"&gt;0"))</f>
        <v>32.073115508706735</v>
      </c>
      <c r="L25" s="6">
        <f>L14</f>
        <v>33.041354572525719</v>
      </c>
      <c r="M25" s="1">
        <f>MAX(K25:L25)</f>
        <v>33.041354572525719</v>
      </c>
      <c r="N25" s="1">
        <f>MIN(H25:L25)</f>
        <v>32.073115508706735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scale="87" orientation="landscape" horizontalDpi="300" verticalDpi="300"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H14" sqref="H14"/>
    </sheetView>
  </sheetViews>
  <sheetFormatPr defaultColWidth="8.85546875" defaultRowHeight="15"/>
  <cols>
    <col min="1" max="1" width="20.7109375" customWidth="1"/>
    <col min="2" max="11" width="13.42578125" bestFit="1" customWidth="1"/>
  </cols>
  <sheetData>
    <row r="1" spans="1:11" s="2" customFormat="1">
      <c r="A1" s="2" t="str">
        <f>'Profit &amp; Loss'!A1</f>
        <v>EICHER MOTORS LTD</v>
      </c>
      <c r="E1" t="str">
        <f>UPDATE</f>
        <v/>
      </c>
      <c r="J1" s="2" t="s">
        <v>1</v>
      </c>
    </row>
    <row r="3" spans="1:11" s="2" customFormat="1">
      <c r="A3" s="11" t="s">
        <v>2</v>
      </c>
      <c r="B3" s="12">
        <f>'Data Sheet'!B41</f>
        <v>44742</v>
      </c>
      <c r="C3" s="12">
        <f>'Data Sheet'!C41</f>
        <v>44834</v>
      </c>
      <c r="D3" s="12">
        <f>'Data Sheet'!D41</f>
        <v>44926</v>
      </c>
      <c r="E3" s="12">
        <f>'Data Sheet'!E41</f>
        <v>45016</v>
      </c>
      <c r="F3" s="12">
        <f>'Data Sheet'!F41</f>
        <v>45107</v>
      </c>
      <c r="G3" s="12">
        <f>'Data Sheet'!G41</f>
        <v>45199</v>
      </c>
      <c r="H3" s="12">
        <f>'Data Sheet'!H41</f>
        <v>45291</v>
      </c>
      <c r="I3" s="12">
        <f>'Data Sheet'!I41</f>
        <v>45382</v>
      </c>
      <c r="J3" s="12">
        <f>'Data Sheet'!J41</f>
        <v>45473</v>
      </c>
      <c r="K3" s="12">
        <f>'Data Sheet'!K41</f>
        <v>45565</v>
      </c>
    </row>
    <row r="4" spans="1:11" s="2" customFormat="1">
      <c r="A4" s="2" t="s">
        <v>6</v>
      </c>
      <c r="B4" s="1">
        <f>'Data Sheet'!B42</f>
        <v>3397.46</v>
      </c>
      <c r="C4" s="1">
        <f>'Data Sheet'!C42</f>
        <v>3519.4</v>
      </c>
      <c r="D4" s="1">
        <f>'Data Sheet'!D42</f>
        <v>3721</v>
      </c>
      <c r="E4" s="1">
        <f>'Data Sheet'!E42</f>
        <v>3804.32</v>
      </c>
      <c r="F4" s="1">
        <f>'Data Sheet'!F42</f>
        <v>3986.37</v>
      </c>
      <c r="G4" s="1">
        <f>'Data Sheet'!G42</f>
        <v>4114.53</v>
      </c>
      <c r="H4" s="1">
        <f>'Data Sheet'!H42</f>
        <v>4178.84</v>
      </c>
      <c r="I4" s="1">
        <f>'Data Sheet'!I42</f>
        <v>4256.04</v>
      </c>
      <c r="J4" s="1">
        <f>'Data Sheet'!J42</f>
        <v>4393.05</v>
      </c>
      <c r="K4" s="1">
        <f>'Data Sheet'!K42</f>
        <v>4263.07</v>
      </c>
    </row>
    <row r="5" spans="1:11">
      <c r="A5" t="s">
        <v>7</v>
      </c>
      <c r="B5" s="6">
        <f>'Data Sheet'!B43</f>
        <v>2566.37</v>
      </c>
      <c r="C5" s="6">
        <f>'Data Sheet'!C43</f>
        <v>2697.79</v>
      </c>
      <c r="D5" s="6">
        <f>'Data Sheet'!D43</f>
        <v>2863.77</v>
      </c>
      <c r="E5" s="6">
        <f>'Data Sheet'!E43</f>
        <v>2870.67</v>
      </c>
      <c r="F5" s="6">
        <f>'Data Sheet'!F43</f>
        <v>2965.53</v>
      </c>
      <c r="G5" s="6">
        <f>'Data Sheet'!G43</f>
        <v>3027.37</v>
      </c>
      <c r="H5" s="6">
        <f>'Data Sheet'!H43</f>
        <v>3088.57</v>
      </c>
      <c r="I5" s="6">
        <f>'Data Sheet'!I43</f>
        <v>3127.4</v>
      </c>
      <c r="J5" s="6">
        <f>'Data Sheet'!J43</f>
        <v>3227.62</v>
      </c>
      <c r="K5" s="6">
        <f>'Data Sheet'!K43</f>
        <v>3175.35</v>
      </c>
    </row>
    <row r="6" spans="1:11" s="2" customFormat="1">
      <c r="A6" s="2" t="s">
        <v>8</v>
      </c>
      <c r="B6" s="1">
        <f>'Data Sheet'!B50</f>
        <v>831.09</v>
      </c>
      <c r="C6" s="1">
        <f>'Data Sheet'!C50</f>
        <v>821.61</v>
      </c>
      <c r="D6" s="1">
        <f>'Data Sheet'!D50</f>
        <v>857.23</v>
      </c>
      <c r="E6" s="1">
        <f>'Data Sheet'!E50</f>
        <v>933.65</v>
      </c>
      <c r="F6" s="1">
        <f>'Data Sheet'!F50</f>
        <v>1020.84</v>
      </c>
      <c r="G6" s="1">
        <f>'Data Sheet'!G50</f>
        <v>1087.1600000000001</v>
      </c>
      <c r="H6" s="1">
        <f>'Data Sheet'!H50</f>
        <v>1090.27</v>
      </c>
      <c r="I6" s="1">
        <f>'Data Sheet'!I50</f>
        <v>1128.6400000000001</v>
      </c>
      <c r="J6" s="1">
        <f>'Data Sheet'!J50</f>
        <v>1165.43</v>
      </c>
      <c r="K6" s="1">
        <f>'Data Sheet'!K50</f>
        <v>1087.72</v>
      </c>
    </row>
    <row r="7" spans="1:11">
      <c r="A7" t="s">
        <v>9</v>
      </c>
      <c r="B7" s="6">
        <f>'Data Sheet'!B44</f>
        <v>82.44</v>
      </c>
      <c r="C7" s="6">
        <f>'Data Sheet'!C44</f>
        <v>192.74</v>
      </c>
      <c r="D7" s="6">
        <f>'Data Sheet'!D44</f>
        <v>256.20999999999998</v>
      </c>
      <c r="E7" s="6">
        <f>'Data Sheet'!E44</f>
        <v>378.89</v>
      </c>
      <c r="F7" s="6">
        <f>'Data Sheet'!F44</f>
        <v>343.65</v>
      </c>
      <c r="G7" s="6">
        <f>'Data Sheet'!G44</f>
        <v>375.4</v>
      </c>
      <c r="H7" s="6">
        <f>'Data Sheet'!H44</f>
        <v>367.58</v>
      </c>
      <c r="I7" s="6">
        <f>'Data Sheet'!I44</f>
        <v>436.96</v>
      </c>
      <c r="J7" s="6">
        <f>'Data Sheet'!J44</f>
        <v>456.51</v>
      </c>
      <c r="K7" s="6">
        <f>'Data Sheet'!K44</f>
        <v>467.53</v>
      </c>
    </row>
    <row r="8" spans="1:11">
      <c r="A8" t="s">
        <v>10</v>
      </c>
      <c r="B8" s="6">
        <f>'Data Sheet'!B45</f>
        <v>116.22</v>
      </c>
      <c r="C8" s="6">
        <f>'Data Sheet'!C45</f>
        <v>127.12</v>
      </c>
      <c r="D8" s="6">
        <f>'Data Sheet'!D45</f>
        <v>134.84</v>
      </c>
      <c r="E8" s="6">
        <f>'Data Sheet'!E45</f>
        <v>148.03</v>
      </c>
      <c r="F8" s="6">
        <f>'Data Sheet'!F45</f>
        <v>142.27000000000001</v>
      </c>
      <c r="G8" s="6">
        <f>'Data Sheet'!G45</f>
        <v>142.54</v>
      </c>
      <c r="H8" s="6">
        <f>'Data Sheet'!H45</f>
        <v>147.54</v>
      </c>
      <c r="I8" s="6">
        <f>'Data Sheet'!I45</f>
        <v>165.25</v>
      </c>
      <c r="J8" s="6">
        <f>'Data Sheet'!J45</f>
        <v>168.63</v>
      </c>
      <c r="K8" s="6">
        <f>'Data Sheet'!K45</f>
        <v>180.06</v>
      </c>
    </row>
    <row r="9" spans="1:11">
      <c r="A9" t="s">
        <v>11</v>
      </c>
      <c r="B9" s="6">
        <f>'Data Sheet'!B46</f>
        <v>5.22</v>
      </c>
      <c r="C9" s="6">
        <f>'Data Sheet'!C46</f>
        <v>7.06</v>
      </c>
      <c r="D9" s="6">
        <f>'Data Sheet'!D46</f>
        <v>7.58</v>
      </c>
      <c r="E9" s="6">
        <f>'Data Sheet'!E46</f>
        <v>8.16</v>
      </c>
      <c r="F9" s="6">
        <f>'Data Sheet'!F46</f>
        <v>10.43</v>
      </c>
      <c r="G9" s="6">
        <f>'Data Sheet'!G46</f>
        <v>12.68</v>
      </c>
      <c r="H9" s="6">
        <f>'Data Sheet'!H46</f>
        <v>12.43</v>
      </c>
      <c r="I9" s="6">
        <f>'Data Sheet'!I46</f>
        <v>15.34</v>
      </c>
      <c r="J9" s="6">
        <f>'Data Sheet'!J46</f>
        <v>12.27</v>
      </c>
      <c r="K9" s="6">
        <f>'Data Sheet'!K46</f>
        <v>13.14</v>
      </c>
    </row>
    <row r="10" spans="1:11">
      <c r="A10" t="s">
        <v>12</v>
      </c>
      <c r="B10" s="6">
        <f>'Data Sheet'!B47</f>
        <v>792.09</v>
      </c>
      <c r="C10" s="6">
        <f>'Data Sheet'!C47</f>
        <v>880.17</v>
      </c>
      <c r="D10" s="6">
        <f>'Data Sheet'!D47</f>
        <v>971.02</v>
      </c>
      <c r="E10" s="6">
        <f>'Data Sheet'!E47</f>
        <v>1156.3499999999999</v>
      </c>
      <c r="F10" s="6">
        <f>'Data Sheet'!F47</f>
        <v>1211.79</v>
      </c>
      <c r="G10" s="6">
        <f>'Data Sheet'!G47</f>
        <v>1307.3399999999999</v>
      </c>
      <c r="H10" s="6">
        <f>'Data Sheet'!H47</f>
        <v>1297.8800000000001</v>
      </c>
      <c r="I10" s="6">
        <f>'Data Sheet'!I47</f>
        <v>1385.01</v>
      </c>
      <c r="J10" s="6">
        <f>'Data Sheet'!J47</f>
        <v>1441.04</v>
      </c>
      <c r="K10" s="6">
        <f>'Data Sheet'!K47</f>
        <v>1362.05</v>
      </c>
    </row>
    <row r="11" spans="1:11">
      <c r="A11" t="s">
        <v>13</v>
      </c>
      <c r="B11" s="6">
        <f>'Data Sheet'!B48</f>
        <v>181.43</v>
      </c>
      <c r="C11" s="6">
        <f>'Data Sheet'!C48</f>
        <v>223.31</v>
      </c>
      <c r="D11" s="6">
        <f>'Data Sheet'!D48</f>
        <v>230.18</v>
      </c>
      <c r="E11" s="6">
        <f>'Data Sheet'!E48</f>
        <v>250.77</v>
      </c>
      <c r="F11" s="6">
        <f>'Data Sheet'!F48</f>
        <v>293.45</v>
      </c>
      <c r="G11" s="6">
        <f>'Data Sheet'!G48</f>
        <v>291.08999999999997</v>
      </c>
      <c r="H11" s="6">
        <f>'Data Sheet'!H48</f>
        <v>301.91000000000003</v>
      </c>
      <c r="I11" s="6">
        <f>'Data Sheet'!I48</f>
        <v>314.56</v>
      </c>
      <c r="J11" s="6">
        <f>'Data Sheet'!J48</f>
        <v>339.58</v>
      </c>
      <c r="K11" s="6">
        <f>'Data Sheet'!K48</f>
        <v>261.72000000000003</v>
      </c>
    </row>
    <row r="12" spans="1:11" s="2" customFormat="1">
      <c r="A12" s="2" t="s">
        <v>14</v>
      </c>
      <c r="B12" s="1">
        <f>'Data Sheet'!B49</f>
        <v>610.66</v>
      </c>
      <c r="C12" s="1">
        <f>'Data Sheet'!C49</f>
        <v>656.86</v>
      </c>
      <c r="D12" s="1">
        <f>'Data Sheet'!D49</f>
        <v>740.84</v>
      </c>
      <c r="E12" s="1">
        <f>'Data Sheet'!E49</f>
        <v>905.58</v>
      </c>
      <c r="F12" s="1">
        <f>'Data Sheet'!F49</f>
        <v>918.34</v>
      </c>
      <c r="G12" s="1">
        <f>'Data Sheet'!G49</f>
        <v>1016.25</v>
      </c>
      <c r="H12" s="1">
        <f>'Data Sheet'!H49</f>
        <v>995.97</v>
      </c>
      <c r="I12" s="1">
        <f>'Data Sheet'!I49</f>
        <v>1070.45</v>
      </c>
      <c r="J12" s="1">
        <f>'Data Sheet'!J49</f>
        <v>1101.46</v>
      </c>
      <c r="K12" s="1">
        <f>'Data Sheet'!K49</f>
        <v>1100.33</v>
      </c>
    </row>
    <row r="14" spans="1:11" s="2" customFormat="1">
      <c r="A14" s="2" t="s">
        <v>18</v>
      </c>
      <c r="B14" s="10">
        <f>IF(B4&gt;0,B6/B4,"")</f>
        <v>0.24462098155681009</v>
      </c>
      <c r="C14" s="10">
        <f t="shared" ref="C14:K14" si="0">IF(C4&gt;0,C6/C4,"")</f>
        <v>0.23345172472580553</v>
      </c>
      <c r="D14" s="10">
        <f t="shared" si="0"/>
        <v>0.23037624294544479</v>
      </c>
      <c r="E14" s="10">
        <f t="shared" si="0"/>
        <v>0.24541836648862345</v>
      </c>
      <c r="F14" s="10">
        <f t="shared" si="0"/>
        <v>0.25608260146449024</v>
      </c>
      <c r="G14" s="10">
        <f t="shared" si="0"/>
        <v>0.26422458944277966</v>
      </c>
      <c r="H14" s="10">
        <f t="shared" si="0"/>
        <v>0.26090254711833905</v>
      </c>
      <c r="I14" s="10">
        <f t="shared" si="0"/>
        <v>0.26518547758009797</v>
      </c>
      <c r="J14" s="10">
        <f t="shared" si="0"/>
        <v>0.26528949135566404</v>
      </c>
      <c r="K14" s="10">
        <f t="shared" si="0"/>
        <v>0.25514945801969008</v>
      </c>
    </row>
    <row r="22" s="23" customFormat="1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4" orientation="landscape" horizontalDpi="300" verticalDpi="300"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N69"/>
  <sheetViews>
    <sheetView zoomScale="125" workbookViewId="0">
      <pane xSplit="1" ySplit="3" topLeftCell="B23" activePane="bottomRight" state="frozen"/>
      <selection activeCell="C4" sqref="C4"/>
      <selection pane="topRight" activeCell="C4" sqref="C4"/>
      <selection pane="bottomLeft" activeCell="C4" sqref="C4"/>
      <selection pane="bottomRight" activeCell="B43" sqref="B43"/>
    </sheetView>
  </sheetViews>
  <sheetFormatPr defaultColWidth="8.85546875" defaultRowHeight="15"/>
  <cols>
    <col min="1" max="1" width="28.85546875" customWidth="1"/>
    <col min="2" max="2" width="2.28515625" customWidth="1"/>
    <col min="3" max="6" width="3.7109375" hidden="1" customWidth="1"/>
    <col min="7" max="8" width="10.140625" hidden="1" customWidth="1"/>
    <col min="9" max="11" width="15.42578125" customWidth="1"/>
  </cols>
  <sheetData>
    <row r="1" spans="1:11" s="2" customFormat="1">
      <c r="A1" s="2" t="str">
        <f>'Profit &amp; Loss'!A1</f>
        <v>EICHER MOTORS LTD</v>
      </c>
      <c r="E1" t="str">
        <f>UPDATE</f>
        <v/>
      </c>
      <c r="G1"/>
      <c r="J1" s="2" t="s">
        <v>1</v>
      </c>
    </row>
    <row r="2" spans="1:11">
      <c r="G2" s="2"/>
      <c r="H2" s="2"/>
    </row>
    <row r="3" spans="1:11">
      <c r="A3" s="11" t="s">
        <v>2</v>
      </c>
      <c r="B3" s="12">
        <f>'Data Sheet'!B56</f>
        <v>42004</v>
      </c>
      <c r="C3" s="53">
        <f>'Data Sheet'!C56</f>
        <v>42460</v>
      </c>
      <c r="D3" s="53">
        <f>'Data Sheet'!D56</f>
        <v>42825</v>
      </c>
      <c r="E3" s="53">
        <f>'Data Sheet'!E56</f>
        <v>43190</v>
      </c>
      <c r="F3" s="53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>
      <c r="A4" t="s">
        <v>24</v>
      </c>
      <c r="B4" s="14">
        <f>'Data Sheet'!B57</f>
        <v>27.1</v>
      </c>
      <c r="C4" s="54">
        <f>'Data Sheet'!C57</f>
        <v>27.16</v>
      </c>
      <c r="D4" s="54">
        <f>'Data Sheet'!D57</f>
        <v>27.21</v>
      </c>
      <c r="E4" s="54">
        <f>'Data Sheet'!E57</f>
        <v>27.26</v>
      </c>
      <c r="F4" s="54">
        <f>'Data Sheet'!F57</f>
        <v>27.28</v>
      </c>
      <c r="G4" s="14">
        <f>'Data Sheet'!G57</f>
        <v>27.3</v>
      </c>
      <c r="H4" s="14">
        <f>'Data Sheet'!H57</f>
        <v>27.33</v>
      </c>
      <c r="I4" s="14">
        <f>'Data Sheet'!I57</f>
        <v>27.34</v>
      </c>
      <c r="J4" s="14">
        <f>'Data Sheet'!J57</f>
        <v>27.35</v>
      </c>
      <c r="K4" s="14">
        <f>'Data Sheet'!K57</f>
        <v>27.38</v>
      </c>
    </row>
    <row r="5" spans="1:11">
      <c r="A5" t="s">
        <v>25</v>
      </c>
      <c r="B5" s="14">
        <f>'Data Sheet'!B58</f>
        <v>2488.7600000000002</v>
      </c>
      <c r="C5" s="54">
        <f>'Data Sheet'!C58</f>
        <v>3625.93</v>
      </c>
      <c r="D5" s="54">
        <f>'Data Sheet'!D58</f>
        <v>5317.86</v>
      </c>
      <c r="E5" s="54">
        <f>'Data Sheet'!E58</f>
        <v>7002.81</v>
      </c>
      <c r="F5" s="54">
        <f>'Data Sheet'!F58</f>
        <v>8891.44</v>
      </c>
      <c r="G5" s="14">
        <f>'Data Sheet'!G58</f>
        <v>9953.6299999999992</v>
      </c>
      <c r="H5" s="14">
        <f>'Data Sheet'!H58</f>
        <v>11410.75</v>
      </c>
      <c r="I5" s="14">
        <f>'Data Sheet'!I58</f>
        <v>12580.66</v>
      </c>
      <c r="J5" s="14">
        <f>'Data Sheet'!J58</f>
        <v>14962.93</v>
      </c>
      <c r="K5" s="14">
        <f>'Data Sheet'!K58</f>
        <v>18018.150000000001</v>
      </c>
    </row>
    <row r="6" spans="1:11">
      <c r="A6" t="s">
        <v>71</v>
      </c>
      <c r="B6" s="14">
        <f>'Data Sheet'!B59</f>
        <v>58.36</v>
      </c>
      <c r="C6" s="54">
        <f>'Data Sheet'!C59</f>
        <v>22.57</v>
      </c>
      <c r="D6" s="54">
        <f>'Data Sheet'!D59</f>
        <v>111.85</v>
      </c>
      <c r="E6" s="54">
        <f>'Data Sheet'!E59</f>
        <v>150.84</v>
      </c>
      <c r="F6" s="54">
        <f>'Data Sheet'!F59</f>
        <v>186.76</v>
      </c>
      <c r="G6" s="14">
        <f>'Data Sheet'!G59</f>
        <v>249</v>
      </c>
      <c r="H6" s="14">
        <f>'Data Sheet'!H59</f>
        <v>219.25</v>
      </c>
      <c r="I6" s="14">
        <f>'Data Sheet'!I59</f>
        <v>107.71</v>
      </c>
      <c r="J6" s="14">
        <f>'Data Sheet'!J59</f>
        <v>288.41000000000003</v>
      </c>
      <c r="K6" s="14">
        <f>'Data Sheet'!K59</f>
        <v>419.44</v>
      </c>
    </row>
    <row r="7" spans="1:11">
      <c r="A7" t="s">
        <v>72</v>
      </c>
      <c r="B7" s="14">
        <f>'Data Sheet'!B60</f>
        <v>3829.01</v>
      </c>
      <c r="C7" s="54">
        <f>'Data Sheet'!C60</f>
        <v>1263.3499999999999</v>
      </c>
      <c r="D7" s="54">
        <f>'Data Sheet'!D60</f>
        <v>1552.16</v>
      </c>
      <c r="E7" s="54">
        <f>'Data Sheet'!E60</f>
        <v>2341.3200000000002</v>
      </c>
      <c r="F7" s="54">
        <f>'Data Sheet'!F60</f>
        <v>2281.35</v>
      </c>
      <c r="G7" s="14">
        <f>'Data Sheet'!G60</f>
        <v>2219.79</v>
      </c>
      <c r="H7" s="14">
        <f>'Data Sheet'!H60</f>
        <v>2901.28</v>
      </c>
      <c r="I7" s="14">
        <f>'Data Sheet'!I60</f>
        <v>3424.12</v>
      </c>
      <c r="J7" s="14">
        <f>'Data Sheet'!J60</f>
        <v>3918.95</v>
      </c>
      <c r="K7" s="14">
        <f>'Data Sheet'!K60</f>
        <v>4650.16</v>
      </c>
    </row>
    <row r="8" spans="1:11" s="2" customFormat="1">
      <c r="A8" s="2" t="s">
        <v>26</v>
      </c>
      <c r="B8" s="15">
        <f>'Data Sheet'!B61</f>
        <v>6403.23</v>
      </c>
      <c r="C8" s="55">
        <f>'Data Sheet'!C61</f>
        <v>4939.01</v>
      </c>
      <c r="D8" s="55">
        <f>'Data Sheet'!D61</f>
        <v>7009.08</v>
      </c>
      <c r="E8" s="55">
        <f>'Data Sheet'!E61</f>
        <v>9522.23</v>
      </c>
      <c r="F8" s="55">
        <f>'Data Sheet'!F61</f>
        <v>11386.83</v>
      </c>
      <c r="G8" s="15">
        <f>'Data Sheet'!G61</f>
        <v>12449.72</v>
      </c>
      <c r="H8" s="15">
        <f>'Data Sheet'!H61</f>
        <v>14558.61</v>
      </c>
      <c r="I8" s="15">
        <f>'Data Sheet'!I61</f>
        <v>16139.83</v>
      </c>
      <c r="J8" s="15">
        <f>'Data Sheet'!J61</f>
        <v>19197.64</v>
      </c>
      <c r="K8" s="15">
        <f>'Data Sheet'!K61</f>
        <v>23115.13</v>
      </c>
    </row>
    <row r="9" spans="1:11" s="2" customFormat="1">
      <c r="B9" s="15"/>
      <c r="C9" s="55"/>
      <c r="D9" s="55"/>
      <c r="E9" s="55"/>
      <c r="F9" s="55"/>
      <c r="G9" s="15"/>
      <c r="H9" s="15"/>
      <c r="I9" s="15"/>
      <c r="J9" s="15"/>
      <c r="K9" s="15"/>
    </row>
    <row r="10" spans="1:11">
      <c r="A10" t="s">
        <v>27</v>
      </c>
      <c r="B10" s="14">
        <f>'Data Sheet'!B62</f>
        <v>2309.33</v>
      </c>
      <c r="C10" s="54">
        <f>'Data Sheet'!C62</f>
        <v>789.59</v>
      </c>
      <c r="D10" s="54">
        <f>'Data Sheet'!D62</f>
        <v>872.78</v>
      </c>
      <c r="E10" s="54">
        <f>'Data Sheet'!E62</f>
        <v>1501.69</v>
      </c>
      <c r="F10" s="54">
        <f>'Data Sheet'!F62</f>
        <v>1874.58</v>
      </c>
      <c r="G10" s="14">
        <f>'Data Sheet'!G62</f>
        <v>2377.52</v>
      </c>
      <c r="H10" s="14">
        <f>'Data Sheet'!H62</f>
        <v>2433.3000000000002</v>
      </c>
      <c r="I10" s="14">
        <f>'Data Sheet'!I62</f>
        <v>2424.2800000000002</v>
      </c>
      <c r="J10" s="14">
        <f>'Data Sheet'!J62</f>
        <v>2689.99</v>
      </c>
      <c r="K10" s="14">
        <f>'Data Sheet'!K62</f>
        <v>2914.38</v>
      </c>
    </row>
    <row r="11" spans="1:11">
      <c r="A11" t="s">
        <v>28</v>
      </c>
      <c r="B11" s="14">
        <f>'Data Sheet'!B63</f>
        <v>418.8</v>
      </c>
      <c r="C11" s="54">
        <f>'Data Sheet'!C63</f>
        <v>94.48</v>
      </c>
      <c r="D11" s="54">
        <f>'Data Sheet'!D63</f>
        <v>373.77</v>
      </c>
      <c r="E11" s="54">
        <f>'Data Sheet'!E63</f>
        <v>333.21</v>
      </c>
      <c r="F11" s="54">
        <f>'Data Sheet'!F63</f>
        <v>449.74</v>
      </c>
      <c r="G11" s="14">
        <f>'Data Sheet'!G63</f>
        <v>312.17</v>
      </c>
      <c r="H11" s="14">
        <f>'Data Sheet'!H63</f>
        <v>314.29000000000002</v>
      </c>
      <c r="I11" s="14">
        <f>'Data Sheet'!I63</f>
        <v>504.78</v>
      </c>
      <c r="J11" s="14">
        <f>'Data Sheet'!J63</f>
        <v>472.07</v>
      </c>
      <c r="K11" s="14">
        <f>'Data Sheet'!K63</f>
        <v>555.1</v>
      </c>
    </row>
    <row r="12" spans="1:11">
      <c r="A12" t="s">
        <v>29</v>
      </c>
      <c r="B12" s="14">
        <f>'Data Sheet'!B64</f>
        <v>1077.69</v>
      </c>
      <c r="C12" s="54">
        <f>'Data Sheet'!C64</f>
        <v>3388.24</v>
      </c>
      <c r="D12" s="54">
        <f>'Data Sheet'!D64</f>
        <v>4987.13</v>
      </c>
      <c r="E12" s="54">
        <f>'Data Sheet'!E64</f>
        <v>5580.84</v>
      </c>
      <c r="F12" s="54">
        <f>'Data Sheet'!F64</f>
        <v>4922.5200000000004</v>
      </c>
      <c r="G12" s="14">
        <f>'Data Sheet'!G64</f>
        <v>5748.77</v>
      </c>
      <c r="H12" s="14">
        <f>'Data Sheet'!H64</f>
        <v>3902.14</v>
      </c>
      <c r="I12" s="14">
        <f>'Data Sheet'!I64</f>
        <v>7720.58</v>
      </c>
      <c r="J12" s="14">
        <f>'Data Sheet'!J64</f>
        <v>12320.66</v>
      </c>
      <c r="K12" s="14">
        <f>'Data Sheet'!K64</f>
        <v>13526.96</v>
      </c>
    </row>
    <row r="13" spans="1:11">
      <c r="A13" t="s">
        <v>73</v>
      </c>
      <c r="B13" s="14">
        <f>'Data Sheet'!B65</f>
        <v>2597.41</v>
      </c>
      <c r="C13" s="54">
        <f>'Data Sheet'!C65</f>
        <v>666.7</v>
      </c>
      <c r="D13" s="54">
        <f>'Data Sheet'!D65</f>
        <v>775.4</v>
      </c>
      <c r="E13" s="54">
        <f>'Data Sheet'!E65</f>
        <v>2106.4899999999998</v>
      </c>
      <c r="F13" s="54">
        <f>'Data Sheet'!F65</f>
        <v>4139.99</v>
      </c>
      <c r="G13" s="14">
        <f>'Data Sheet'!G65</f>
        <v>4011.26</v>
      </c>
      <c r="H13" s="14">
        <f>'Data Sheet'!H65</f>
        <v>7908.88</v>
      </c>
      <c r="I13" s="14">
        <f>'Data Sheet'!I65</f>
        <v>5490.19</v>
      </c>
      <c r="J13" s="14">
        <f>'Data Sheet'!J65</f>
        <v>3714.92</v>
      </c>
      <c r="K13" s="14">
        <f>'Data Sheet'!K65</f>
        <v>6118.69</v>
      </c>
    </row>
    <row r="14" spans="1:11" s="2" customFormat="1">
      <c r="A14" s="2" t="s">
        <v>26</v>
      </c>
      <c r="B14" s="14">
        <f>'Data Sheet'!B66</f>
        <v>6403.23</v>
      </c>
      <c r="C14" s="54">
        <f>'Data Sheet'!C66</f>
        <v>4939.01</v>
      </c>
      <c r="D14" s="54">
        <f>'Data Sheet'!D66</f>
        <v>7009.08</v>
      </c>
      <c r="E14" s="54">
        <f>'Data Sheet'!E66</f>
        <v>9522.23</v>
      </c>
      <c r="F14" s="54">
        <f>'Data Sheet'!F66</f>
        <v>11386.83</v>
      </c>
      <c r="G14" s="14">
        <f>'Data Sheet'!G66</f>
        <v>12449.72</v>
      </c>
      <c r="H14" s="14">
        <f>'Data Sheet'!H66</f>
        <v>14558.61</v>
      </c>
      <c r="I14" s="14">
        <f>'Data Sheet'!I66</f>
        <v>16139.83</v>
      </c>
      <c r="J14" s="14">
        <f>'Data Sheet'!J66</f>
        <v>19197.64</v>
      </c>
      <c r="K14" s="14">
        <f>'Data Sheet'!K66</f>
        <v>23115.13</v>
      </c>
    </row>
    <row r="15" spans="1:11">
      <c r="B15" s="4"/>
      <c r="C15" s="56"/>
      <c r="D15" s="56"/>
      <c r="E15" s="56"/>
      <c r="F15" s="56"/>
      <c r="G15" s="4"/>
      <c r="H15" s="4"/>
      <c r="I15" s="4"/>
      <c r="J15" s="4"/>
      <c r="K15" s="4"/>
    </row>
    <row r="16" spans="1:11">
      <c r="A16" t="s">
        <v>30</v>
      </c>
      <c r="B16" s="4">
        <f>B13-B7</f>
        <v>-1231.6000000000004</v>
      </c>
      <c r="C16" s="56">
        <f t="shared" ref="C16:K16" si="0">C13-C7</f>
        <v>-596.64999999999986</v>
      </c>
      <c r="D16" s="56">
        <f t="shared" si="0"/>
        <v>-776.7600000000001</v>
      </c>
      <c r="E16" s="56">
        <f t="shared" si="0"/>
        <v>-234.83000000000038</v>
      </c>
      <c r="F16" s="56">
        <f t="shared" si="0"/>
        <v>1858.6399999999999</v>
      </c>
      <c r="G16" s="4">
        <f t="shared" si="0"/>
        <v>1791.4700000000003</v>
      </c>
      <c r="H16" s="4">
        <f t="shared" si="0"/>
        <v>5007.6000000000004</v>
      </c>
      <c r="I16" s="4">
        <f t="shared" si="0"/>
        <v>2066.0699999999997</v>
      </c>
      <c r="J16" s="4">
        <f t="shared" si="0"/>
        <v>-204.02999999999975</v>
      </c>
      <c r="K16" s="4">
        <f t="shared" si="0"/>
        <v>1468.5299999999997</v>
      </c>
    </row>
    <row r="17" spans="1:14">
      <c r="A17" t="s">
        <v>44</v>
      </c>
      <c r="B17" s="4">
        <f>'Data Sheet'!B67</f>
        <v>562.16999999999996</v>
      </c>
      <c r="C17" s="56">
        <f>'Data Sheet'!C67</f>
        <v>32.64</v>
      </c>
      <c r="D17" s="56">
        <f>'Data Sheet'!D67</f>
        <v>50.04</v>
      </c>
      <c r="E17" s="56">
        <f>'Data Sheet'!E67</f>
        <v>68</v>
      </c>
      <c r="F17" s="56">
        <f>'Data Sheet'!F67</f>
        <v>84.29</v>
      </c>
      <c r="G17" s="4">
        <f>'Data Sheet'!G67</f>
        <v>86.76</v>
      </c>
      <c r="H17" s="4">
        <f>'Data Sheet'!H67</f>
        <v>158.16</v>
      </c>
      <c r="I17" s="4">
        <f>'Data Sheet'!I67</f>
        <v>302.04000000000002</v>
      </c>
      <c r="J17" s="4">
        <f>'Data Sheet'!J67</f>
        <v>368.92</v>
      </c>
      <c r="K17" s="4">
        <f>'Data Sheet'!K67</f>
        <v>373.78</v>
      </c>
    </row>
    <row r="18" spans="1:14">
      <c r="A18" t="s">
        <v>45</v>
      </c>
      <c r="B18" s="4">
        <f>'Data Sheet'!B68</f>
        <v>645.52</v>
      </c>
      <c r="C18" s="56">
        <f>'Data Sheet'!C68</f>
        <v>308.39</v>
      </c>
      <c r="D18" s="56">
        <f>'Data Sheet'!D68</f>
        <v>335.9</v>
      </c>
      <c r="E18" s="56">
        <f>'Data Sheet'!E68</f>
        <v>394.64</v>
      </c>
      <c r="F18" s="56">
        <f>'Data Sheet'!F68</f>
        <v>633.38</v>
      </c>
      <c r="G18" s="4">
        <f>'Data Sheet'!G68</f>
        <v>572.35</v>
      </c>
      <c r="H18" s="4">
        <f>'Data Sheet'!H68</f>
        <v>874.6</v>
      </c>
      <c r="I18" s="4">
        <f>'Data Sheet'!I68</f>
        <v>1132.4000000000001</v>
      </c>
      <c r="J18" s="4">
        <f>'Data Sheet'!J68</f>
        <v>1278.44</v>
      </c>
      <c r="K18" s="4">
        <f>'Data Sheet'!K68</f>
        <v>1409.64</v>
      </c>
    </row>
    <row r="19" spans="1:14">
      <c r="C19" s="30"/>
      <c r="D19" s="30"/>
      <c r="E19" s="30"/>
      <c r="F19" s="30"/>
    </row>
    <row r="20" spans="1:14">
      <c r="A20" t="s">
        <v>46</v>
      </c>
      <c r="B20" s="4">
        <f>IF('Profit &amp; Loss'!B4&gt;0,'Balance Sheet'!B17/('Profit &amp; Loss'!B4/365),0)</f>
        <v>23.481864935136272</v>
      </c>
      <c r="C20" s="56">
        <f>IF('Profit &amp; Loss'!C4&gt;0,'Balance Sheet'!C17/('Profit &amp; Loss'!C4/365),0)</f>
        <v>1.9298092155776503</v>
      </c>
      <c r="D20" s="56">
        <f>IF('Profit &amp; Loss'!D4&gt;0,'Balance Sheet'!D17/('Profit &amp; Loss'!D4/365),0)</f>
        <v>2.5968527133546417</v>
      </c>
      <c r="E20" s="56">
        <f>IF('Profit &amp; Loss'!E4&gt;0,'Balance Sheet'!E17/('Profit &amp; Loss'!E4/365),0)</f>
        <v>2.7685566918313076</v>
      </c>
      <c r="F20" s="56">
        <f>IF('Profit &amp; Loss'!F4&gt;0,'Balance Sheet'!F17/('Profit &amp; Loss'!F4/365),0)</f>
        <v>3.140314543342595</v>
      </c>
      <c r="G20" s="4">
        <f>IF('Profit &amp; Loss'!G4&gt;0,'Balance Sheet'!G17/('Profit &amp; Loss'!G4/365),0)</f>
        <v>3.4595644545631332</v>
      </c>
      <c r="H20" s="4">
        <f>IF('Profit &amp; Loss'!H4&gt;0,'Balance Sheet'!H17/('Profit &amp; Loss'!H4/365),0)</f>
        <v>6.6199636482480626</v>
      </c>
      <c r="I20" s="4">
        <f>IF('Profit &amp; Loss'!I4&gt;0,'Balance Sheet'!I17/('Profit &amp; Loss'!I4/365),0)</f>
        <v>10.705614678043821</v>
      </c>
      <c r="J20" s="4">
        <f>IF('Profit &amp; Loss'!J4&gt;0,'Balance Sheet'!J17/('Profit &amp; Loss'!J4/365),0)</f>
        <v>9.3237862981904396</v>
      </c>
      <c r="K20" s="4">
        <f>IF('Profit &amp; Loss'!K4&gt;0,'Balance Sheet'!K17/('Profit &amp; Loss'!K4/365),0)</f>
        <v>8.2505754188795457</v>
      </c>
    </row>
    <row r="21" spans="1:14">
      <c r="A21" t="s">
        <v>47</v>
      </c>
      <c r="B21" s="4">
        <f>IF('Balance Sheet'!B18&gt;0,'Profit &amp; Loss'!B4/'Balance Sheet'!B18,0)</f>
        <v>13.536869500557691</v>
      </c>
      <c r="C21" s="56">
        <f>IF('Balance Sheet'!C18&gt;0,'Profit &amp; Loss'!C4/'Balance Sheet'!C18,0)</f>
        <v>20.018353383702454</v>
      </c>
      <c r="D21" s="56">
        <f>IF('Balance Sheet'!D18&gt;0,'Profit &amp; Loss'!D4/'Balance Sheet'!D18,0)</f>
        <v>20.938850848466807</v>
      </c>
      <c r="E21" s="56">
        <f>IF('Balance Sheet'!E18&gt;0,'Profit &amp; Loss'!E4/'Balance Sheet'!E18,0)</f>
        <v>22.716805189539834</v>
      </c>
      <c r="F21" s="56">
        <f>IF('Balance Sheet'!F18&gt;0,'Profit &amp; Loss'!F4/'Balance Sheet'!F18,0)</f>
        <v>15.467902365088888</v>
      </c>
      <c r="G21" s="4">
        <f>IF('Balance Sheet'!G18&gt;0,'Profit &amp; Loss'!G4/'Balance Sheet'!G18,0)</f>
        <v>15.992976325674849</v>
      </c>
      <c r="H21" s="4">
        <f>IF('Balance Sheet'!H18&gt;0,'Profit &amp; Loss'!H4/'Balance Sheet'!H18,0)</f>
        <v>9.9706723073404984</v>
      </c>
      <c r="I21" s="4">
        <f>IF('Balance Sheet'!I18&gt;0,'Profit &amp; Loss'!I4/'Balance Sheet'!I18,0)</f>
        <v>9.093809607912398</v>
      </c>
      <c r="J21" s="4">
        <f>IF('Balance Sheet'!J18&gt;0,'Profit &amp; Loss'!J4/'Balance Sheet'!J18,0)</f>
        <v>11.296721003723288</v>
      </c>
      <c r="K21" s="4">
        <f>IF('Balance Sheet'!K18&gt;0,'Profit &amp; Loss'!K4/'Balance Sheet'!K18,0)</f>
        <v>11.730498567010015</v>
      </c>
    </row>
    <row r="22" spans="1:14">
      <c r="C22" s="30"/>
      <c r="D22" s="30"/>
      <c r="E22" s="30"/>
      <c r="F22" s="30"/>
    </row>
    <row r="23" spans="1:14" s="2" customFormat="1">
      <c r="A23" s="2" t="s">
        <v>59</v>
      </c>
      <c r="B23" s="10">
        <f>IF(SUM('Balance Sheet'!B4:B5)&gt;0,'Profit &amp; Loss'!B12/SUM('Balance Sheet'!B4:B5),"")</f>
        <v>0.24459230640814672</v>
      </c>
      <c r="C23" s="57">
        <f>IF(SUM('Balance Sheet'!C4:C5)&gt;0,'Profit &amp; Loss'!C12/SUM('Balance Sheet'!C4:C5),"")</f>
        <v>0.36627622095267298</v>
      </c>
      <c r="D23" s="57">
        <f>IF(SUM('Balance Sheet'!D4:D5)&gt;0,'Profit &amp; Loss'!D12/SUM('Balance Sheet'!D4:D5),"")</f>
        <v>0.31189114455002459</v>
      </c>
      <c r="E23" s="57">
        <f>IF(SUM('Balance Sheet'!E4:E5)&gt;0,'Profit &amp; Loss'!E12/SUM('Balance Sheet'!E4:E5),"")</f>
        <v>0.27875540357350637</v>
      </c>
      <c r="F23" s="57">
        <f>IF(SUM('Balance Sheet'!F4:F5)&gt;0,'Profit &amp; Loss'!F12/SUM('Balance Sheet'!F4:F5),"")</f>
        <v>0.24697826593950697</v>
      </c>
      <c r="G23" s="10">
        <f>IF(SUM('Balance Sheet'!G4:G5)&gt;0,'Profit &amp; Loss'!G12/SUM('Balance Sheet'!G4:G5),"")</f>
        <v>0.18309315865355236</v>
      </c>
      <c r="H23" s="10">
        <f>IF(SUM('Balance Sheet'!H4:H5)&gt;0,'Profit &amp; Loss'!H12/SUM('Balance Sheet'!H4:H5),"")</f>
        <v>0.11775490292076993</v>
      </c>
      <c r="I23" s="10">
        <f>IF(SUM('Balance Sheet'!I4:I5)&gt;0,'Profit &amp; Loss'!I12/SUM('Balance Sheet'!I4:I5),"")</f>
        <v>0.13297906091370557</v>
      </c>
      <c r="J23" s="10">
        <f>IF(SUM('Balance Sheet'!J4:J5)&gt;0,'Profit &amp; Loss'!J12/SUM('Balance Sheet'!J4:J5),"")</f>
        <v>0.19438863049923016</v>
      </c>
      <c r="K23" s="10">
        <f>IF(SUM('Balance Sheet'!K4:K5)&gt;0,'Profit &amp; Loss'!K12/SUM('Balance Sheet'!K4:K5),"")</f>
        <v>0.22171751120637631</v>
      </c>
    </row>
    <row r="24" spans="1:14" s="2" customFormat="1">
      <c r="A24" s="2" t="s">
        <v>60</v>
      </c>
      <c r="B24" s="10"/>
      <c r="C24" s="57">
        <f>IF((B4+B5+B6+C4+C5+C6)&gt;0,('Profit &amp; Loss'!C10+'Profit &amp; Loss'!C9)*2/(B4+B5+B6+C4+C5+C6),"")</f>
        <v>0.60130434504342489</v>
      </c>
      <c r="D24" s="57">
        <f>IF((C4+C5+C6+D4+D5+D6)&gt;0,('Profit &amp; Loss'!D10+'Profit &amp; Loss'!D9)*2/(C4+C5+C6+D4+D5+D6),"")</f>
        <v>0.53368051525417792</v>
      </c>
      <c r="E24" s="57">
        <f>IF((D4+D5+D6+E4+E5+E6)&gt;0,('Profit &amp; Loss'!E10+'Profit &amp; Loss'!E9)*2/(D4+D5+D6+E4+E5+E6),"")</f>
        <v>0.49391232513809724</v>
      </c>
      <c r="F24" s="57">
        <f>IF((E4+E5+E6+F4+F5+F6)&gt;0,('Profit &amp; Loss'!F10+'Profit &amp; Loss'!F9)*2/(E4+E5+E6+F4+F5+F6),"")</f>
        <v>0.4058136886074814</v>
      </c>
      <c r="G24" s="10">
        <f>IF((F4+F5+F6+G4+G5+G6)&gt;0,('Profit &amp; Loss'!G10+'Profit &amp; Loss'!G9)*2/(F4+F5+F6+G4+G5+G6),"")</f>
        <v>0.24553603983572109</v>
      </c>
      <c r="H24" s="10">
        <f>IF((G4+G5+G6+H4+H5+H6)&gt;0,('Profit &amp; Loss'!H10+'Profit &amp; Loss'!H9)*2/(G4+G5+G6+H4+H5+H6),"")</f>
        <v>0.16583528500141181</v>
      </c>
      <c r="I24" s="10">
        <f>IF((H4+H5+H6+I4+I5+I6)&gt;0,('Profit &amp; Loss'!I10+'Profit &amp; Loss'!I9)*2/(H4+H5+H6+I4+I5+I6),"")</f>
        <v>0.18227434903483525</v>
      </c>
      <c r="J24" s="10">
        <f>IF((I4+I5+I6+J4+J5+J6)&gt;0,('Profit &amp; Loss'!J10+'Profit &amp; Loss'!J9)*2/(I4+I5+I6+J4+J5+J6),"")</f>
        <v>0.2734582630811877</v>
      </c>
      <c r="K24" s="10">
        <f>IF((J4+J5+J6+K4+K5+K6)&gt;0,('Profit &amp; Loss'!K10+'Profit &amp; Loss'!K9)*2/(J4+J5+J6+K4+K5+K6),"")</f>
        <v>0.31134144903072164</v>
      </c>
    </row>
    <row r="30" spans="1:14">
      <c r="B30" s="50">
        <v>41244</v>
      </c>
      <c r="C30" s="58">
        <v>41609</v>
      </c>
      <c r="D30" s="58">
        <v>41974</v>
      </c>
      <c r="E30" s="58">
        <v>42430</v>
      </c>
      <c r="F30" s="58">
        <v>42795</v>
      </c>
      <c r="G30" s="58">
        <v>43160</v>
      </c>
      <c r="H30" s="58">
        <v>43525</v>
      </c>
      <c r="I30" s="50">
        <v>43891</v>
      </c>
      <c r="J30" s="50">
        <v>44256</v>
      </c>
      <c r="K30" s="50">
        <v>44621</v>
      </c>
      <c r="L30" s="50">
        <v>44986</v>
      </c>
      <c r="M30" s="50">
        <v>45352</v>
      </c>
      <c r="N30" s="50">
        <v>45536</v>
      </c>
    </row>
    <row r="31" spans="1:14">
      <c r="A31" t="s">
        <v>126</v>
      </c>
      <c r="B31">
        <v>27</v>
      </c>
      <c r="C31" s="30">
        <v>27</v>
      </c>
      <c r="D31" s="30">
        <v>27</v>
      </c>
      <c r="E31" s="30">
        <v>27</v>
      </c>
      <c r="F31" s="30">
        <v>27</v>
      </c>
      <c r="G31" s="30">
        <v>27</v>
      </c>
      <c r="H31" s="30">
        <v>27</v>
      </c>
      <c r="I31">
        <v>27</v>
      </c>
      <c r="J31">
        <v>27</v>
      </c>
      <c r="K31">
        <v>27</v>
      </c>
      <c r="L31">
        <v>27</v>
      </c>
      <c r="M31">
        <v>27</v>
      </c>
      <c r="N31">
        <v>27</v>
      </c>
    </row>
    <row r="32" spans="1:14">
      <c r="A32" t="s">
        <v>25</v>
      </c>
      <c r="B32" s="49">
        <v>1728</v>
      </c>
      <c r="C32" s="59">
        <v>2028</v>
      </c>
      <c r="D32" s="59">
        <v>2489</v>
      </c>
      <c r="E32" s="59">
        <v>3626</v>
      </c>
      <c r="F32" s="59">
        <v>5318</v>
      </c>
      <c r="G32" s="59">
        <v>7003</v>
      </c>
      <c r="H32" s="59">
        <v>8891</v>
      </c>
      <c r="I32" s="49">
        <v>9954</v>
      </c>
      <c r="J32" s="49">
        <v>11411</v>
      </c>
      <c r="K32" s="49">
        <v>12581</v>
      </c>
      <c r="L32" s="49">
        <v>14963</v>
      </c>
      <c r="M32" s="49">
        <v>18018</v>
      </c>
      <c r="N32" s="49">
        <v>18952</v>
      </c>
    </row>
    <row r="33" spans="1:14">
      <c r="A33" t="s">
        <v>127</v>
      </c>
      <c r="B33">
        <v>23</v>
      </c>
      <c r="C33" s="30">
        <v>84</v>
      </c>
      <c r="D33" s="30">
        <v>58</v>
      </c>
      <c r="E33" s="30">
        <v>23</v>
      </c>
      <c r="F33" s="30">
        <v>112</v>
      </c>
      <c r="G33" s="30">
        <v>151</v>
      </c>
      <c r="H33" s="30">
        <v>187</v>
      </c>
      <c r="I33">
        <v>249</v>
      </c>
      <c r="J33">
        <v>219</v>
      </c>
      <c r="K33">
        <v>108</v>
      </c>
      <c r="L33">
        <v>288</v>
      </c>
      <c r="M33">
        <v>419</v>
      </c>
      <c r="N33">
        <v>404</v>
      </c>
    </row>
    <row r="34" spans="1:14">
      <c r="A34" t="s">
        <v>128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>
        <v>0</v>
      </c>
      <c r="J34">
        <v>0</v>
      </c>
      <c r="K34">
        <v>0</v>
      </c>
      <c r="L34">
        <v>63</v>
      </c>
      <c r="M34">
        <v>163</v>
      </c>
      <c r="N34">
        <v>170</v>
      </c>
    </row>
    <row r="35" spans="1:14">
      <c r="A35" t="s">
        <v>129</v>
      </c>
      <c r="C35" s="30">
        <v>84</v>
      </c>
      <c r="D35" s="30">
        <v>58</v>
      </c>
      <c r="E35" s="30">
        <v>23</v>
      </c>
      <c r="F35" s="30">
        <v>112</v>
      </c>
      <c r="G35" s="30">
        <v>151</v>
      </c>
      <c r="H35" s="30">
        <v>187</v>
      </c>
      <c r="I35">
        <v>144</v>
      </c>
      <c r="J35">
        <v>157</v>
      </c>
      <c r="K35">
        <v>59</v>
      </c>
      <c r="L35">
        <v>133</v>
      </c>
      <c r="M35">
        <v>112</v>
      </c>
      <c r="N35">
        <v>94</v>
      </c>
    </row>
    <row r="36" spans="1:14">
      <c r="A36" t="s">
        <v>130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>
        <v>105</v>
      </c>
      <c r="J36">
        <v>62</v>
      </c>
      <c r="K36">
        <v>49</v>
      </c>
      <c r="L36">
        <v>93</v>
      </c>
      <c r="M36">
        <v>144</v>
      </c>
      <c r="N36">
        <v>140</v>
      </c>
    </row>
    <row r="37" spans="1:14">
      <c r="A37" s="2" t="s">
        <v>131</v>
      </c>
      <c r="B37" s="51">
        <v>2694</v>
      </c>
      <c r="C37" s="60">
        <v>3197</v>
      </c>
      <c r="D37" s="60">
        <v>3829</v>
      </c>
      <c r="E37" s="60">
        <v>1263</v>
      </c>
      <c r="F37" s="60">
        <v>1552</v>
      </c>
      <c r="G37" s="60">
        <v>2341</v>
      </c>
      <c r="H37" s="60">
        <v>2281</v>
      </c>
      <c r="I37" s="51">
        <v>2220</v>
      </c>
      <c r="J37" s="51">
        <v>2901</v>
      </c>
      <c r="K37" s="51">
        <v>3424</v>
      </c>
      <c r="L37" s="51">
        <v>3919</v>
      </c>
      <c r="M37" s="51">
        <v>4650</v>
      </c>
      <c r="N37" s="51">
        <v>4997</v>
      </c>
    </row>
    <row r="38" spans="1:14">
      <c r="A38" t="s">
        <v>132</v>
      </c>
      <c r="C38" s="59">
        <v>1040</v>
      </c>
      <c r="D38" s="59">
        <v>1085</v>
      </c>
      <c r="E38" s="30">
        <v>0</v>
      </c>
      <c r="F38" s="30">
        <v>0</v>
      </c>
      <c r="G38" s="30">
        <v>0</v>
      </c>
      <c r="H38" s="30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133</v>
      </c>
      <c r="C39" s="59">
        <v>1191</v>
      </c>
      <c r="D39" s="59">
        <v>1513</v>
      </c>
      <c r="E39" s="30">
        <v>723</v>
      </c>
      <c r="F39" s="30">
        <v>765</v>
      </c>
      <c r="G39" s="59">
        <v>1172</v>
      </c>
      <c r="H39" s="59">
        <v>1234</v>
      </c>
      <c r="I39" s="49">
        <v>1008</v>
      </c>
      <c r="J39" s="49">
        <v>1513</v>
      </c>
      <c r="K39" s="49">
        <v>1788</v>
      </c>
      <c r="L39" s="49">
        <v>1810</v>
      </c>
      <c r="M39" s="49">
        <v>2090</v>
      </c>
      <c r="N39" s="49">
        <v>2265</v>
      </c>
    </row>
    <row r="40" spans="1:14">
      <c r="A40" t="s">
        <v>134</v>
      </c>
      <c r="C40" s="30">
        <v>144</v>
      </c>
      <c r="D40" s="30">
        <v>246</v>
      </c>
      <c r="E40" s="30">
        <v>242</v>
      </c>
      <c r="F40" s="30">
        <v>292</v>
      </c>
      <c r="G40" s="30">
        <v>141</v>
      </c>
      <c r="H40" s="30">
        <v>93</v>
      </c>
      <c r="I40">
        <v>61</v>
      </c>
      <c r="J40">
        <v>137</v>
      </c>
      <c r="K40">
        <v>148</v>
      </c>
      <c r="L40">
        <v>126</v>
      </c>
      <c r="M40">
        <v>0</v>
      </c>
    </row>
    <row r="41" spans="1:14">
      <c r="A41" t="s">
        <v>135</v>
      </c>
      <c r="C41" s="30">
        <v>823</v>
      </c>
      <c r="D41" s="30">
        <v>985</v>
      </c>
      <c r="E41" s="30">
        <v>298</v>
      </c>
      <c r="F41" s="30">
        <v>495</v>
      </c>
      <c r="G41" s="59">
        <v>1029</v>
      </c>
      <c r="H41" s="30">
        <v>954</v>
      </c>
      <c r="I41" s="49">
        <v>1151</v>
      </c>
      <c r="J41" s="49">
        <v>1251</v>
      </c>
      <c r="K41" s="49">
        <v>1488</v>
      </c>
      <c r="L41" s="49">
        <v>1982</v>
      </c>
      <c r="M41" s="49">
        <v>2560</v>
      </c>
      <c r="N41" s="49">
        <v>2732</v>
      </c>
    </row>
    <row r="42" spans="1:14">
      <c r="A42" s="2" t="s">
        <v>136</v>
      </c>
      <c r="B42" s="51">
        <v>4471</v>
      </c>
      <c r="C42" s="60">
        <v>5337</v>
      </c>
      <c r="D42" s="60">
        <v>6403</v>
      </c>
      <c r="E42" s="60">
        <v>4939</v>
      </c>
      <c r="F42" s="60">
        <v>7009</v>
      </c>
      <c r="G42" s="60">
        <v>9522</v>
      </c>
      <c r="H42" s="60">
        <v>11387</v>
      </c>
      <c r="I42" s="51">
        <v>12450</v>
      </c>
      <c r="J42" s="51">
        <v>14559</v>
      </c>
      <c r="K42" s="51">
        <v>16140</v>
      </c>
      <c r="L42" s="51">
        <v>19198</v>
      </c>
      <c r="M42" s="51">
        <v>23115</v>
      </c>
      <c r="N42" s="51">
        <v>24380</v>
      </c>
    </row>
    <row r="43" spans="1:14">
      <c r="A43" t="s">
        <v>137</v>
      </c>
      <c r="B43">
        <v>992</v>
      </c>
      <c r="C43" s="59">
        <v>1656</v>
      </c>
      <c r="D43" s="59">
        <v>2309</v>
      </c>
      <c r="E43" s="30">
        <v>790</v>
      </c>
      <c r="F43" s="30">
        <v>873</v>
      </c>
      <c r="G43" s="59">
        <v>1502</v>
      </c>
      <c r="H43" s="59">
        <v>1875</v>
      </c>
      <c r="I43" s="49">
        <v>2378</v>
      </c>
      <c r="J43" s="49">
        <v>2433</v>
      </c>
      <c r="K43" s="49">
        <v>2424</v>
      </c>
      <c r="L43" s="49">
        <v>2690</v>
      </c>
      <c r="M43" s="49">
        <v>2914</v>
      </c>
      <c r="N43" s="49">
        <v>3490</v>
      </c>
    </row>
    <row r="44" spans="1:14">
      <c r="A44" t="s">
        <v>138</v>
      </c>
      <c r="C44" s="30">
        <v>97</v>
      </c>
      <c r="D44" s="30">
        <v>250</v>
      </c>
      <c r="E44" s="30">
        <v>86</v>
      </c>
      <c r="F44" s="30">
        <v>86</v>
      </c>
      <c r="G44" s="30">
        <v>86</v>
      </c>
      <c r="H44" s="30">
        <v>86</v>
      </c>
      <c r="I44">
        <v>182</v>
      </c>
      <c r="J44">
        <v>232</v>
      </c>
      <c r="K44">
        <v>230</v>
      </c>
      <c r="L44">
        <v>230</v>
      </c>
      <c r="M44">
        <v>229</v>
      </c>
    </row>
    <row r="45" spans="1:14">
      <c r="A45" t="s">
        <v>139</v>
      </c>
      <c r="C45" s="30">
        <v>378</v>
      </c>
      <c r="D45" s="30">
        <v>406</v>
      </c>
      <c r="E45" s="30">
        <v>177</v>
      </c>
      <c r="F45" s="30">
        <v>230</v>
      </c>
      <c r="G45" s="30">
        <v>484</v>
      </c>
      <c r="H45" s="30">
        <v>644</v>
      </c>
      <c r="I45">
        <v>871</v>
      </c>
      <c r="J45">
        <v>866</v>
      </c>
      <c r="K45">
        <v>867</v>
      </c>
      <c r="L45" s="49">
        <v>1051</v>
      </c>
      <c r="M45" s="49">
        <v>1127</v>
      </c>
    </row>
    <row r="46" spans="1:14">
      <c r="A46" t="s">
        <v>140</v>
      </c>
      <c r="C46" s="59">
        <v>1439</v>
      </c>
      <c r="D46" s="59">
        <v>1726</v>
      </c>
      <c r="E46" s="30">
        <v>663</v>
      </c>
      <c r="F46" s="30">
        <v>795</v>
      </c>
      <c r="G46" s="59">
        <v>1303</v>
      </c>
      <c r="H46" s="59">
        <v>1548</v>
      </c>
      <c r="I46" s="49">
        <v>1928</v>
      </c>
      <c r="J46" s="49">
        <v>2088</v>
      </c>
      <c r="K46" s="49">
        <v>2336</v>
      </c>
      <c r="L46" s="49">
        <v>2598</v>
      </c>
      <c r="M46" s="49">
        <v>2744</v>
      </c>
    </row>
    <row r="47" spans="1:14">
      <c r="A47" t="s">
        <v>141</v>
      </c>
      <c r="C47" s="30">
        <v>105</v>
      </c>
      <c r="D47" s="30">
        <v>121</v>
      </c>
      <c r="E47" s="30">
        <v>51</v>
      </c>
      <c r="F47" s="30">
        <v>68</v>
      </c>
      <c r="G47" s="30">
        <v>110</v>
      </c>
      <c r="H47" s="30">
        <v>140</v>
      </c>
      <c r="I47">
        <v>188</v>
      </c>
      <c r="J47">
        <v>204</v>
      </c>
      <c r="K47">
        <v>226</v>
      </c>
      <c r="L47">
        <v>266</v>
      </c>
      <c r="M47">
        <v>231</v>
      </c>
    </row>
    <row r="48" spans="1:14">
      <c r="A48" t="s">
        <v>142</v>
      </c>
      <c r="C48" s="30">
        <v>72</v>
      </c>
      <c r="D48" s="30">
        <v>86</v>
      </c>
      <c r="E48" s="30">
        <v>11</v>
      </c>
      <c r="F48" s="30">
        <v>14</v>
      </c>
      <c r="G48" s="30">
        <v>21</v>
      </c>
      <c r="H48" s="30">
        <v>28</v>
      </c>
      <c r="I48">
        <v>34</v>
      </c>
      <c r="J48">
        <v>38</v>
      </c>
      <c r="K48">
        <v>37</v>
      </c>
      <c r="L48">
        <v>39</v>
      </c>
      <c r="M48">
        <v>42</v>
      </c>
    </row>
    <row r="49" spans="1:14">
      <c r="A49" t="s">
        <v>143</v>
      </c>
      <c r="C49" s="30">
        <v>64</v>
      </c>
      <c r="D49" s="30">
        <v>78</v>
      </c>
      <c r="E49" s="30">
        <v>19</v>
      </c>
      <c r="F49" s="30">
        <v>30</v>
      </c>
      <c r="G49" s="30">
        <v>48</v>
      </c>
      <c r="H49" s="30">
        <v>64</v>
      </c>
      <c r="I49">
        <v>81</v>
      </c>
      <c r="J49">
        <v>97</v>
      </c>
      <c r="K49">
        <v>122</v>
      </c>
      <c r="L49">
        <v>137</v>
      </c>
      <c r="M49">
        <v>180</v>
      </c>
    </row>
    <row r="50" spans="1:14">
      <c r="A50" t="s">
        <v>144</v>
      </c>
      <c r="C50" s="30">
        <v>22</v>
      </c>
      <c r="D50" s="30">
        <v>22</v>
      </c>
      <c r="E50" s="30">
        <v>0</v>
      </c>
      <c r="F50" s="30">
        <v>0</v>
      </c>
      <c r="G50" s="30">
        <v>0</v>
      </c>
      <c r="H50" s="3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49">
        <v>1170</v>
      </c>
    </row>
    <row r="51" spans="1:14">
      <c r="A51" t="s">
        <v>145</v>
      </c>
      <c r="C51" s="30">
        <v>122</v>
      </c>
      <c r="D51" s="30">
        <v>446</v>
      </c>
      <c r="E51" s="30">
        <v>53</v>
      </c>
      <c r="F51" s="30">
        <v>72</v>
      </c>
      <c r="G51" s="30">
        <v>93</v>
      </c>
      <c r="H51" s="30">
        <v>258</v>
      </c>
      <c r="I51">
        <v>301</v>
      </c>
      <c r="J51">
        <v>523</v>
      </c>
      <c r="K51">
        <v>588</v>
      </c>
      <c r="L51">
        <v>820</v>
      </c>
      <c r="M51" s="49">
        <v>1177</v>
      </c>
    </row>
    <row r="52" spans="1:14">
      <c r="A52" t="s">
        <v>146</v>
      </c>
      <c r="C52" s="59">
        <v>2299</v>
      </c>
      <c r="D52" s="59">
        <v>3137</v>
      </c>
      <c r="E52" s="59">
        <v>1061</v>
      </c>
      <c r="F52" s="59">
        <v>1295</v>
      </c>
      <c r="G52" s="59">
        <v>2144</v>
      </c>
      <c r="H52" s="59">
        <v>2767</v>
      </c>
      <c r="I52" s="49">
        <v>3585</v>
      </c>
      <c r="J52" s="49">
        <v>4049</v>
      </c>
      <c r="K52" s="49">
        <v>4405</v>
      </c>
      <c r="L52" s="49">
        <v>5142</v>
      </c>
      <c r="M52" s="49">
        <v>5729</v>
      </c>
    </row>
    <row r="53" spans="1:14">
      <c r="A53" t="s">
        <v>147</v>
      </c>
      <c r="C53" s="30">
        <v>643</v>
      </c>
      <c r="D53" s="30">
        <v>828</v>
      </c>
      <c r="E53" s="30">
        <v>271</v>
      </c>
      <c r="F53" s="30">
        <v>422</v>
      </c>
      <c r="G53" s="30">
        <v>643</v>
      </c>
      <c r="H53" s="30">
        <v>893</v>
      </c>
      <c r="I53" s="49">
        <v>1208</v>
      </c>
      <c r="J53" s="49">
        <v>1616</v>
      </c>
      <c r="K53" s="49">
        <v>1981</v>
      </c>
      <c r="L53" s="49">
        <v>2452</v>
      </c>
      <c r="M53" s="49">
        <v>2815</v>
      </c>
    </row>
    <row r="54" spans="1:14">
      <c r="A54" t="s">
        <v>148</v>
      </c>
      <c r="B54">
        <v>504</v>
      </c>
      <c r="C54" s="30">
        <v>464</v>
      </c>
      <c r="D54" s="30">
        <v>419</v>
      </c>
      <c r="E54" s="30">
        <v>94</v>
      </c>
      <c r="F54" s="30">
        <v>374</v>
      </c>
      <c r="G54" s="30">
        <v>333</v>
      </c>
      <c r="H54" s="30">
        <v>450</v>
      </c>
      <c r="I54">
        <v>312</v>
      </c>
      <c r="J54">
        <v>314</v>
      </c>
      <c r="K54">
        <v>505</v>
      </c>
      <c r="L54">
        <v>472</v>
      </c>
      <c r="M54">
        <v>555</v>
      </c>
      <c r="N54">
        <v>230</v>
      </c>
    </row>
    <row r="55" spans="1:14">
      <c r="A55" t="s">
        <v>29</v>
      </c>
      <c r="B55">
        <v>638</v>
      </c>
      <c r="C55" s="30">
        <v>825</v>
      </c>
      <c r="D55" s="59">
        <v>1078</v>
      </c>
      <c r="E55" s="59">
        <v>3388</v>
      </c>
      <c r="F55" s="59">
        <v>4987</v>
      </c>
      <c r="G55" s="59">
        <v>5581</v>
      </c>
      <c r="H55" s="59">
        <v>4923</v>
      </c>
      <c r="I55" s="49">
        <v>5749</v>
      </c>
      <c r="J55" s="49">
        <v>3902</v>
      </c>
      <c r="K55" s="49">
        <v>7721</v>
      </c>
      <c r="L55" s="49">
        <v>12321</v>
      </c>
      <c r="M55" s="49">
        <v>13527</v>
      </c>
      <c r="N55" s="49">
        <v>14693</v>
      </c>
    </row>
    <row r="56" spans="1:14">
      <c r="A56" t="s">
        <v>149</v>
      </c>
      <c r="B56" s="49">
        <v>2337</v>
      </c>
      <c r="C56" s="59">
        <v>2391</v>
      </c>
      <c r="D56" s="59">
        <v>2597</v>
      </c>
      <c r="E56" s="30">
        <v>667</v>
      </c>
      <c r="F56" s="30">
        <v>775</v>
      </c>
      <c r="G56" s="59">
        <v>2106</v>
      </c>
      <c r="H56" s="59">
        <v>4140</v>
      </c>
      <c r="I56" s="49">
        <v>4011</v>
      </c>
      <c r="J56" s="49">
        <v>7909</v>
      </c>
      <c r="K56" s="49">
        <v>5490</v>
      </c>
      <c r="L56" s="49">
        <v>3715</v>
      </c>
      <c r="M56" s="49">
        <v>6119</v>
      </c>
      <c r="N56" s="49">
        <v>5968</v>
      </c>
    </row>
    <row r="57" spans="1:14">
      <c r="A57" t="s">
        <v>150</v>
      </c>
      <c r="C57" s="30">
        <v>527</v>
      </c>
      <c r="D57" s="30">
        <v>646</v>
      </c>
      <c r="E57" s="30">
        <v>308</v>
      </c>
      <c r="F57" s="30">
        <v>336</v>
      </c>
      <c r="G57" s="30">
        <v>395</v>
      </c>
      <c r="H57" s="30">
        <v>633</v>
      </c>
      <c r="I57">
        <v>572</v>
      </c>
      <c r="J57">
        <v>875</v>
      </c>
      <c r="K57" s="49">
        <v>1132</v>
      </c>
      <c r="L57" s="49">
        <v>1278</v>
      </c>
      <c r="M57" s="49">
        <v>1410</v>
      </c>
      <c r="N57" s="49">
        <v>1792</v>
      </c>
    </row>
    <row r="58" spans="1:14">
      <c r="A58" t="s">
        <v>151</v>
      </c>
      <c r="C58" s="30">
        <v>512</v>
      </c>
      <c r="D58" s="30">
        <v>562</v>
      </c>
      <c r="E58" s="30">
        <v>33</v>
      </c>
      <c r="F58" s="30">
        <v>50</v>
      </c>
      <c r="G58" s="30">
        <v>68</v>
      </c>
      <c r="H58" s="30">
        <v>84</v>
      </c>
      <c r="I58">
        <v>87</v>
      </c>
      <c r="J58">
        <v>158</v>
      </c>
      <c r="K58">
        <v>302</v>
      </c>
      <c r="L58">
        <v>369</v>
      </c>
      <c r="M58">
        <v>374</v>
      </c>
      <c r="N58">
        <v>313</v>
      </c>
    </row>
    <row r="59" spans="1:14">
      <c r="A59" t="s">
        <v>152</v>
      </c>
      <c r="C59" s="30">
        <v>683</v>
      </c>
      <c r="D59" s="30">
        <v>353</v>
      </c>
      <c r="E59" s="30">
        <v>49</v>
      </c>
      <c r="F59" s="30">
        <v>25</v>
      </c>
      <c r="G59" s="59">
        <v>1212</v>
      </c>
      <c r="H59" s="59">
        <v>2965</v>
      </c>
      <c r="I59" s="49">
        <v>2951</v>
      </c>
      <c r="J59" s="49">
        <v>5830</v>
      </c>
      <c r="K59" s="49">
        <v>2722</v>
      </c>
      <c r="L59">
        <v>766</v>
      </c>
      <c r="M59">
        <v>146</v>
      </c>
      <c r="N59">
        <v>208</v>
      </c>
    </row>
    <row r="60" spans="1:14">
      <c r="A60" t="s">
        <v>153</v>
      </c>
      <c r="C60" s="30">
        <v>76</v>
      </c>
      <c r="D60" s="30">
        <v>88</v>
      </c>
      <c r="E60" s="30">
        <v>39</v>
      </c>
      <c r="F60" s="30">
        <v>39</v>
      </c>
      <c r="G60" s="30">
        <v>64</v>
      </c>
      <c r="H60" s="30">
        <v>82</v>
      </c>
      <c r="I60">
        <v>99</v>
      </c>
      <c r="J60">
        <v>594</v>
      </c>
      <c r="K60">
        <v>867</v>
      </c>
      <c r="L60">
        <v>835</v>
      </c>
      <c r="M60">
        <v>680</v>
      </c>
      <c r="N60" s="49">
        <v>1370</v>
      </c>
    </row>
    <row r="61" spans="1:14">
      <c r="A61" t="s">
        <v>154</v>
      </c>
      <c r="C61" s="30">
        <v>593</v>
      </c>
      <c r="D61" s="30">
        <v>949</v>
      </c>
      <c r="E61" s="30">
        <v>237</v>
      </c>
      <c r="F61" s="30">
        <v>326</v>
      </c>
      <c r="G61" s="30">
        <v>368</v>
      </c>
      <c r="H61" s="30">
        <v>375</v>
      </c>
      <c r="I61">
        <v>303</v>
      </c>
      <c r="J61">
        <v>452</v>
      </c>
      <c r="K61">
        <v>466</v>
      </c>
      <c r="L61">
        <v>467</v>
      </c>
      <c r="M61" s="49">
        <v>3509</v>
      </c>
      <c r="N61" s="49">
        <v>2284</v>
      </c>
    </row>
    <row r="62" spans="1:14">
      <c r="A62" s="2" t="s">
        <v>155</v>
      </c>
      <c r="B62" s="51">
        <v>4471</v>
      </c>
      <c r="C62" s="60">
        <v>5337</v>
      </c>
      <c r="D62" s="60">
        <v>6403</v>
      </c>
      <c r="E62" s="60">
        <v>4939</v>
      </c>
      <c r="F62" s="60">
        <v>7009</v>
      </c>
      <c r="G62" s="60">
        <v>9522</v>
      </c>
      <c r="H62" s="60">
        <v>11387</v>
      </c>
      <c r="I62" s="51">
        <v>12450</v>
      </c>
      <c r="J62" s="51">
        <v>14559</v>
      </c>
      <c r="K62" s="51">
        <v>16140</v>
      </c>
      <c r="L62" s="51">
        <v>19198</v>
      </c>
      <c r="M62" s="51">
        <v>23115</v>
      </c>
      <c r="N62" s="51">
        <v>24380</v>
      </c>
    </row>
    <row r="64" spans="1:14">
      <c r="I64" t="b">
        <f>I62=I42</f>
        <v>1</v>
      </c>
      <c r="J64" t="b">
        <f t="shared" ref="J64:N64" si="1">J62=J42</f>
        <v>1</v>
      </c>
      <c r="K64" t="b">
        <f t="shared" si="1"/>
        <v>1</v>
      </c>
      <c r="L64" t="b">
        <f t="shared" si="1"/>
        <v>1</v>
      </c>
      <c r="M64" t="b">
        <f t="shared" si="1"/>
        <v>1</v>
      </c>
      <c r="N64" t="b">
        <f t="shared" si="1"/>
        <v>1</v>
      </c>
    </row>
    <row r="67" spans="1:14">
      <c r="A67" t="s">
        <v>165</v>
      </c>
      <c r="J67">
        <f>J40-I40</f>
        <v>76</v>
      </c>
      <c r="K67">
        <f>K40-J40</f>
        <v>11</v>
      </c>
      <c r="L67">
        <f>L40-K40</f>
        <v>-22</v>
      </c>
      <c r="M67">
        <f>M40-L40</f>
        <v>-126</v>
      </c>
      <c r="N67">
        <f>N40-M40</f>
        <v>0</v>
      </c>
    </row>
    <row r="68" spans="1:14">
      <c r="A68" t="s">
        <v>166</v>
      </c>
      <c r="I68" s="49"/>
      <c r="J68" s="49">
        <f>I60-J60</f>
        <v>-495</v>
      </c>
      <c r="K68" s="49">
        <f t="shared" ref="K68:N68" si="2">J60-K60</f>
        <v>-273</v>
      </c>
      <c r="L68" s="49">
        <f t="shared" si="2"/>
        <v>32</v>
      </c>
      <c r="M68" s="49">
        <f t="shared" si="2"/>
        <v>155</v>
      </c>
      <c r="N68" s="49">
        <f t="shared" si="2"/>
        <v>-690</v>
      </c>
    </row>
    <row r="69" spans="1:14">
      <c r="J69">
        <f>SUM(J67:J68)</f>
        <v>-419</v>
      </c>
      <c r="K69">
        <f t="shared" ref="K69:N69" si="3">SUM(K67:K68)</f>
        <v>-262</v>
      </c>
      <c r="L69">
        <f t="shared" si="3"/>
        <v>10</v>
      </c>
      <c r="M69">
        <f t="shared" si="3"/>
        <v>29</v>
      </c>
      <c r="N69">
        <f t="shared" si="3"/>
        <v>-690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scale="48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M28"/>
  <sheetViews>
    <sheetView zoomScale="150" zoomScaleNormal="150" zoomScalePageLayoutView="15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P32" sqref="P32"/>
    </sheetView>
  </sheetViews>
  <sheetFormatPr defaultColWidth="8.85546875" defaultRowHeight="15"/>
  <cols>
    <col min="1" max="1" width="26.85546875" bestFit="1" customWidth="1"/>
    <col min="2" max="8" width="13.42578125" hidden="1" customWidth="1"/>
    <col min="9" max="11" width="13.42578125" bestFit="1" customWidth="1"/>
  </cols>
  <sheetData>
    <row r="1" spans="1:13" s="2" customFormat="1">
      <c r="A1" s="2" t="str">
        <f>'Balance Sheet'!A1</f>
        <v>EICHER MOTORS LTD</v>
      </c>
      <c r="E1" t="str">
        <f>UPDATE</f>
        <v/>
      </c>
      <c r="F1"/>
      <c r="J1" s="2" t="s">
        <v>1</v>
      </c>
    </row>
    <row r="3" spans="1:13" s="2" customFormat="1">
      <c r="A3" s="11" t="s">
        <v>2</v>
      </c>
      <c r="B3" s="12">
        <f>'Data Sheet'!B81</f>
        <v>42004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3" s="2" customFormat="1">
      <c r="A4" s="2" t="s">
        <v>32</v>
      </c>
      <c r="B4" s="1">
        <f>'Data Sheet'!B82</f>
        <v>1047.47</v>
      </c>
      <c r="C4" s="1">
        <f>'Data Sheet'!C82</f>
        <v>1463.08</v>
      </c>
      <c r="D4" s="1">
        <f>'Data Sheet'!D82</f>
        <v>1707.97</v>
      </c>
      <c r="E4" s="1">
        <f>'Data Sheet'!E82</f>
        <v>2482.25</v>
      </c>
      <c r="F4" s="1">
        <f>'Data Sheet'!F82</f>
        <v>1575.47</v>
      </c>
      <c r="G4" s="1">
        <f>'Data Sheet'!G82</f>
        <v>1694.12</v>
      </c>
      <c r="H4" s="1">
        <f>'Data Sheet'!H82</f>
        <v>1690.97</v>
      </c>
      <c r="I4" s="1">
        <f>'Data Sheet'!I82</f>
        <v>1527.04</v>
      </c>
      <c r="J4" s="1">
        <f>'Data Sheet'!J82</f>
        <v>2822.66</v>
      </c>
      <c r="K4" s="1">
        <f>'Data Sheet'!K82</f>
        <v>3723.71</v>
      </c>
    </row>
    <row r="5" spans="1:13">
      <c r="A5" t="s">
        <v>33</v>
      </c>
      <c r="B5" s="6">
        <f>'Data Sheet'!B83</f>
        <v>-1214.48</v>
      </c>
      <c r="C5" s="6">
        <f>'Data Sheet'!C83</f>
        <v>-1001.4</v>
      </c>
      <c r="D5" s="6">
        <f>'Data Sheet'!D83</f>
        <v>-1743.58</v>
      </c>
      <c r="E5" s="6">
        <f>'Data Sheet'!E83</f>
        <v>-2145.02</v>
      </c>
      <c r="F5" s="6">
        <f>'Data Sheet'!F83</f>
        <v>-659.88</v>
      </c>
      <c r="G5" s="6">
        <f>'Data Sheet'!G83</f>
        <v>-1508.41</v>
      </c>
      <c r="H5" s="6">
        <f>'Data Sheet'!H83</f>
        <v>-1625.3</v>
      </c>
      <c r="I5" s="6">
        <f>'Data Sheet'!I83</f>
        <v>-983.25</v>
      </c>
      <c r="J5" s="6">
        <f>'Data Sheet'!J83</f>
        <v>-2396.8000000000002</v>
      </c>
      <c r="K5" s="6">
        <f>'Data Sheet'!K83</f>
        <v>-2833.93</v>
      </c>
    </row>
    <row r="6" spans="1:13">
      <c r="A6" t="s">
        <v>34</v>
      </c>
      <c r="B6" s="6">
        <f>'Data Sheet'!B84</f>
        <v>-162.22999999999999</v>
      </c>
      <c r="C6" s="6">
        <f>'Data Sheet'!C84</f>
        <v>-465.52</v>
      </c>
      <c r="D6" s="6">
        <f>'Data Sheet'!D84</f>
        <v>25.29</v>
      </c>
      <c r="E6" s="6">
        <f>'Data Sheet'!E84</f>
        <v>-262.01</v>
      </c>
      <c r="F6" s="6">
        <f>'Data Sheet'!F84</f>
        <v>-292.3</v>
      </c>
      <c r="G6" s="6">
        <f>'Data Sheet'!G84</f>
        <v>-858.25</v>
      </c>
      <c r="H6" s="6">
        <f>'Data Sheet'!H84</f>
        <v>-14.76</v>
      </c>
      <c r="I6" s="6">
        <f>'Data Sheet'!I84</f>
        <v>-593.36</v>
      </c>
      <c r="J6" s="6">
        <f>'Data Sheet'!J84</f>
        <v>-417.44</v>
      </c>
      <c r="K6" s="6">
        <f>'Data Sheet'!K84</f>
        <v>-844.36</v>
      </c>
    </row>
    <row r="7" spans="1:13" s="2" customFormat="1">
      <c r="A7" s="2" t="s">
        <v>35</v>
      </c>
      <c r="B7" s="1">
        <f>'Data Sheet'!B85</f>
        <v>-329.24</v>
      </c>
      <c r="C7" s="1">
        <f>'Data Sheet'!C85</f>
        <v>-3.84</v>
      </c>
      <c r="D7" s="1">
        <f>'Data Sheet'!D85</f>
        <v>-10.32</v>
      </c>
      <c r="E7" s="1">
        <f>'Data Sheet'!E85</f>
        <v>75.22</v>
      </c>
      <c r="F7" s="1">
        <f>'Data Sheet'!F85</f>
        <v>623.29</v>
      </c>
      <c r="G7" s="1">
        <f>'Data Sheet'!G85</f>
        <v>-672.54</v>
      </c>
      <c r="H7" s="1">
        <f>'Data Sheet'!H85</f>
        <v>50.91</v>
      </c>
      <c r="I7" s="1">
        <f>'Data Sheet'!I85</f>
        <v>-49.57</v>
      </c>
      <c r="J7" s="1">
        <f>'Data Sheet'!J85</f>
        <v>8.42</v>
      </c>
      <c r="K7" s="1">
        <f>'Data Sheet'!K85</f>
        <v>45.42</v>
      </c>
    </row>
    <row r="8" spans="1:13">
      <c r="B8" s="6"/>
      <c r="C8" s="6"/>
      <c r="D8" s="6"/>
      <c r="E8" s="6"/>
      <c r="F8" s="6"/>
      <c r="G8" s="6"/>
      <c r="H8" s="6"/>
      <c r="I8" s="6"/>
      <c r="J8" s="6"/>
      <c r="K8" s="6"/>
    </row>
    <row r="13" spans="1:13">
      <c r="B13" s="66">
        <v>41244</v>
      </c>
      <c r="C13" s="66">
        <v>41609</v>
      </c>
      <c r="D13" s="66">
        <v>41974</v>
      </c>
      <c r="E13" s="66">
        <v>42430</v>
      </c>
      <c r="F13" s="66">
        <v>42795</v>
      </c>
      <c r="G13" s="66">
        <v>43160</v>
      </c>
      <c r="H13" s="66">
        <v>43525</v>
      </c>
      <c r="I13" s="66">
        <v>43891</v>
      </c>
      <c r="J13" s="66">
        <v>44256</v>
      </c>
      <c r="K13" s="66">
        <v>44621</v>
      </c>
      <c r="L13" s="66">
        <v>44986</v>
      </c>
      <c r="M13" s="66">
        <v>45352</v>
      </c>
    </row>
    <row r="14" spans="1:13">
      <c r="A14" t="s">
        <v>169</v>
      </c>
      <c r="B14">
        <v>496</v>
      </c>
      <c r="C14">
        <v>716</v>
      </c>
      <c r="D14" s="49">
        <v>1047</v>
      </c>
      <c r="E14" s="49">
        <v>1463</v>
      </c>
      <c r="F14" s="49">
        <v>1708</v>
      </c>
      <c r="G14" s="49">
        <v>2482</v>
      </c>
      <c r="H14" s="49">
        <v>1575</v>
      </c>
      <c r="I14" s="49"/>
      <c r="J14" s="49"/>
      <c r="K14" s="49"/>
      <c r="L14" s="49"/>
      <c r="M14" s="49"/>
    </row>
    <row r="15" spans="1:13">
      <c r="A15" t="s">
        <v>170</v>
      </c>
      <c r="B15">
        <v>-773</v>
      </c>
      <c r="C15">
        <v>-790</v>
      </c>
      <c r="D15" s="49">
        <v>-1214</v>
      </c>
      <c r="E15" s="49">
        <v>-1001</v>
      </c>
      <c r="F15" s="49">
        <v>-1744</v>
      </c>
      <c r="G15" s="49">
        <v>-2145</v>
      </c>
      <c r="H15">
        <v>-660</v>
      </c>
      <c r="I15" s="51">
        <v>-1508</v>
      </c>
      <c r="J15" s="51">
        <v>-1625</v>
      </c>
      <c r="K15" s="2">
        <v>-983</v>
      </c>
      <c r="L15" s="51">
        <v>-2397</v>
      </c>
      <c r="M15" s="51">
        <v>-2834</v>
      </c>
    </row>
    <row r="16" spans="1:13">
      <c r="A16" t="s">
        <v>171</v>
      </c>
      <c r="B16">
        <v>-786</v>
      </c>
      <c r="C16">
        <v>-712</v>
      </c>
      <c r="D16">
        <v>-972</v>
      </c>
      <c r="E16">
        <v>-510</v>
      </c>
      <c r="F16">
        <v>-548</v>
      </c>
      <c r="G16">
        <v>-748</v>
      </c>
      <c r="H16">
        <v>-792</v>
      </c>
      <c r="I16">
        <v>-546</v>
      </c>
      <c r="J16">
        <v>-532</v>
      </c>
      <c r="K16">
        <v>-641</v>
      </c>
      <c r="L16">
        <v>-682</v>
      </c>
      <c r="M16">
        <v>-819</v>
      </c>
    </row>
    <row r="17" spans="1:13">
      <c r="A17" t="s">
        <v>172</v>
      </c>
      <c r="B17">
        <v>4</v>
      </c>
      <c r="C17">
        <v>7</v>
      </c>
      <c r="D17">
        <v>4</v>
      </c>
      <c r="E17">
        <v>1</v>
      </c>
      <c r="F17">
        <v>1</v>
      </c>
      <c r="G17">
        <v>3</v>
      </c>
      <c r="H17">
        <v>2</v>
      </c>
      <c r="I17">
        <v>1</v>
      </c>
      <c r="J17">
        <v>17</v>
      </c>
      <c r="K17">
        <v>2</v>
      </c>
      <c r="L17">
        <v>9</v>
      </c>
      <c r="M17">
        <v>4</v>
      </c>
    </row>
    <row r="18" spans="1:13">
      <c r="I18" s="51">
        <f>SUM(I16:I17)</f>
        <v>-545</v>
      </c>
      <c r="J18" s="51">
        <f t="shared" ref="J18:M18" si="0">SUM(J16:J17)</f>
        <v>-515</v>
      </c>
      <c r="K18" s="51">
        <f t="shared" si="0"/>
        <v>-639</v>
      </c>
      <c r="L18" s="51">
        <f t="shared" si="0"/>
        <v>-673</v>
      </c>
      <c r="M18" s="51">
        <f t="shared" si="0"/>
        <v>-815</v>
      </c>
    </row>
    <row r="19" spans="1:13">
      <c r="A19" t="s">
        <v>173</v>
      </c>
      <c r="B19">
        <v>-126</v>
      </c>
      <c r="C19">
        <v>-187</v>
      </c>
      <c r="D19">
        <v>-181</v>
      </c>
      <c r="E19">
        <v>-662</v>
      </c>
      <c r="F19" s="49">
        <v>-4247</v>
      </c>
      <c r="G19" s="49">
        <v>-6464</v>
      </c>
      <c r="H19" s="49">
        <v>-7929</v>
      </c>
      <c r="I19" s="49">
        <v>-8746</v>
      </c>
      <c r="J19" s="49">
        <v>-3983</v>
      </c>
      <c r="K19" s="49">
        <v>-7134</v>
      </c>
      <c r="L19" s="49">
        <v>-9103</v>
      </c>
      <c r="M19" s="49">
        <v>-6106</v>
      </c>
    </row>
    <row r="20" spans="1:13">
      <c r="A20" t="s">
        <v>174</v>
      </c>
      <c r="B20">
        <v>30</v>
      </c>
      <c r="C20">
        <v>29</v>
      </c>
      <c r="D20">
        <v>0</v>
      </c>
      <c r="E20">
        <v>158</v>
      </c>
      <c r="F20" s="49">
        <v>3051</v>
      </c>
      <c r="G20" s="49">
        <v>6124</v>
      </c>
      <c r="H20" s="49">
        <v>9051</v>
      </c>
      <c r="I20" s="49">
        <v>8176</v>
      </c>
      <c r="J20" s="49">
        <v>5971</v>
      </c>
      <c r="K20" s="49">
        <v>3500</v>
      </c>
      <c r="L20" s="49">
        <v>5080</v>
      </c>
      <c r="M20" s="49">
        <v>5968</v>
      </c>
    </row>
    <row r="21" spans="1:13">
      <c r="F21" s="49"/>
      <c r="G21" s="49"/>
      <c r="H21" s="49"/>
      <c r="I21" s="51">
        <f>SUM(I19:I20)</f>
        <v>-570</v>
      </c>
      <c r="J21" s="51">
        <f t="shared" ref="J21:M21" si="1">SUM(J19:J20)</f>
        <v>1988</v>
      </c>
      <c r="K21" s="51">
        <f t="shared" si="1"/>
        <v>-3634</v>
      </c>
      <c r="L21" s="51">
        <f t="shared" si="1"/>
        <v>-4023</v>
      </c>
      <c r="M21" s="51">
        <f t="shared" si="1"/>
        <v>-138</v>
      </c>
    </row>
    <row r="22" spans="1:13">
      <c r="A22" t="s">
        <v>175</v>
      </c>
      <c r="B22">
        <v>91</v>
      </c>
      <c r="C22">
        <v>66</v>
      </c>
      <c r="D22">
        <v>55</v>
      </c>
      <c r="E22">
        <v>4</v>
      </c>
      <c r="F22">
        <v>3</v>
      </c>
      <c r="G22">
        <v>12</v>
      </c>
      <c r="H22">
        <v>90</v>
      </c>
      <c r="I22">
        <v>204</v>
      </c>
      <c r="J22">
        <v>192</v>
      </c>
      <c r="K22">
        <v>398</v>
      </c>
      <c r="L22">
        <v>204</v>
      </c>
      <c r="M22">
        <v>112</v>
      </c>
    </row>
    <row r="23" spans="1:13">
      <c r="A23" t="s">
        <v>176</v>
      </c>
      <c r="B23">
        <v>14</v>
      </c>
      <c r="C23">
        <v>7</v>
      </c>
      <c r="D23">
        <v>5</v>
      </c>
      <c r="E23">
        <v>107</v>
      </c>
      <c r="F23">
        <v>0</v>
      </c>
      <c r="G23">
        <v>52</v>
      </c>
      <c r="H23">
        <v>65</v>
      </c>
      <c r="I23">
        <v>68</v>
      </c>
      <c r="J23">
        <v>0</v>
      </c>
      <c r="K23">
        <v>27</v>
      </c>
      <c r="L23">
        <v>41</v>
      </c>
      <c r="M23">
        <v>95</v>
      </c>
    </row>
    <row r="24" spans="1:13">
      <c r="A24" t="s">
        <v>177</v>
      </c>
      <c r="B24">
        <v>0</v>
      </c>
      <c r="C24">
        <v>0</v>
      </c>
      <c r="D24">
        <v>0</v>
      </c>
      <c r="E24">
        <v>-109</v>
      </c>
      <c r="F24">
        <v>-39</v>
      </c>
      <c r="G24">
        <v>-16</v>
      </c>
      <c r="H24">
        <v>-30</v>
      </c>
      <c r="I24">
        <v>-1</v>
      </c>
      <c r="J24">
        <v>0</v>
      </c>
      <c r="K24">
        <v>0</v>
      </c>
      <c r="L24">
        <v>0</v>
      </c>
      <c r="M24">
        <v>0</v>
      </c>
    </row>
    <row r="25" spans="1:13">
      <c r="A25" t="s">
        <v>178</v>
      </c>
      <c r="B25">
        <v>0</v>
      </c>
      <c r="C25">
        <v>0</v>
      </c>
      <c r="D25">
        <v>-125</v>
      </c>
      <c r="E25">
        <v>9</v>
      </c>
      <c r="F25">
        <v>36</v>
      </c>
      <c r="G25" s="49">
        <v>-1106</v>
      </c>
      <c r="H25" s="49">
        <v>-1117</v>
      </c>
      <c r="I25">
        <v>-665</v>
      </c>
      <c r="J25" s="49">
        <v>-3290</v>
      </c>
      <c r="K25" s="49">
        <v>2864</v>
      </c>
      <c r="L25" s="49">
        <v>2055</v>
      </c>
      <c r="M25" s="49">
        <v>-2089</v>
      </c>
    </row>
    <row r="27" spans="1:13">
      <c r="I27" s="49">
        <f>SUM(I21,I18)</f>
        <v>-1115</v>
      </c>
    </row>
    <row r="28" spans="1:13">
      <c r="I28" s="49">
        <f>SUM(I27,I25)</f>
        <v>-1780</v>
      </c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5546875" defaultRowHeight="15"/>
  <cols>
    <col min="1" max="1" width="8.85546875" style="2"/>
    <col min="2" max="2" width="10.42578125" customWidth="1"/>
    <col min="3" max="3" width="13.28515625" style="20" customWidth="1"/>
    <col min="6" max="6" width="6.85546875" customWidth="1"/>
  </cols>
  <sheetData>
    <row r="1" spans="1:7" ht="21">
      <c r="A1" s="19" t="s">
        <v>56</v>
      </c>
    </row>
    <row r="3" spans="1:7">
      <c r="A3" s="2" t="s">
        <v>48</v>
      </c>
    </row>
    <row r="4" spans="1:7">
      <c r="B4" t="s">
        <v>90</v>
      </c>
    </row>
    <row r="5" spans="1:7">
      <c r="B5" t="s">
        <v>49</v>
      </c>
    </row>
    <row r="7" spans="1:7">
      <c r="A7" s="2" t="s">
        <v>50</v>
      </c>
    </row>
    <row r="8" spans="1:7">
      <c r="B8" t="s">
        <v>51</v>
      </c>
      <c r="C8" s="21" t="s">
        <v>91</v>
      </c>
    </row>
    <row r="10" spans="1:7">
      <c r="A10" s="2" t="s">
        <v>52</v>
      </c>
    </row>
    <row r="11" spans="1:7">
      <c r="B11" t="s">
        <v>53</v>
      </c>
    </row>
    <row r="14" spans="1:7">
      <c r="A14" s="2" t="s">
        <v>54</v>
      </c>
    </row>
    <row r="15" spans="1:7">
      <c r="B15" t="s">
        <v>55</v>
      </c>
    </row>
    <row r="16" spans="1:7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B45" activePane="bottomRight" state="frozen"/>
      <selection activeCell="C4" sqref="C4"/>
      <selection pane="topRight" activeCell="C4" sqref="C4"/>
      <selection pane="bottomLeft" activeCell="C4" sqref="C4"/>
      <selection pane="bottomRight" activeCell="A45" sqref="A45"/>
    </sheetView>
  </sheetViews>
  <sheetFormatPr defaultColWidth="8.85546875" defaultRowHeight="15"/>
  <cols>
    <col min="1" max="1" width="27.7109375" style="4" bestFit="1" customWidth="1"/>
    <col min="2" max="4" width="13.42578125" style="4" bestFit="1" customWidth="1"/>
    <col min="5" max="6" width="13.42578125" style="4" hidden="1" customWidth="1"/>
    <col min="7" max="11" width="13.42578125" style="4" bestFit="1" customWidth="1"/>
    <col min="12" max="16384" width="8.85546875" style="4"/>
  </cols>
  <sheetData>
    <row r="1" spans="1:11" s="1" customFormat="1">
      <c r="A1" s="1" t="s">
        <v>0</v>
      </c>
      <c r="B1" s="1" t="s">
        <v>63</v>
      </c>
      <c r="E1" s="332" t="str">
        <f>IF(B2&lt;&gt;B3, "A NEW VERSION OF THE WORKSHEET IS AVAILABLE", "")</f>
        <v/>
      </c>
      <c r="F1" s="332"/>
      <c r="G1" s="332"/>
      <c r="H1" s="332"/>
      <c r="I1" s="332"/>
      <c r="J1" s="332"/>
      <c r="K1" s="332"/>
    </row>
    <row r="2" spans="1:11">
      <c r="A2" s="1" t="s">
        <v>61</v>
      </c>
      <c r="B2" s="4">
        <v>2.1</v>
      </c>
      <c r="E2" s="333" t="s">
        <v>36</v>
      </c>
      <c r="F2" s="333"/>
      <c r="G2" s="333"/>
      <c r="H2" s="333"/>
      <c r="I2" s="333"/>
      <c r="J2" s="333"/>
      <c r="K2" s="333"/>
    </row>
    <row r="3" spans="1:11">
      <c r="A3" s="1" t="s">
        <v>62</v>
      </c>
      <c r="B3" s="4">
        <v>2.1</v>
      </c>
    </row>
    <row r="4" spans="1:11">
      <c r="A4" s="1"/>
    </row>
    <row r="5" spans="1:11">
      <c r="A5" s="1" t="s">
        <v>64</v>
      </c>
    </row>
    <row r="6" spans="1:11">
      <c r="A6" s="4" t="s">
        <v>42</v>
      </c>
      <c r="B6" s="4">
        <f>IF(B9&gt;0, B9/B8, 0)</f>
        <v>27.41324521333463</v>
      </c>
    </row>
    <row r="7" spans="1:11">
      <c r="A7" s="4" t="s">
        <v>31</v>
      </c>
      <c r="B7">
        <v>1</v>
      </c>
    </row>
    <row r="8" spans="1:11">
      <c r="A8" s="4" t="s">
        <v>43</v>
      </c>
      <c r="B8">
        <v>5144.5</v>
      </c>
    </row>
    <row r="9" spans="1:11">
      <c r="A9" s="4" t="s">
        <v>79</v>
      </c>
      <c r="B9">
        <v>141027.44</v>
      </c>
    </row>
    <row r="15" spans="1:11">
      <c r="A15" s="1" t="s">
        <v>37</v>
      </c>
    </row>
    <row r="16" spans="1:11" s="18" customFormat="1">
      <c r="A16" s="17" t="s">
        <v>38</v>
      </c>
      <c r="B16" s="12">
        <v>42004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>
      <c r="A17" s="28" t="s">
        <v>6</v>
      </c>
      <c r="B17" s="30">
        <v>8738.32</v>
      </c>
      <c r="C17" s="30">
        <v>6173.46</v>
      </c>
      <c r="D17" s="30">
        <v>7033.36</v>
      </c>
      <c r="E17">
        <v>8964.9599999999991</v>
      </c>
      <c r="F17">
        <v>9797.06</v>
      </c>
      <c r="G17">
        <v>9153.58</v>
      </c>
      <c r="H17">
        <v>8720.35</v>
      </c>
      <c r="I17">
        <v>10297.83</v>
      </c>
      <c r="J17">
        <v>14442.18</v>
      </c>
      <c r="K17">
        <v>16535.78</v>
      </c>
    </row>
    <row r="18" spans="1:11" s="6" customFormat="1">
      <c r="A18" s="28" t="s">
        <v>80</v>
      </c>
      <c r="B18" s="30">
        <v>5855.79</v>
      </c>
      <c r="C18" s="30">
        <v>3497.73</v>
      </c>
      <c r="D18" s="30">
        <v>3725.72</v>
      </c>
      <c r="E18">
        <v>4679.07</v>
      </c>
      <c r="F18">
        <v>5269.64</v>
      </c>
      <c r="G18">
        <v>4914.58</v>
      </c>
      <c r="H18">
        <v>5319.85</v>
      </c>
      <c r="I18">
        <v>6107.28</v>
      </c>
      <c r="J18">
        <v>8281.0400000000009</v>
      </c>
      <c r="K18">
        <v>9187.35</v>
      </c>
    </row>
    <row r="19" spans="1:11" s="6" customFormat="1">
      <c r="A19" s="28" t="s">
        <v>81</v>
      </c>
      <c r="B19" s="30">
        <v>84.72</v>
      </c>
      <c r="C19" s="30">
        <v>62.05</v>
      </c>
      <c r="D19" s="30">
        <v>19.61</v>
      </c>
      <c r="E19">
        <v>33.869999999999997</v>
      </c>
      <c r="F19">
        <v>210.16</v>
      </c>
      <c r="G19">
        <v>-84.09</v>
      </c>
      <c r="H19">
        <v>205.9</v>
      </c>
      <c r="I19">
        <v>148.59</v>
      </c>
      <c r="J19">
        <v>63.25</v>
      </c>
      <c r="K19">
        <v>197.03</v>
      </c>
    </row>
    <row r="20" spans="1:11" s="6" customFormat="1">
      <c r="A20" s="28" t="s">
        <v>82</v>
      </c>
      <c r="B20" s="30">
        <v>74.069999999999993</v>
      </c>
      <c r="C20" s="30">
        <v>46.18</v>
      </c>
      <c r="D20" s="30">
        <v>46.02</v>
      </c>
      <c r="E20">
        <v>52.41</v>
      </c>
      <c r="F20">
        <v>66.959999999999994</v>
      </c>
      <c r="G20">
        <v>62.86</v>
      </c>
      <c r="H20">
        <v>52.98</v>
      </c>
      <c r="I20">
        <v>55.78</v>
      </c>
      <c r="J20">
        <v>72.97</v>
      </c>
      <c r="K20">
        <v>80.61</v>
      </c>
    </row>
    <row r="21" spans="1:11" s="6" customFormat="1">
      <c r="A21" s="28" t="s">
        <v>83</v>
      </c>
      <c r="B21" s="30">
        <v>171.82</v>
      </c>
      <c r="C21" s="30">
        <v>173.76</v>
      </c>
      <c r="D21" s="30">
        <v>173.09</v>
      </c>
      <c r="E21">
        <v>210.76</v>
      </c>
      <c r="F21">
        <v>263.49</v>
      </c>
      <c r="G21">
        <v>256.58</v>
      </c>
      <c r="H21">
        <v>250.85</v>
      </c>
      <c r="I21">
        <v>332.41</v>
      </c>
      <c r="J21">
        <v>397.21</v>
      </c>
      <c r="K21">
        <v>394.36</v>
      </c>
    </row>
    <row r="22" spans="1:11" s="6" customFormat="1">
      <c r="A22" s="28" t="s">
        <v>84</v>
      </c>
      <c r="B22" s="30">
        <v>659.64</v>
      </c>
      <c r="C22" s="30">
        <v>350.21</v>
      </c>
      <c r="D22" s="30">
        <v>426.28</v>
      </c>
      <c r="E22">
        <v>573.67999999999995</v>
      </c>
      <c r="F22">
        <v>702.44</v>
      </c>
      <c r="G22">
        <v>795.78</v>
      </c>
      <c r="H22">
        <v>843.23</v>
      </c>
      <c r="I22">
        <v>821.02</v>
      </c>
      <c r="J22">
        <v>1001.93</v>
      </c>
      <c r="K22">
        <v>1235.69</v>
      </c>
    </row>
    <row r="23" spans="1:11" s="6" customFormat="1">
      <c r="A23" s="29" t="s">
        <v>85</v>
      </c>
      <c r="B23" s="30">
        <v>674.42</v>
      </c>
      <c r="C23" s="30">
        <v>397.4</v>
      </c>
      <c r="D23" s="30">
        <v>412.25</v>
      </c>
      <c r="E23">
        <v>565.66</v>
      </c>
      <c r="F23">
        <v>654.82000000000005</v>
      </c>
      <c r="G23">
        <v>667.16</v>
      </c>
      <c r="H23">
        <v>522.52</v>
      </c>
      <c r="I23">
        <v>815.51</v>
      </c>
      <c r="J23">
        <v>1164.58</v>
      </c>
      <c r="K23">
        <v>1384.91</v>
      </c>
    </row>
    <row r="24" spans="1:11" s="6" customFormat="1">
      <c r="A24" s="29" t="s">
        <v>86</v>
      </c>
      <c r="B24" s="30">
        <v>269.63</v>
      </c>
      <c r="C24" s="30">
        <v>80.5</v>
      </c>
      <c r="D24" s="30">
        <v>95.3</v>
      </c>
      <c r="E24">
        <v>108.62</v>
      </c>
      <c r="F24">
        <v>145.63</v>
      </c>
      <c r="G24">
        <v>189.64</v>
      </c>
      <c r="H24">
        <v>153.59</v>
      </c>
      <c r="I24">
        <v>136.85</v>
      </c>
      <c r="J24">
        <v>141.97999999999999</v>
      </c>
      <c r="K24">
        <v>120.52</v>
      </c>
    </row>
    <row r="25" spans="1:11" s="6" customFormat="1">
      <c r="A25" s="6" t="s">
        <v>9</v>
      </c>
      <c r="B25" s="30">
        <v>104.55</v>
      </c>
      <c r="C25" s="30">
        <v>325.91000000000003</v>
      </c>
      <c r="D25" s="30">
        <v>416.44</v>
      </c>
      <c r="E25">
        <v>535.66</v>
      </c>
      <c r="F25">
        <v>700.66</v>
      </c>
      <c r="G25">
        <v>572.41999999999996</v>
      </c>
      <c r="H25">
        <v>482.34</v>
      </c>
      <c r="I25">
        <v>495.65</v>
      </c>
      <c r="J25">
        <v>908.14</v>
      </c>
      <c r="K25">
        <v>1521.13</v>
      </c>
    </row>
    <row r="26" spans="1:11" s="6" customFormat="1">
      <c r="A26" s="6" t="s">
        <v>10</v>
      </c>
      <c r="B26" s="30">
        <v>219.82</v>
      </c>
      <c r="C26" s="30">
        <v>136.6</v>
      </c>
      <c r="D26" s="30">
        <v>153.81</v>
      </c>
      <c r="E26">
        <v>223.3</v>
      </c>
      <c r="F26">
        <v>300.27999999999997</v>
      </c>
      <c r="G26">
        <v>381.54</v>
      </c>
      <c r="H26">
        <v>450.73</v>
      </c>
      <c r="I26">
        <v>451.93</v>
      </c>
      <c r="J26">
        <v>526.21</v>
      </c>
      <c r="K26">
        <v>597.6</v>
      </c>
    </row>
    <row r="27" spans="1:11" s="6" customFormat="1">
      <c r="A27" s="6" t="s">
        <v>11</v>
      </c>
      <c r="B27" s="30">
        <v>9.7799999999999994</v>
      </c>
      <c r="C27" s="30">
        <v>2.12</v>
      </c>
      <c r="D27" s="30">
        <v>3.56</v>
      </c>
      <c r="E27">
        <v>5.34</v>
      </c>
      <c r="F27">
        <v>7.33</v>
      </c>
      <c r="G27">
        <v>18.88</v>
      </c>
      <c r="H27">
        <v>16.45</v>
      </c>
      <c r="I27">
        <v>18.78</v>
      </c>
      <c r="J27">
        <v>28.02</v>
      </c>
      <c r="K27">
        <v>50.88</v>
      </c>
    </row>
    <row r="28" spans="1:11" s="6" customFormat="1">
      <c r="A28" s="6" t="s">
        <v>12</v>
      </c>
      <c r="B28" s="30">
        <v>992.62</v>
      </c>
      <c r="C28" s="30">
        <v>1876.92</v>
      </c>
      <c r="D28" s="30">
        <v>2433.38</v>
      </c>
      <c r="E28">
        <v>3115.65</v>
      </c>
      <c r="F28">
        <v>3297.29</v>
      </c>
      <c r="G28">
        <v>2354.89</v>
      </c>
      <c r="H28">
        <v>1798.39</v>
      </c>
      <c r="I28">
        <v>2202.5100000000002</v>
      </c>
      <c r="J28">
        <v>3799.63</v>
      </c>
      <c r="K28">
        <v>5202.0200000000004</v>
      </c>
    </row>
    <row r="29" spans="1:11" s="6" customFormat="1">
      <c r="A29" s="6" t="s">
        <v>13</v>
      </c>
      <c r="B29" s="30">
        <v>290.88</v>
      </c>
      <c r="C29" s="30">
        <v>538.88</v>
      </c>
      <c r="D29" s="30">
        <v>720.3</v>
      </c>
      <c r="E29">
        <v>935.93</v>
      </c>
      <c r="F29">
        <v>1077.04</v>
      </c>
      <c r="G29">
        <v>527.45000000000005</v>
      </c>
      <c r="H29">
        <v>451.5</v>
      </c>
      <c r="I29">
        <v>525.91</v>
      </c>
      <c r="J29">
        <v>885.69</v>
      </c>
      <c r="K29">
        <v>1201.01</v>
      </c>
    </row>
    <row r="30" spans="1:11" s="6" customFormat="1">
      <c r="A30" s="6" t="s">
        <v>14</v>
      </c>
      <c r="B30" s="30">
        <v>615.36</v>
      </c>
      <c r="C30" s="30">
        <v>1338.04</v>
      </c>
      <c r="D30" s="30">
        <v>1667.08</v>
      </c>
      <c r="E30">
        <v>1959.67</v>
      </c>
      <c r="F30">
        <v>2202.73</v>
      </c>
      <c r="G30">
        <v>1827.44</v>
      </c>
      <c r="H30">
        <v>1346.89</v>
      </c>
      <c r="I30">
        <v>1676.6</v>
      </c>
      <c r="J30">
        <v>2913.94</v>
      </c>
      <c r="K30">
        <v>4001.01</v>
      </c>
    </row>
    <row r="31" spans="1:11" s="6" customFormat="1">
      <c r="A31" s="6" t="s">
        <v>70</v>
      </c>
      <c r="B31" s="30">
        <v>135.5</v>
      </c>
      <c r="C31" s="30">
        <v>271.60000000000002</v>
      </c>
      <c r="D31" s="30">
        <v>272.10000000000002</v>
      </c>
      <c r="E31">
        <v>299.86</v>
      </c>
      <c r="F31">
        <v>341</v>
      </c>
      <c r="G31">
        <v>341.25</v>
      </c>
      <c r="H31">
        <v>464.61</v>
      </c>
      <c r="I31">
        <v>574.14</v>
      </c>
      <c r="J31">
        <v>1011.95</v>
      </c>
      <c r="K31">
        <v>1396.38</v>
      </c>
    </row>
    <row r="32" spans="1:11" s="6" customFormat="1"/>
    <row r="33" spans="1:11">
      <c r="A33" s="6"/>
    </row>
    <row r="34" spans="1:11">
      <c r="A34" s="6"/>
    </row>
    <row r="35" spans="1:11">
      <c r="A35" s="6"/>
    </row>
    <row r="36" spans="1:11">
      <c r="A36" s="6"/>
    </row>
    <row r="37" spans="1:11">
      <c r="A37" s="6"/>
    </row>
    <row r="38" spans="1:11">
      <c r="A38" s="6"/>
    </row>
    <row r="39" spans="1:11">
      <c r="A39" s="6"/>
    </row>
    <row r="40" spans="1:11">
      <c r="A40" s="1" t="s">
        <v>39</v>
      </c>
    </row>
    <row r="41" spans="1:11" s="18" customFormat="1">
      <c r="A41" s="17" t="s">
        <v>38</v>
      </c>
      <c r="B41" s="12">
        <v>44742</v>
      </c>
      <c r="C41" s="12">
        <v>44834</v>
      </c>
      <c r="D41" s="12">
        <v>44926</v>
      </c>
      <c r="E41" s="12">
        <v>45016</v>
      </c>
      <c r="F41" s="12">
        <v>45107</v>
      </c>
      <c r="G41" s="12">
        <v>45199</v>
      </c>
      <c r="H41" s="12">
        <v>45291</v>
      </c>
      <c r="I41" s="12">
        <v>45382</v>
      </c>
      <c r="J41" s="12">
        <v>45473</v>
      </c>
      <c r="K41" s="12">
        <v>45565</v>
      </c>
    </row>
    <row r="42" spans="1:11" s="6" customFormat="1">
      <c r="A42" s="6" t="s">
        <v>6</v>
      </c>
      <c r="B42">
        <v>3397.46</v>
      </c>
      <c r="C42">
        <v>3519.4</v>
      </c>
      <c r="D42">
        <v>3721</v>
      </c>
      <c r="E42">
        <v>3804.32</v>
      </c>
      <c r="F42">
        <v>3986.37</v>
      </c>
      <c r="G42">
        <v>4114.53</v>
      </c>
      <c r="H42">
        <v>4178.84</v>
      </c>
      <c r="I42">
        <v>4256.04</v>
      </c>
      <c r="J42">
        <v>4393.05</v>
      </c>
      <c r="K42">
        <v>4263.07</v>
      </c>
    </row>
    <row r="43" spans="1:11" s="6" customFormat="1">
      <c r="A43" s="6" t="s">
        <v>7</v>
      </c>
      <c r="B43">
        <v>2566.37</v>
      </c>
      <c r="C43">
        <v>2697.79</v>
      </c>
      <c r="D43">
        <v>2863.77</v>
      </c>
      <c r="E43">
        <v>2870.67</v>
      </c>
      <c r="F43">
        <v>2965.53</v>
      </c>
      <c r="G43">
        <v>3027.37</v>
      </c>
      <c r="H43">
        <v>3088.57</v>
      </c>
      <c r="I43">
        <v>3127.4</v>
      </c>
      <c r="J43">
        <v>3227.62</v>
      </c>
      <c r="K43">
        <v>3175.35</v>
      </c>
    </row>
    <row r="44" spans="1:11" s="6" customFormat="1">
      <c r="A44" s="6" t="s">
        <v>9</v>
      </c>
      <c r="B44">
        <v>82.44</v>
      </c>
      <c r="C44">
        <v>192.74</v>
      </c>
      <c r="D44">
        <v>256.20999999999998</v>
      </c>
      <c r="E44">
        <v>378.89</v>
      </c>
      <c r="F44">
        <v>343.65</v>
      </c>
      <c r="G44">
        <v>375.4</v>
      </c>
      <c r="H44">
        <v>367.58</v>
      </c>
      <c r="I44">
        <v>436.96</v>
      </c>
      <c r="J44">
        <v>456.51</v>
      </c>
      <c r="K44">
        <v>467.53</v>
      </c>
    </row>
    <row r="45" spans="1:11" s="6" customFormat="1">
      <c r="A45" s="6" t="s">
        <v>10</v>
      </c>
      <c r="B45">
        <v>116.22</v>
      </c>
      <c r="C45">
        <v>127.12</v>
      </c>
      <c r="D45">
        <v>134.84</v>
      </c>
      <c r="E45">
        <v>148.03</v>
      </c>
      <c r="F45">
        <v>142.27000000000001</v>
      </c>
      <c r="G45">
        <v>142.54</v>
      </c>
      <c r="H45">
        <v>147.54</v>
      </c>
      <c r="I45">
        <v>165.25</v>
      </c>
      <c r="J45">
        <v>168.63</v>
      </c>
      <c r="K45">
        <v>180.06</v>
      </c>
    </row>
    <row r="46" spans="1:11" s="6" customFormat="1">
      <c r="A46" s="6" t="s">
        <v>11</v>
      </c>
      <c r="B46">
        <v>5.22</v>
      </c>
      <c r="C46">
        <v>7.06</v>
      </c>
      <c r="D46">
        <v>7.58</v>
      </c>
      <c r="E46">
        <v>8.16</v>
      </c>
      <c r="F46">
        <v>10.43</v>
      </c>
      <c r="G46">
        <v>12.68</v>
      </c>
      <c r="H46">
        <v>12.43</v>
      </c>
      <c r="I46">
        <v>15.34</v>
      </c>
      <c r="J46">
        <v>12.27</v>
      </c>
      <c r="K46">
        <v>13.14</v>
      </c>
    </row>
    <row r="47" spans="1:11" s="6" customFormat="1">
      <c r="A47" s="6" t="s">
        <v>12</v>
      </c>
      <c r="B47">
        <v>792.09</v>
      </c>
      <c r="C47">
        <v>880.17</v>
      </c>
      <c r="D47">
        <v>971.02</v>
      </c>
      <c r="E47">
        <v>1156.3499999999999</v>
      </c>
      <c r="F47">
        <v>1211.79</v>
      </c>
      <c r="G47">
        <v>1307.3399999999999</v>
      </c>
      <c r="H47">
        <v>1297.8800000000001</v>
      </c>
      <c r="I47">
        <v>1385.01</v>
      </c>
      <c r="J47">
        <v>1441.04</v>
      </c>
      <c r="K47">
        <v>1362.05</v>
      </c>
    </row>
    <row r="48" spans="1:11" s="6" customFormat="1">
      <c r="A48" s="6" t="s">
        <v>13</v>
      </c>
      <c r="B48">
        <v>181.43</v>
      </c>
      <c r="C48">
        <v>223.31</v>
      </c>
      <c r="D48">
        <v>230.18</v>
      </c>
      <c r="E48">
        <v>250.77</v>
      </c>
      <c r="F48">
        <v>293.45</v>
      </c>
      <c r="G48">
        <v>291.08999999999997</v>
      </c>
      <c r="H48">
        <v>301.91000000000003</v>
      </c>
      <c r="I48">
        <v>314.56</v>
      </c>
      <c r="J48">
        <v>339.58</v>
      </c>
      <c r="K48">
        <v>261.72000000000003</v>
      </c>
    </row>
    <row r="49" spans="1:11" s="6" customFormat="1">
      <c r="A49" s="6" t="s">
        <v>14</v>
      </c>
      <c r="B49">
        <v>610.66</v>
      </c>
      <c r="C49">
        <v>656.86</v>
      </c>
      <c r="D49">
        <v>740.84</v>
      </c>
      <c r="E49">
        <v>905.58</v>
      </c>
      <c r="F49">
        <v>918.34</v>
      </c>
      <c r="G49">
        <v>1016.25</v>
      </c>
      <c r="H49">
        <v>995.97</v>
      </c>
      <c r="I49">
        <v>1070.45</v>
      </c>
      <c r="J49">
        <v>1101.46</v>
      </c>
      <c r="K49">
        <v>1100.33</v>
      </c>
    </row>
    <row r="50" spans="1:11">
      <c r="A50" s="6" t="s">
        <v>8</v>
      </c>
      <c r="B50">
        <v>831.09</v>
      </c>
      <c r="C50">
        <v>821.61</v>
      </c>
      <c r="D50">
        <v>857.23</v>
      </c>
      <c r="E50">
        <v>933.65</v>
      </c>
      <c r="F50">
        <v>1020.84</v>
      </c>
      <c r="G50">
        <v>1087.1600000000001</v>
      </c>
      <c r="H50">
        <v>1090.27</v>
      </c>
      <c r="I50">
        <v>1128.6400000000001</v>
      </c>
      <c r="J50">
        <v>1165.43</v>
      </c>
      <c r="K50">
        <v>1087.72</v>
      </c>
    </row>
    <row r="51" spans="1:11">
      <c r="A51" s="6"/>
    </row>
    <row r="52" spans="1:11">
      <c r="A52" s="6"/>
    </row>
    <row r="53" spans="1:11">
      <c r="A53" s="6"/>
    </row>
    <row r="54" spans="1:11">
      <c r="A54" s="6"/>
    </row>
    <row r="55" spans="1:11">
      <c r="A55" s="1" t="s">
        <v>40</v>
      </c>
    </row>
    <row r="56" spans="1:11" s="18" customFormat="1">
      <c r="A56" s="17" t="s">
        <v>38</v>
      </c>
      <c r="B56" s="12">
        <v>42004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>
      <c r="A57" s="6" t="s">
        <v>24</v>
      </c>
      <c r="B57">
        <v>27.1</v>
      </c>
      <c r="C57">
        <v>27.16</v>
      </c>
      <c r="D57">
        <v>27.21</v>
      </c>
      <c r="E57">
        <v>27.26</v>
      </c>
      <c r="F57">
        <v>27.28</v>
      </c>
      <c r="G57">
        <v>27.3</v>
      </c>
      <c r="H57">
        <v>27.33</v>
      </c>
      <c r="I57">
        <v>27.34</v>
      </c>
      <c r="J57">
        <v>27.35</v>
      </c>
      <c r="K57">
        <v>27.38</v>
      </c>
    </row>
    <row r="58" spans="1:11">
      <c r="A58" s="6" t="s">
        <v>25</v>
      </c>
      <c r="B58">
        <v>2488.7600000000002</v>
      </c>
      <c r="C58">
        <v>3625.93</v>
      </c>
      <c r="D58">
        <v>5317.86</v>
      </c>
      <c r="E58">
        <v>7002.81</v>
      </c>
      <c r="F58">
        <v>8891.44</v>
      </c>
      <c r="G58">
        <v>9953.6299999999992</v>
      </c>
      <c r="H58">
        <v>11410.75</v>
      </c>
      <c r="I58">
        <v>12580.66</v>
      </c>
      <c r="J58">
        <v>14962.93</v>
      </c>
      <c r="K58">
        <v>18018.150000000001</v>
      </c>
    </row>
    <row r="59" spans="1:11">
      <c r="A59" s="6" t="s">
        <v>71</v>
      </c>
      <c r="B59">
        <v>58.36</v>
      </c>
      <c r="C59">
        <v>22.57</v>
      </c>
      <c r="D59">
        <v>111.85</v>
      </c>
      <c r="E59">
        <v>150.84</v>
      </c>
      <c r="F59">
        <v>186.76</v>
      </c>
      <c r="G59">
        <v>249</v>
      </c>
      <c r="H59">
        <v>219.25</v>
      </c>
      <c r="I59">
        <v>107.71</v>
      </c>
      <c r="J59">
        <v>288.41000000000003</v>
      </c>
      <c r="K59">
        <v>419.44</v>
      </c>
    </row>
    <row r="60" spans="1:11">
      <c r="A60" s="6" t="s">
        <v>72</v>
      </c>
      <c r="B60">
        <v>3829.01</v>
      </c>
      <c r="C60">
        <v>1263.3499999999999</v>
      </c>
      <c r="D60">
        <v>1552.16</v>
      </c>
      <c r="E60">
        <v>2341.3200000000002</v>
      </c>
      <c r="F60">
        <v>2281.35</v>
      </c>
      <c r="G60">
        <v>2219.79</v>
      </c>
      <c r="H60">
        <v>2901.28</v>
      </c>
      <c r="I60">
        <v>3424.12</v>
      </c>
      <c r="J60">
        <v>3918.95</v>
      </c>
      <c r="K60">
        <v>4650.16</v>
      </c>
    </row>
    <row r="61" spans="1:11" s="1" customFormat="1">
      <c r="A61" s="1" t="s">
        <v>26</v>
      </c>
      <c r="B61">
        <v>6403.23</v>
      </c>
      <c r="C61">
        <v>4939.01</v>
      </c>
      <c r="D61">
        <v>7009.08</v>
      </c>
      <c r="E61">
        <v>9522.23</v>
      </c>
      <c r="F61">
        <v>11386.83</v>
      </c>
      <c r="G61">
        <v>12449.72</v>
      </c>
      <c r="H61">
        <v>14558.61</v>
      </c>
      <c r="I61">
        <v>16139.83</v>
      </c>
      <c r="J61">
        <v>19197.64</v>
      </c>
      <c r="K61">
        <v>23115.13</v>
      </c>
    </row>
    <row r="62" spans="1:11">
      <c r="A62" s="6" t="s">
        <v>27</v>
      </c>
      <c r="B62">
        <v>2309.33</v>
      </c>
      <c r="C62">
        <v>789.59</v>
      </c>
      <c r="D62">
        <v>872.78</v>
      </c>
      <c r="E62">
        <v>1501.69</v>
      </c>
      <c r="F62">
        <v>1874.58</v>
      </c>
      <c r="G62">
        <v>2377.52</v>
      </c>
      <c r="H62">
        <v>2433.3000000000002</v>
      </c>
      <c r="I62">
        <v>2424.2800000000002</v>
      </c>
      <c r="J62">
        <v>2689.99</v>
      </c>
      <c r="K62">
        <v>2914.38</v>
      </c>
    </row>
    <row r="63" spans="1:11">
      <c r="A63" s="6" t="s">
        <v>28</v>
      </c>
      <c r="B63">
        <v>418.8</v>
      </c>
      <c r="C63">
        <v>94.48</v>
      </c>
      <c r="D63">
        <v>373.77</v>
      </c>
      <c r="E63">
        <v>333.21</v>
      </c>
      <c r="F63">
        <v>449.74</v>
      </c>
      <c r="G63">
        <v>312.17</v>
      </c>
      <c r="H63">
        <v>314.29000000000002</v>
      </c>
      <c r="I63">
        <v>504.78</v>
      </c>
      <c r="J63">
        <v>472.07</v>
      </c>
      <c r="K63">
        <v>555.1</v>
      </c>
    </row>
    <row r="64" spans="1:11">
      <c r="A64" s="6" t="s">
        <v>29</v>
      </c>
      <c r="B64">
        <v>1077.69</v>
      </c>
      <c r="C64">
        <v>3388.24</v>
      </c>
      <c r="D64">
        <v>4987.13</v>
      </c>
      <c r="E64">
        <v>5580.84</v>
      </c>
      <c r="F64">
        <v>4922.5200000000004</v>
      </c>
      <c r="G64">
        <v>5748.77</v>
      </c>
      <c r="H64">
        <v>3902.14</v>
      </c>
      <c r="I64">
        <v>7720.58</v>
      </c>
      <c r="J64">
        <v>12320.66</v>
      </c>
      <c r="K64">
        <v>13526.96</v>
      </c>
    </row>
    <row r="65" spans="1:11">
      <c r="A65" s="6" t="s">
        <v>73</v>
      </c>
      <c r="B65">
        <v>2597.41</v>
      </c>
      <c r="C65">
        <v>666.7</v>
      </c>
      <c r="D65">
        <v>775.4</v>
      </c>
      <c r="E65">
        <v>2106.4899999999998</v>
      </c>
      <c r="F65">
        <v>4139.99</v>
      </c>
      <c r="G65">
        <v>4011.26</v>
      </c>
      <c r="H65">
        <v>7908.88</v>
      </c>
      <c r="I65">
        <v>5490.19</v>
      </c>
      <c r="J65">
        <v>3714.92</v>
      </c>
      <c r="K65">
        <v>6118.69</v>
      </c>
    </row>
    <row r="66" spans="1:11" s="1" customFormat="1">
      <c r="A66" s="1" t="s">
        <v>26</v>
      </c>
      <c r="B66">
        <v>6403.23</v>
      </c>
      <c r="C66">
        <v>4939.01</v>
      </c>
      <c r="D66">
        <v>7009.08</v>
      </c>
      <c r="E66">
        <v>9522.23</v>
      </c>
      <c r="F66">
        <v>11386.83</v>
      </c>
      <c r="G66">
        <v>12449.72</v>
      </c>
      <c r="H66">
        <v>14558.61</v>
      </c>
      <c r="I66">
        <v>16139.83</v>
      </c>
      <c r="J66">
        <v>19197.64</v>
      </c>
      <c r="K66">
        <v>23115.13</v>
      </c>
    </row>
    <row r="67" spans="1:11" s="6" customFormat="1">
      <c r="A67" s="6" t="s">
        <v>78</v>
      </c>
      <c r="B67">
        <v>562.16999999999996</v>
      </c>
      <c r="C67">
        <v>32.64</v>
      </c>
      <c r="D67">
        <v>50.04</v>
      </c>
      <c r="E67">
        <v>68</v>
      </c>
      <c r="F67">
        <v>84.29</v>
      </c>
      <c r="G67">
        <v>86.76</v>
      </c>
      <c r="H67">
        <v>158.16</v>
      </c>
      <c r="I67">
        <v>302.04000000000002</v>
      </c>
      <c r="J67">
        <v>368.92</v>
      </c>
      <c r="K67">
        <v>373.78</v>
      </c>
    </row>
    <row r="68" spans="1:11">
      <c r="A68" s="6" t="s">
        <v>45</v>
      </c>
      <c r="B68">
        <v>645.52</v>
      </c>
      <c r="C68">
        <v>308.39</v>
      </c>
      <c r="D68">
        <v>335.9</v>
      </c>
      <c r="E68">
        <v>394.64</v>
      </c>
      <c r="F68">
        <v>633.38</v>
      </c>
      <c r="G68">
        <v>572.35</v>
      </c>
      <c r="H68">
        <v>874.6</v>
      </c>
      <c r="I68">
        <v>1132.4000000000001</v>
      </c>
      <c r="J68">
        <v>1278.44</v>
      </c>
      <c r="K68">
        <v>1409.64</v>
      </c>
    </row>
    <row r="69" spans="1:11">
      <c r="A69" s="4" t="s">
        <v>87</v>
      </c>
      <c r="B69">
        <v>353.32</v>
      </c>
      <c r="C69">
        <v>49.17</v>
      </c>
      <c r="D69">
        <v>25.06</v>
      </c>
      <c r="E69">
        <v>1212</v>
      </c>
      <c r="F69">
        <v>2965.29</v>
      </c>
      <c r="G69">
        <v>2950.59</v>
      </c>
      <c r="H69">
        <v>5830.36</v>
      </c>
      <c r="I69">
        <v>2722.47</v>
      </c>
      <c r="J69">
        <v>765.58</v>
      </c>
      <c r="K69">
        <v>146.31</v>
      </c>
    </row>
    <row r="70" spans="1:11">
      <c r="A70" s="4" t="s">
        <v>74</v>
      </c>
      <c r="B70">
        <v>27104783</v>
      </c>
      <c r="C70">
        <v>27161183</v>
      </c>
      <c r="D70">
        <v>27210249</v>
      </c>
      <c r="E70">
        <v>27255549</v>
      </c>
      <c r="F70">
        <v>27282570</v>
      </c>
      <c r="G70">
        <v>27304570</v>
      </c>
      <c r="H70">
        <v>273335922</v>
      </c>
      <c r="I70">
        <v>273423102</v>
      </c>
      <c r="J70">
        <v>273481570</v>
      </c>
      <c r="K70">
        <v>273805630</v>
      </c>
    </row>
    <row r="71" spans="1:11">
      <c r="A71" s="4" t="s">
        <v>75</v>
      </c>
    </row>
    <row r="72" spans="1:11">
      <c r="A72" s="4" t="s">
        <v>88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</v>
      </c>
      <c r="I72">
        <v>1</v>
      </c>
      <c r="J72">
        <v>1</v>
      </c>
      <c r="K72">
        <v>1</v>
      </c>
    </row>
    <row r="74" spans="1:11">
      <c r="A74" s="6"/>
    </row>
    <row r="75" spans="1:11">
      <c r="A75" s="6"/>
      <c r="G75" s="4">
        <f>G65</f>
        <v>4011.26</v>
      </c>
      <c r="H75" s="4">
        <f t="shared" ref="H75:K75" si="0">H65</f>
        <v>7908.88</v>
      </c>
      <c r="I75" s="4">
        <f t="shared" si="0"/>
        <v>5490.19</v>
      </c>
      <c r="J75" s="4">
        <f t="shared" si="0"/>
        <v>3714.92</v>
      </c>
      <c r="K75" s="4">
        <f t="shared" si="0"/>
        <v>6118.69</v>
      </c>
    </row>
    <row r="76" spans="1:11">
      <c r="A76" s="6"/>
      <c r="G76" s="4">
        <f>-SUM(G67:G69)</f>
        <v>-3609.7000000000003</v>
      </c>
      <c r="H76" s="4">
        <f t="shared" ref="H76:K76" si="1">-SUM(H67:H69)</f>
        <v>-6863.12</v>
      </c>
      <c r="I76" s="4">
        <f t="shared" si="1"/>
        <v>-4156.91</v>
      </c>
      <c r="J76" s="4">
        <f t="shared" si="1"/>
        <v>-2412.94</v>
      </c>
      <c r="K76" s="4">
        <f t="shared" si="1"/>
        <v>-1929.73</v>
      </c>
    </row>
    <row r="77" spans="1:11">
      <c r="A77" s="6"/>
      <c r="G77" s="4">
        <f>SUM(G75:G76)</f>
        <v>401.55999999999995</v>
      </c>
      <c r="H77" s="4">
        <f t="shared" ref="H77:K77" si="2">SUM(H75:H76)</f>
        <v>1045.7600000000002</v>
      </c>
      <c r="I77" s="4">
        <f t="shared" si="2"/>
        <v>1333.2799999999997</v>
      </c>
      <c r="J77" s="4">
        <f t="shared" si="2"/>
        <v>1301.98</v>
      </c>
      <c r="K77" s="4">
        <f t="shared" si="2"/>
        <v>4188.9599999999991</v>
      </c>
    </row>
    <row r="78" spans="1:11">
      <c r="A78" s="6"/>
    </row>
    <row r="79" spans="1:11">
      <c r="A79" s="6"/>
    </row>
    <row r="80" spans="1:11">
      <c r="A80" s="1" t="s">
        <v>41</v>
      </c>
    </row>
    <row r="81" spans="1:11" s="18" customFormat="1">
      <c r="A81" s="17" t="s">
        <v>38</v>
      </c>
      <c r="B81" s="12">
        <v>42004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>
      <c r="A82" s="6" t="s">
        <v>32</v>
      </c>
      <c r="B82">
        <v>1047.47</v>
      </c>
      <c r="C82">
        <v>1463.08</v>
      </c>
      <c r="D82">
        <v>1707.97</v>
      </c>
      <c r="E82">
        <v>2482.25</v>
      </c>
      <c r="F82">
        <v>1575.47</v>
      </c>
      <c r="G82">
        <v>1694.12</v>
      </c>
      <c r="H82">
        <v>1690.97</v>
      </c>
      <c r="I82">
        <v>1527.04</v>
      </c>
      <c r="J82">
        <v>2822.66</v>
      </c>
      <c r="K82">
        <v>3723.71</v>
      </c>
    </row>
    <row r="83" spans="1:11" s="6" customFormat="1">
      <c r="A83" s="6" t="s">
        <v>33</v>
      </c>
      <c r="B83">
        <v>-1214.48</v>
      </c>
      <c r="C83">
        <v>-1001.4</v>
      </c>
      <c r="D83">
        <v>-1743.58</v>
      </c>
      <c r="E83">
        <v>-2145.02</v>
      </c>
      <c r="F83">
        <v>-659.88</v>
      </c>
      <c r="G83">
        <v>-1508.41</v>
      </c>
      <c r="H83">
        <v>-1625.3</v>
      </c>
      <c r="I83">
        <v>-983.25</v>
      </c>
      <c r="J83">
        <v>-2396.8000000000002</v>
      </c>
      <c r="K83">
        <v>-2833.93</v>
      </c>
    </row>
    <row r="84" spans="1:11" s="6" customFormat="1">
      <c r="A84" s="6" t="s">
        <v>34</v>
      </c>
      <c r="B84">
        <v>-162.22999999999999</v>
      </c>
      <c r="C84">
        <v>-465.52</v>
      </c>
      <c r="D84">
        <v>25.29</v>
      </c>
      <c r="E84">
        <v>-262.01</v>
      </c>
      <c r="F84">
        <v>-292.3</v>
      </c>
      <c r="G84">
        <v>-858.25</v>
      </c>
      <c r="H84">
        <v>-14.76</v>
      </c>
      <c r="I84">
        <v>-593.36</v>
      </c>
      <c r="J84">
        <v>-417.44</v>
      </c>
      <c r="K84">
        <v>-844.36</v>
      </c>
    </row>
    <row r="85" spans="1:11" s="1" customFormat="1">
      <c r="A85" s="6" t="s">
        <v>35</v>
      </c>
      <c r="B85">
        <v>-329.24</v>
      </c>
      <c r="C85">
        <v>-3.84</v>
      </c>
      <c r="D85">
        <v>-10.32</v>
      </c>
      <c r="E85">
        <v>75.22</v>
      </c>
      <c r="F85">
        <v>623.29</v>
      </c>
      <c r="G85">
        <v>-672.54</v>
      </c>
      <c r="H85">
        <v>50.91</v>
      </c>
      <c r="I85">
        <v>-49.57</v>
      </c>
      <c r="J85">
        <v>8.42</v>
      </c>
      <c r="K85">
        <v>45.42</v>
      </c>
    </row>
    <row r="86" spans="1:11">
      <c r="A86" s="6"/>
    </row>
    <row r="87" spans="1:11">
      <c r="A87" s="6"/>
    </row>
    <row r="88" spans="1:11">
      <c r="A88" s="6"/>
    </row>
    <row r="89" spans="1:11">
      <c r="A89" s="6"/>
    </row>
    <row r="90" spans="1:11" s="1" customFormat="1">
      <c r="A90" s="1" t="s">
        <v>77</v>
      </c>
      <c r="B90">
        <v>1507.5</v>
      </c>
      <c r="C90">
        <v>1918.06</v>
      </c>
      <c r="D90">
        <v>2558.75</v>
      </c>
      <c r="E90">
        <v>2837.27</v>
      </c>
      <c r="F90">
        <v>2054.77</v>
      </c>
      <c r="G90">
        <v>1309.5899999999999</v>
      </c>
      <c r="H90">
        <v>2603.9499999999998</v>
      </c>
      <c r="I90">
        <v>2457.15</v>
      </c>
      <c r="J90">
        <v>2948.85</v>
      </c>
      <c r="K90">
        <v>4019.3</v>
      </c>
    </row>
    <row r="92" spans="1:11" s="1" customFormat="1">
      <c r="A92" s="1" t="s">
        <v>76</v>
      </c>
    </row>
    <row r="93" spans="1:11">
      <c r="A93" s="4" t="s">
        <v>89</v>
      </c>
      <c r="B93" s="24">
        <v>27.1</v>
      </c>
      <c r="C93" s="24">
        <v>27.16</v>
      </c>
      <c r="D93" s="24">
        <v>27.21</v>
      </c>
      <c r="E93" s="24">
        <v>27.26</v>
      </c>
      <c r="F93" s="24">
        <v>27.28</v>
      </c>
      <c r="G93" s="24">
        <v>27.31</v>
      </c>
      <c r="H93" s="24">
        <v>27.33</v>
      </c>
      <c r="I93" s="24">
        <v>27.34</v>
      </c>
      <c r="J93" s="24">
        <v>27.35</v>
      </c>
      <c r="K93" s="24">
        <v>27.38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61776-E41E-4D35-8FC6-A3EA0F3E9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Income Statement</vt:lpstr>
      <vt:lpstr>Ratio Analysis</vt:lpstr>
      <vt:lpstr>Revenue Schdule</vt:lpstr>
      <vt:lpstr>Depriciation schedule</vt:lpstr>
      <vt:lpstr>working capital schedle</vt:lpstr>
      <vt:lpstr>CCA</vt:lpstr>
      <vt:lpstr>DCF schedule</vt:lpstr>
      <vt:lpstr>DCF calcuation</vt:lpstr>
      <vt:lpstr>Growth drivers</vt:lpstr>
      <vt:lpstr>Sheet4</vt:lpstr>
      <vt:lpstr>Sheet3</vt:lpstr>
      <vt:lpstr>Retun on market</vt:lpstr>
      <vt:lpstr>dcf footnote</vt:lpstr>
      <vt:lpstr>Beta calculator</vt:lpstr>
      <vt:lpstr>Sheet2</vt:lpstr>
      <vt:lpstr>Cashflow statement</vt:lpstr>
      <vt:lpstr>depriciation</vt:lpstr>
      <vt:lpstr>Profit &amp; Loss</vt:lpstr>
      <vt:lpstr>Quarters</vt:lpstr>
      <vt:lpstr>Balance Sheet</vt:lpstr>
      <vt:lpstr>Cash Flow</vt:lpstr>
      <vt:lpstr>Customization</vt:lpstr>
      <vt:lpstr>Data Sheet</vt:lpstr>
      <vt:lpstr>'Ratio Analysis'!Print_Area</vt:lpstr>
      <vt:lpstr>'Revenue Schdule'!Print_Area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Anoop Nair</cp:lastModifiedBy>
  <cp:lastPrinted>2025-02-27T03:08:57Z</cp:lastPrinted>
  <dcterms:created xsi:type="dcterms:W3CDTF">2012-08-17T09:55:37Z</dcterms:created>
  <dcterms:modified xsi:type="dcterms:W3CDTF">2025-02-27T03:14:19Z</dcterms:modified>
</cp:coreProperties>
</file>