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" sheetId="1" r:id="rId4"/>
    <sheet state="visible" name="Analysis" sheetId="2" r:id="rId5"/>
    <sheet state="visible" name="Stocks" sheetId="3" r:id="rId6"/>
    <sheet state="visible" name="Ticker" sheetId="4" r:id="rId7"/>
    <sheet state="visible" name="ChatGPT" sheetId="5" r:id="rId8"/>
  </sheets>
  <definedNames/>
  <calcPr/>
  <extLst>
    <ext uri="GoogleSheetsCustomDataVersion2">
      <go:sheetsCustomData xmlns:go="http://customooxmlschemas.google.com/" r:id="rId9" roundtripDataChecksum="rZ1R6P8kIB/E/gQWvnmif5YZc+S5LKMhO/4h+tSJndQ="/>
    </ext>
  </extLst>
</workbook>
</file>

<file path=xl/sharedStrings.xml><?xml version="1.0" encoding="utf-8"?>
<sst xmlns="http://schemas.openxmlformats.org/spreadsheetml/2006/main" count="1518" uniqueCount="1064">
  <si>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</si>
  <si>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</si>
  <si>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</si>
  <si>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</si>
  <si>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</si>
  <si>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</si>
  <si>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</si>
  <si>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</si>
  <si>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</si>
  <si>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</si>
  <si>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</si>
  <si>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</si>
  <si>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R$</t>
  </si>
  <si>
    <t>Qtd. Ações</t>
  </si>
  <si>
    <t>Variação R$</t>
  </si>
  <si>
    <t>Resultado</t>
  </si>
  <si>
    <t>Empresa</t>
  </si>
  <si>
    <t>Segmento</t>
  </si>
  <si>
    <t>Idade</t>
  </si>
  <si>
    <t>Faixa Etária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</si>
  <si>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</si>
  <si>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</si>
  <si>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</si>
  <si>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</si>
  <si>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</si>
  <si>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</si>
  <si>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</si>
  <si>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</si>
  <si>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</si>
  <si>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</si>
  <si>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</si>
  <si>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</si>
  <si>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</si>
  <si>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</si>
  <si>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</si>
  <si>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</si>
  <si>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</si>
  <si>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</si>
  <si>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</si>
  <si>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</si>
  <si>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</si>
  <si>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</si>
  <si>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</si>
  <si>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</si>
  <si>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</si>
  <si>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</si>
  <si>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</si>
  <si>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</si>
  <si>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</si>
  <si>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</si>
  <si>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</si>
  <si>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</si>
  <si>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</si>
  <si>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</si>
  <si>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</si>
  <si>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</si>
  <si>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</si>
  <si>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</si>
  <si>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</si>
  <si>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</si>
  <si>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</si>
  <si>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</si>
  <si>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</si>
  <si>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</si>
  <si>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</si>
  <si>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</si>
  <si>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</si>
  <si>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</si>
  <si>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</si>
  <si>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</si>
  <si>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</si>
  <si>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</si>
  <si>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</si>
  <si>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</si>
  <si>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</si>
  <si>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</si>
  <si>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</si>
  <si>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</si>
  <si>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</si>
  <si>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</si>
  <si>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</si>
  <si>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</si>
  <si>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</si>
  <si>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</si>
  <si>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</si>
  <si>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</si>
  <si>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</si>
  <si>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</si>
  <si>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</si>
  <si>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</si>
  <si>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</si>
  <si>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</si>
  <si>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</si>
  <si>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</si>
  <si>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</si>
  <si>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</si>
  <si>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</si>
  <si>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</si>
  <si>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</si>
  <si>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</si>
  <si>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</si>
  <si>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</si>
  <si>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</si>
  <si>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</si>
  <si>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</si>
  <si>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</si>
  <si>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</si>
  <si>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</si>
  <si>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</si>
  <si>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</si>
  <si>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</si>
  <si>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</si>
  <si>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</si>
  <si>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</si>
  <si>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</si>
  <si>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</si>
  <si>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</si>
  <si>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</si>
  <si>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</si>
  <si>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</si>
  <si>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</si>
  <si>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</si>
  <si>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</si>
  <si>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</si>
  <si>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</si>
  <si>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</si>
  <si>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</si>
  <si>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</si>
  <si>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</si>
  <si>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</si>
  <si>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</si>
  <si>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</si>
  <si>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</si>
  <si>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</si>
  <si>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</si>
  <si>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</si>
  <si>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</si>
  <si>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</si>
  <si>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</si>
  <si>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</si>
  <si>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</si>
  <si>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</si>
  <si>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</si>
  <si>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</si>
  <si>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</si>
  <si>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</si>
  <si>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</si>
  <si>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</si>
  <si>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</si>
  <si>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</si>
  <si>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</si>
  <si>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</si>
  <si>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</si>
  <si>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</si>
  <si>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</si>
  <si>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</si>
  <si>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</si>
  <si>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</si>
  <si>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</si>
  <si>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</si>
  <si>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</si>
  <si>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</si>
  <si>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</si>
  <si>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</si>
  <si>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</si>
  <si>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</si>
  <si>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</si>
  <si>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</si>
  <si>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</si>
  <si>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</si>
  <si>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</si>
  <si>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</si>
  <si>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</si>
  <si>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</si>
  <si>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</si>
  <si>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</si>
  <si>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</si>
  <si>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</si>
  <si>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</si>
  <si>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</si>
  <si>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</si>
  <si>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</si>
  <si>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</si>
  <si>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</si>
  <si>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dos positivos</t>
  </si>
  <si>
    <t>Média dos negativos</t>
  </si>
  <si>
    <t>Variação</t>
  </si>
  <si>
    <t>Variação Positva</t>
  </si>
  <si>
    <t>Quantidade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</si>
  <si>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</si>
  <si>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</si>
  <si>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</si>
  <si>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</si>
  <si>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</si>
  <si>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</si>
  <si>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</si>
  <si>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</si>
  <si>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</si>
  <si>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</si>
  <si>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</si>
  <si>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</si>
  <si>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Magazine Luiza</t>
  </si>
  <si>
    <t>Hapvida</t>
  </si>
  <si>
    <t>Petrobras</t>
  </si>
  <si>
    <t>B3</t>
  </si>
  <si>
    <t>Usiminas</t>
  </si>
  <si>
    <t>CVC</t>
  </si>
  <si>
    <t>Cielo</t>
  </si>
  <si>
    <t>Vale</t>
  </si>
  <si>
    <t>GOL</t>
  </si>
  <si>
    <t>Banco Bradesco</t>
  </si>
  <si>
    <t>Azul</t>
  </si>
  <si>
    <t>Cogna</t>
  </si>
  <si>
    <t>Itaúsa</t>
  </si>
  <si>
    <t>Itaú Unibanco</t>
  </si>
  <si>
    <t>Petz</t>
  </si>
  <si>
    <t>MRV</t>
  </si>
  <si>
    <t>Natura</t>
  </si>
  <si>
    <t>Lojas Renner</t>
  </si>
  <si>
    <t>Equatorial Energia</t>
  </si>
  <si>
    <t>Localiza</t>
  </si>
  <si>
    <t>OIBR3</t>
  </si>
  <si>
    <t>Oi</t>
  </si>
  <si>
    <t>AMER3</t>
  </si>
  <si>
    <t>Americanas</t>
  </si>
  <si>
    <t>Locaweb</t>
  </si>
  <si>
    <t>Copel</t>
  </si>
  <si>
    <t>CXSE3</t>
  </si>
  <si>
    <t>Caixa Seguridade</t>
  </si>
  <si>
    <t>Grupo Soma</t>
  </si>
  <si>
    <t>Banco do Brasil</t>
  </si>
  <si>
    <t>SEQL3</t>
  </si>
  <si>
    <t>Sequoia Logística</t>
  </si>
  <si>
    <t>Rumo</t>
  </si>
  <si>
    <t>PetroRio</t>
  </si>
  <si>
    <t>CPLE3</t>
  </si>
  <si>
    <t>BRF</t>
  </si>
  <si>
    <t>Ambev</t>
  </si>
  <si>
    <t>QUAL3</t>
  </si>
  <si>
    <t>Qualicorp</t>
  </si>
  <si>
    <t>RCSL4</t>
  </si>
  <si>
    <t>Recrusul</t>
  </si>
  <si>
    <t>MLAS3</t>
  </si>
  <si>
    <t>Multilaser</t>
  </si>
  <si>
    <t>Siderúrgica Nacional</t>
  </si>
  <si>
    <t>Minerva</t>
  </si>
  <si>
    <t>Assaí</t>
  </si>
  <si>
    <t>CEMIG</t>
  </si>
  <si>
    <t>IFCM3</t>
  </si>
  <si>
    <t>Infracommerce</t>
  </si>
  <si>
    <t>Raízen</t>
  </si>
  <si>
    <t>Grupo Pão de Açúcar</t>
  </si>
  <si>
    <t>Grupo Vamos</t>
  </si>
  <si>
    <t>Gerdau</t>
  </si>
  <si>
    <t>POMO4</t>
  </si>
  <si>
    <t>Marcopolo</t>
  </si>
  <si>
    <t>CSN Mineração</t>
  </si>
  <si>
    <t>MTRE3</t>
  </si>
  <si>
    <t>Mitre Realty</t>
  </si>
  <si>
    <t>ANIM3</t>
  </si>
  <si>
    <t>Ânima Educação</t>
  </si>
  <si>
    <t>Cyrela</t>
  </si>
  <si>
    <t>GMAT3</t>
  </si>
  <si>
    <t>Grupo Mateus</t>
  </si>
  <si>
    <t>RCSL3</t>
  </si>
  <si>
    <t>Marfrig</t>
  </si>
  <si>
    <t>GFSA3</t>
  </si>
  <si>
    <t>Gafisa</t>
  </si>
  <si>
    <t>RaiaDrogasil</t>
  </si>
  <si>
    <t>WEG</t>
  </si>
  <si>
    <t>Ultrapar</t>
  </si>
  <si>
    <t>Multiplan</t>
  </si>
  <si>
    <t>Metalúrgica Gerdau</t>
  </si>
  <si>
    <t>TIM</t>
  </si>
  <si>
    <t>MOVI3</t>
  </si>
  <si>
    <t>Movida</t>
  </si>
  <si>
    <t>Carrefour Brasil</t>
  </si>
  <si>
    <t>Arezzo</t>
  </si>
  <si>
    <t>TEND3</t>
  </si>
  <si>
    <t>Construtora Tenda</t>
  </si>
  <si>
    <t>Hypera</t>
  </si>
  <si>
    <t>VITT3</t>
  </si>
  <si>
    <t>Vittia</t>
  </si>
  <si>
    <t>YDUQS</t>
  </si>
  <si>
    <t>AERI3</t>
  </si>
  <si>
    <t>Aeris Energy</t>
  </si>
  <si>
    <t>Casas Bahia</t>
  </si>
  <si>
    <t>Suzano</t>
  </si>
  <si>
    <t>SBFG3</t>
  </si>
  <si>
    <t>Grupo SBF</t>
  </si>
  <si>
    <t>Bradespar</t>
  </si>
  <si>
    <t>PGMN3</t>
  </si>
  <si>
    <t>Pague Menos</t>
  </si>
  <si>
    <t>BB Seguridade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</si>
  <si>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</si>
  <si>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</si>
  <si>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</si>
  <si>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</si>
  <si>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</si>
  <si>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</si>
  <si>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</si>
  <si>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</si>
  <si>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Dexco</t>
  </si>
  <si>
    <t>3R Petroleum</t>
  </si>
  <si>
    <t>Embraer</t>
  </si>
  <si>
    <t>Eletrobras</t>
  </si>
  <si>
    <t>Rede D'Or</t>
  </si>
  <si>
    <t>São Martinho</t>
  </si>
  <si>
    <t>CEAB3</t>
  </si>
  <si>
    <t>C&amp;A</t>
  </si>
  <si>
    <t>JHSF3</t>
  </si>
  <si>
    <t>JHSF</t>
  </si>
  <si>
    <t>Vibra Energia</t>
  </si>
  <si>
    <t>SIMH3</t>
  </si>
  <si>
    <t>Simpar</t>
  </si>
  <si>
    <t>Eneva</t>
  </si>
  <si>
    <t>PetroRecôncavo</t>
  </si>
  <si>
    <t>VULC3</t>
  </si>
  <si>
    <t>Vulcabras</t>
  </si>
  <si>
    <t>Grupo CCR</t>
  </si>
  <si>
    <t>Cosan</t>
  </si>
  <si>
    <t>Braskem</t>
  </si>
  <si>
    <t>ECOR3</t>
  </si>
  <si>
    <t>EcoRodovias</t>
  </si>
  <si>
    <t>Fleury</t>
  </si>
  <si>
    <t>STBP3</t>
  </si>
  <si>
    <t>Santos Brasil</t>
  </si>
  <si>
    <t>LJQQ3</t>
  </si>
  <si>
    <t>Lojas Quero-Quero</t>
  </si>
  <si>
    <t>CPFL Energia</t>
  </si>
  <si>
    <t>GUAR3</t>
  </si>
  <si>
    <t>Guararapes</t>
  </si>
  <si>
    <t>USIM3</t>
  </si>
  <si>
    <t>IRB Brasil RE</t>
  </si>
  <si>
    <t>PDGR3</t>
  </si>
  <si>
    <t>PDG Realty</t>
  </si>
  <si>
    <t>PSSA3</t>
  </si>
  <si>
    <t>Porto Seguro</t>
  </si>
  <si>
    <t>JBS</t>
  </si>
  <si>
    <t>Sabesp</t>
  </si>
  <si>
    <t>SAPR4</t>
  </si>
  <si>
    <t>Sanepar</t>
  </si>
  <si>
    <t>Alpargatas</t>
  </si>
  <si>
    <t>SLC Agrícola</t>
  </si>
  <si>
    <t>CSMG3</t>
  </si>
  <si>
    <t>COPASA</t>
  </si>
  <si>
    <t>RAPT4</t>
  </si>
  <si>
    <t>Randon</t>
  </si>
  <si>
    <t>EZTEC</t>
  </si>
  <si>
    <t>Totvs</t>
  </si>
  <si>
    <t>MBLY3</t>
  </si>
  <si>
    <t>Mobly</t>
  </si>
  <si>
    <t>CURY3</t>
  </si>
  <si>
    <t>Cury</t>
  </si>
  <si>
    <t>POSI3</t>
  </si>
  <si>
    <t>Positivo</t>
  </si>
  <si>
    <t>Vivo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</si>
  <si>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</si>
  <si>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</si>
  <si>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</si>
  <si>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</si>
  <si>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</si>
  <si>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</si>
  <si>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</si>
  <si>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</si>
  <si>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</si>
  <si>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</si>
  <si>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</si>
  <si>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</si>
  <si>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</si>
  <si>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</si>
  <si>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</si>
  <si>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</si>
  <si>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Transmissão Paulista</t>
  </si>
  <si>
    <t>Engie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</si>
  <si>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</si>
  <si>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</si>
  <si>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</si>
  <si>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</si>
  <si>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</si>
  <si>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</si>
  <si>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</si>
  <si>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</si>
  <si>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</si>
  <si>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</si>
  <si>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</si>
  <si>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</si>
  <si>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</si>
  <si>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</si>
  <si>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</si>
  <si>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</si>
  <si>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</si>
  <si>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</si>
  <si>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</si>
  <si>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</si>
  <si>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</si>
  <si>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</si>
  <si>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</si>
  <si>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</si>
  <si>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</si>
  <si>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</si>
  <si>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</si>
  <si>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</si>
  <si>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</si>
  <si>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</si>
  <si>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</si>
  <si>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</si>
  <si>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</si>
  <si>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</si>
  <si>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</si>
  <si>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</si>
  <si>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</si>
  <si>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</si>
  <si>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</si>
  <si>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</si>
  <si>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</si>
  <si>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</si>
  <si>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</si>
  <si>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</si>
  <si>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</si>
  <si>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</si>
  <si>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</si>
  <si>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</si>
  <si>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</si>
  <si>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</si>
  <si>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</si>
  <si>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</si>
  <si>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</si>
  <si>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</si>
  <si>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</si>
  <si>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</si>
  <si>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</si>
  <si>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</si>
  <si>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</si>
  <si>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</si>
  <si>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</si>
  <si>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</si>
  <si>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</si>
  <si>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</si>
  <si>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</si>
  <si>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</si>
  <si>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</si>
  <si>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</si>
  <si>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</si>
  <si>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</si>
  <si>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</si>
  <si>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</si>
  <si>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</si>
  <si>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</si>
  <si>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</si>
  <si>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</si>
  <si>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</si>
  <si>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</si>
  <si>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</si>
  <si>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</si>
  <si>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</si>
  <si>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</si>
  <si>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</si>
  <si>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</si>
  <si>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</si>
  <si>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</si>
  <si>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</si>
  <si>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</si>
  <si>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</si>
  <si>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</si>
  <si>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</si>
  <si>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</si>
  <si>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</si>
  <si>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</si>
  <si>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</si>
  <si>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</si>
  <si>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</si>
  <si>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</si>
  <si>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</si>
  <si>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</si>
  <si>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</si>
  <si>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</si>
  <si>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</si>
  <si>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</si>
  <si>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</si>
  <si>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</si>
  <si>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</si>
  <si>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</si>
  <si>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</si>
  <si>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</si>
  <si>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</si>
  <si>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</si>
  <si>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</si>
  <si>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</si>
  <si>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</si>
  <si>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</si>
  <si>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</si>
  <si>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</si>
  <si>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</si>
  <si>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</si>
  <si>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</si>
  <si>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</si>
  <si>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</si>
  <si>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</si>
  <si>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</si>
  <si>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</si>
  <si>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</si>
  <si>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</si>
  <si>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</si>
  <si>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</si>
  <si>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</si>
  <si>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</si>
  <si>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</si>
  <si>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</si>
  <si>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</si>
  <si>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</si>
  <si>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</si>
  <si>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</si>
  <si>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</si>
  <si>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</si>
  <si>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</si>
  <si>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</si>
  <si>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</si>
  <si>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</si>
  <si>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</si>
  <si>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</si>
  <si>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</si>
  <si>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</si>
  <si>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</si>
  <si>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</si>
  <si>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</si>
  <si>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</si>
  <si>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</si>
  <si>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</si>
  <si>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</si>
  <si>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</si>
  <si>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</si>
  <si>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</si>
  <si>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</si>
  <si>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</si>
  <si>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</si>
  <si>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</si>
  <si>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</si>
  <si>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</si>
  <si>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</si>
  <si>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</si>
  <si>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</si>
  <si>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</si>
  <si>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</si>
  <si>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</si>
  <si>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</si>
  <si>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</si>
  <si>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</si>
  <si>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</si>
  <si>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</si>
  <si>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</si>
  <si>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</si>
  <si>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</si>
  <si>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</si>
  <si>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</si>
  <si>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</si>
  <si>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</si>
  <si>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</si>
  <si>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</si>
  <si>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</si>
  <si>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</si>
  <si>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</si>
  <si>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</si>
  <si>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</si>
  <si>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</si>
  <si>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</si>
  <si>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</si>
  <si>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</si>
  <si>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</si>
  <si>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</si>
  <si>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</si>
  <si>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</si>
  <si>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</si>
  <si>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</si>
  <si>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</si>
  <si>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</si>
  <si>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</si>
  <si>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</si>
  <si>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</si>
  <si>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</si>
  <si>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</si>
  <si>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</si>
  <si>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</si>
  <si>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</si>
  <si>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</si>
  <si>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</si>
  <si>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</si>
  <si>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</si>
  <si>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</si>
  <si>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</si>
  <si>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</si>
  <si>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</si>
  <si>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</si>
  <si>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</si>
  <si>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</si>
  <si>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</si>
  <si>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</si>
  <si>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</si>
  <si>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</si>
  <si>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</si>
  <si>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</si>
  <si>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</si>
  <si>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</si>
  <si>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</si>
  <si>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</si>
  <si>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</si>
  <si>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</si>
  <si>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</si>
  <si>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</si>
  <si>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</si>
  <si>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</si>
  <si>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</si>
  <si>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</si>
  <si>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</si>
  <si>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</si>
  <si>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</si>
  <si>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</si>
  <si>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</si>
  <si>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</si>
  <si>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</si>
  <si>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</si>
  <si>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</si>
  <si>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</si>
  <si>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</si>
  <si>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</si>
  <si>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</si>
  <si>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</si>
  <si>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</si>
  <si>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</si>
  <si>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</si>
  <si>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</si>
  <si>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</si>
  <si>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</si>
  <si>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</si>
  <si>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</si>
  <si>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</si>
  <si>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</si>
  <si>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</si>
  <si>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</si>
  <si>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</si>
  <si>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</si>
  <si>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</si>
  <si>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</si>
  <si>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</si>
  <si>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</si>
  <si>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</si>
  <si>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</si>
  <si>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</si>
  <si>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</si>
  <si>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</si>
  <si>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</si>
  <si>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</si>
  <si>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</si>
  <si>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</si>
  <si>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</si>
  <si>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</si>
  <si>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</si>
  <si>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</si>
  <si>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</si>
  <si>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</si>
  <si>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</si>
  <si>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</si>
  <si>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</si>
  <si>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</si>
  <si>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</si>
  <si>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</si>
  <si>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</si>
  <si>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</si>
  <si>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</si>
  <si>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</si>
  <si>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</si>
  <si>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</si>
  <si>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</si>
  <si>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</si>
  <si>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</si>
  <si>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</si>
  <si>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</si>
  <si>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</si>
  <si>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</si>
  <si>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</si>
  <si>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</si>
  <si>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</si>
  <si>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</si>
  <si>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</si>
  <si>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</si>
  <si>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</si>
  <si>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</si>
  <si>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</si>
  <si>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</si>
  <si>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</si>
  <si>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</si>
  <si>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</si>
  <si>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</si>
  <si>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</si>
  <si>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</si>
  <si>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</si>
  <si>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</si>
  <si>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</si>
  <si>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</si>
  <si>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</si>
  <si>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</si>
  <si>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</si>
  <si>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</si>
  <si>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</si>
  <si>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</si>
  <si>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</si>
  <si>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</si>
  <si>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</si>
  <si>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</si>
  <si>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</si>
  <si>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</si>
  <si>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</si>
  <si>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</si>
  <si>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</si>
  <si>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</si>
  <si>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</si>
  <si>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</si>
  <si>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</si>
  <si>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</si>
  <si>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</si>
  <si>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</si>
  <si>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</si>
  <si>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</si>
  <si>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</si>
  <si>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</si>
  <si>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</si>
  <si>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</si>
  <si>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</si>
  <si>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</si>
  <si>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</si>
  <si>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</si>
  <si>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</si>
  <si>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</si>
  <si>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</si>
  <si>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</si>
  <si>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</si>
  <si>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</si>
  <si>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</si>
  <si>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</si>
  <si>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</si>
  <si>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</si>
  <si>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</si>
  <si>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</si>
  <si>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</si>
  <si>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</si>
  <si>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</si>
  <si>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</si>
  <si>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</si>
  <si>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</si>
  <si>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</si>
  <si>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</si>
  <si>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</si>
  <si>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</si>
  <si>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</si>
  <si>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</si>
  <si>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</si>
  <si>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</si>
  <si>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</si>
  <si>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</si>
  <si>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</si>
  <si>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</si>
  <si>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</si>
  <si>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</si>
  <si>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</si>
  <si>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</si>
  <si>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</si>
  <si>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</si>
  <si>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</si>
  <si>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</si>
  <si>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</si>
  <si>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</si>
  <si>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</si>
  <si>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</si>
  <si>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</si>
  <si>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</si>
  <si>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</si>
  <si>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</si>
  <si>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</si>
  <si>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</si>
  <si>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</si>
  <si>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</si>
  <si>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</si>
  <si>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</si>
  <si>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</si>
  <si>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</si>
  <si>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</si>
  <si>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</si>
  <si>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</si>
  <si>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</si>
  <si>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</si>
  <si>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</si>
  <si>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</si>
  <si>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</si>
  <si>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</si>
  <si>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</si>
  <si>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</si>
  <si>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</si>
  <si>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</si>
  <si>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</si>
  <si>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</si>
  <si>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</si>
  <si>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</si>
  <si>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</si>
  <si>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</si>
  <si>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</si>
  <si>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</si>
  <si>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</si>
  <si>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</si>
  <si>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</si>
  <si>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</si>
  <si>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</si>
  <si>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</si>
  <si>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</si>
  <si>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</si>
  <si>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</si>
  <si>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</si>
  <si>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</si>
  <si>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</si>
  <si>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</si>
  <si>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</si>
  <si>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</si>
  <si>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</si>
  <si>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</si>
  <si>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</si>
  <si>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</si>
  <si>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</si>
  <si>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</si>
  <si>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</si>
  <si>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</si>
  <si>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</si>
  <si>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</si>
  <si>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</si>
  <si>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</si>
  <si>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</si>
  <si>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</si>
  <si>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</si>
  <si>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</si>
  <si>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</si>
  <si>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</si>
  <si>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</si>
  <si>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</si>
  <si>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</si>
  <si>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</si>
  <si>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</si>
  <si>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</si>
  <si>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</si>
  <si>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</si>
  <si>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</si>
  <si>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</si>
  <si>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</si>
  <si>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</si>
  <si>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</si>
  <si>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</si>
  <si>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</si>
  <si>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</si>
  <si>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</si>
  <si>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</si>
  <si>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</si>
  <si>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</si>
  <si>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</si>
  <si>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</si>
  <si>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</si>
  <si>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</si>
  <si>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</si>
  <si>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</si>
  <si>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</si>
  <si>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</si>
  <si>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</si>
  <si>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</si>
  <si>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</si>
  <si>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</si>
  <si>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</si>
  <si>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</si>
  <si>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</si>
  <si>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</si>
  <si>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</si>
  <si>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</si>
  <si>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</si>
  <si>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</si>
  <si>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</si>
  <si>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</si>
  <si>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</si>
  <si>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</si>
  <si>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</si>
  <si>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</si>
  <si>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</si>
  <si>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</si>
  <si>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</si>
  <si>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</si>
  <si>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</si>
  <si>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</si>
  <si>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</si>
  <si>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</si>
  <si>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</si>
  <si>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</si>
  <si>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</si>
  <si>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</si>
  <si>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</si>
  <si>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</si>
  <si>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</si>
  <si>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</si>
  <si>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</si>
  <si>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</si>
  <si>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</si>
  <si>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</si>
  <si>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</si>
  <si>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</si>
  <si>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</si>
  <si>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</si>
  <si>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</si>
  <si>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</si>
  <si>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</si>
  <si>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</si>
  <si>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</si>
  <si>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</si>
  <si>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</si>
  <si>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</si>
  <si>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</si>
  <si>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</si>
  <si>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</si>
  <si>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</si>
  <si>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</si>
  <si>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</si>
  <si>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</si>
  <si>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</si>
  <si>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</si>
  <si>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</si>
  <si>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</si>
  <si>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</si>
  <si>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</si>
  <si>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</si>
  <si>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</si>
  <si>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</si>
  <si>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</si>
  <si>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</si>
  <si>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</si>
  <si>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</si>
  <si>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</si>
  <si>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</si>
  <si>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</si>
  <si>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</si>
  <si>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</si>
  <si>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</si>
  <si>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</si>
  <si>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</si>
  <si>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</si>
  <si>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</si>
  <si>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</si>
  <si>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</si>
  <si>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</si>
  <si>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</si>
  <si>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</si>
  <si>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</si>
  <si>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</si>
  <si>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</si>
  <si>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</si>
  <si>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</si>
  <si>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</si>
  <si>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</si>
  <si>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</si>
  <si>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</si>
  <si>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</si>
  <si>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</si>
  <si>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</si>
  <si>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</si>
  <si>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</si>
  <si>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</si>
  <si>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</si>
  <si>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</si>
  <si>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</si>
  <si>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</si>
  <si>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</si>
  <si>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</si>
  <si>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</si>
  <si>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</si>
  <si>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</si>
  <si>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</si>
  <si>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</si>
  <si>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</si>
  <si>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</si>
  <si>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</si>
  <si>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</si>
  <si>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</si>
  <si>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</si>
  <si>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</si>
  <si>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</si>
  <si>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</si>
  <si>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</si>
  <si>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</si>
  <si>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</si>
  <si>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</si>
  <si>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</si>
  <si>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</si>
  <si>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</si>
  <si>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</si>
  <si>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</si>
  <si>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</si>
  <si>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</si>
  <si>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</si>
  <si>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</si>
  <si>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</si>
  <si>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</si>
  <si>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</si>
  <si>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</si>
  <si>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</si>
  <si>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</si>
  <si>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</si>
  <si>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</si>
  <si>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</si>
  <si>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</si>
  <si>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</si>
  <si>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</si>
  <si>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</si>
  <si>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</si>
  <si>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</si>
  <si>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</si>
  <si>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</si>
  <si>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</si>
  <si>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</si>
  <si>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</si>
  <si>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</si>
  <si>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</si>
  <si>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</si>
  <si>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</si>
  <si>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</si>
  <si>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</si>
  <si>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</si>
  <si>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</si>
  <si>
    <t>Nome da Empresa</t>
  </si>
  <si>
    <t>Siderurgia</t>
  </si>
  <si>
    <t>Mineração</t>
  </si>
  <si>
    <t>Petróleo e Gás</t>
  </si>
  <si>
    <t>Papel e Celulose</t>
  </si>
  <si>
    <t>Energia</t>
  </si>
  <si>
    <t>Shopping Centers</t>
  </si>
  <si>
    <t>Serviços Financeiros</t>
  </si>
  <si>
    <t>Saúde</t>
  </si>
  <si>
    <t>Petroquímica</t>
  </si>
  <si>
    <t>Transporte Aéreo</t>
  </si>
  <si>
    <t>Educação</t>
  </si>
  <si>
    <t>Energia e Química</t>
  </si>
  <si>
    <t>Construção Civil</t>
  </si>
  <si>
    <t>Moda e Calçados</t>
  </si>
  <si>
    <t>Alimentos</t>
  </si>
  <si>
    <t>Varejo</t>
  </si>
  <si>
    <t>Telecomunicações</t>
  </si>
  <si>
    <t>Logística</t>
  </si>
  <si>
    <t>Meios de Pagamento</t>
  </si>
  <si>
    <t>Holding</t>
  </si>
  <si>
    <t>Investimentos Diversos</t>
  </si>
  <si>
    <t>Tecnologia</t>
  </si>
  <si>
    <t>Farmácias</t>
  </si>
  <si>
    <t>Energia e Infraestrutura</t>
  </si>
  <si>
    <t>Bebidas</t>
  </si>
  <si>
    <t>Seguros</t>
  </si>
  <si>
    <t>Saneamento</t>
  </si>
  <si>
    <t>Agricultura</t>
  </si>
  <si>
    <t>Infraestrutura</t>
  </si>
  <si>
    <t>Aeroespacial</t>
  </si>
  <si>
    <t>Beleza</t>
  </si>
  <si>
    <t>Farmacêutica</t>
  </si>
  <si>
    <t>Agronegócio</t>
  </si>
  <si>
    <t>Aluguel de Carros</t>
  </si>
  <si>
    <t>Turismo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</si>
</sst>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[$R$ -416]#,##0.00"/>
  </numFmts>
  <fonts count="10">
    <font>
      <sz val="10.0"/>
      <color rgb="FF000000"/>
      <name val="Arial"/>
      <scheme val="minor"/>
    </font>
    <font>
      <b/>
      <sz val="11.0"/>
      <color rgb="FF000000"/>
      <name val="Arial"/>
    </font>
    <font>
      <sz val="10.0"/>
      <color rgb="FF000000"/>
      <name val="Arial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sz val="11.0"/>
      <color theme="1"/>
      <name val="&quot;aptos narrow&quot;"/>
    </font>
    <font>
      <color rgb="FF000000"/>
      <name val="Söhne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</fills>
  <borders count="3">
    <border/>
    <border>
      <left style="thin">
        <color rgb="FFE3E3E3"/>
      </left>
      <bottom style="thin">
        <color rgb="FFE3E3E3"/>
      </bottom>
    </border>
    <border>
      <left style="thin">
        <color rgb="FFE3E3E3"/>
      </left>
      <right style="thin">
        <color rgb="FFE3E3E3"/>
      </right>
      <bottom style="thin">
        <color rgb="FFE3E3E3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164" xfId="0" applyAlignment="1" applyFont="1" applyNumberFormat="1">
      <alignment readingOrder="0" vertical="bottom"/>
    </xf>
    <xf borderId="0" fillId="2" fontId="1" numFmtId="2" xfId="0" applyAlignment="1" applyFont="1" applyNumberFormat="1">
      <alignment readingOrder="0" vertical="bottom"/>
    </xf>
    <xf borderId="0" fillId="2" fontId="1" numFmtId="165" xfId="0" applyAlignment="1" applyFont="1" applyNumberFormat="1">
      <alignment readingOrder="0" vertical="bottom"/>
    </xf>
    <xf borderId="0" fillId="2" fontId="2" numFmtId="0" xfId="0" applyAlignment="1" applyFont="1">
      <alignment vertical="bottom"/>
    </xf>
    <xf borderId="0" fillId="2" fontId="2" numFmtId="14" xfId="0" applyAlignment="1" applyFont="1" applyNumberFormat="1">
      <alignment horizontal="right" vertical="bottom"/>
    </xf>
    <xf borderId="0" fillId="2" fontId="2" numFmtId="2" xfId="0" applyAlignment="1" applyFont="1" applyNumberFormat="1">
      <alignment horizontal="right" vertical="bottom"/>
    </xf>
    <xf borderId="0" fillId="2" fontId="2" numFmtId="0" xfId="0" applyAlignment="1" applyFont="1">
      <alignment horizontal="right" vertical="bottom"/>
    </xf>
    <xf borderId="0" fillId="2" fontId="3" numFmtId="164" xfId="0" applyFont="1" applyNumberFormat="1"/>
    <xf borderId="0" fillId="0" fontId="4" numFmtId="2" xfId="0" applyFont="1" applyNumberFormat="1"/>
    <xf borderId="0" fillId="0" fontId="4" numFmtId="3" xfId="0" applyFont="1" applyNumberFormat="1"/>
    <xf borderId="0" fillId="0" fontId="4" numFmtId="165" xfId="0" applyFont="1" applyNumberFormat="1"/>
    <xf borderId="0" fillId="0" fontId="4" numFmtId="0" xfId="0" applyFont="1"/>
    <xf borderId="0" fillId="0" fontId="5" numFmtId="0" xfId="0" applyFont="1"/>
    <xf borderId="0" fillId="0" fontId="5" numFmtId="2" xfId="0" applyFont="1" applyNumberFormat="1"/>
    <xf borderId="0" fillId="0" fontId="5" numFmtId="164" xfId="0" applyFont="1" applyNumberFormat="1"/>
    <xf borderId="0" fillId="0" fontId="5" numFmtId="165" xfId="0" applyFont="1" applyNumberFormat="1"/>
    <xf borderId="0" fillId="0" fontId="4" numFmtId="0" xfId="0" applyAlignment="1" applyFont="1">
      <alignment readingOrder="0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3" xfId="0" applyAlignment="1" applyFont="1" applyNumberFormat="1">
      <alignment horizontal="right" vertical="bottom"/>
    </xf>
    <xf borderId="0" fillId="0" fontId="7" numFmtId="4" xfId="0" applyAlignment="1" applyFont="1" applyNumberFormat="1">
      <alignment horizontal="right" vertical="bottom"/>
    </xf>
    <xf borderId="0" fillId="0" fontId="8" numFmtId="0" xfId="0" applyAlignment="1" applyFont="1">
      <alignment vertical="bottom"/>
    </xf>
    <xf borderId="0" fillId="3" fontId="7" numFmtId="0" xfId="0" applyAlignment="1" applyFill="1" applyFont="1">
      <alignment vertical="bottom"/>
    </xf>
    <xf borderId="0" fillId="0" fontId="7" numFmtId="0" xfId="0" applyFont="1"/>
    <xf borderId="0" fillId="4" fontId="7" numFmtId="0" xfId="0" applyAlignment="1" applyFill="1" applyFont="1">
      <alignment vertical="bottom"/>
    </xf>
    <xf borderId="0" fillId="5" fontId="7" numFmtId="0" xfId="0" applyAlignment="1" applyFill="1" applyFont="1">
      <alignment vertical="bottom"/>
    </xf>
    <xf borderId="0" fillId="4" fontId="7" numFmtId="0" xfId="0" applyAlignment="1" applyFont="1">
      <alignment shrinkToFit="0" vertical="bottom" wrapText="0"/>
    </xf>
    <xf borderId="0" fillId="2" fontId="9" numFmtId="0" xfId="0" applyAlignment="1" applyFont="1">
      <alignment horizontal="left" readingOrder="0"/>
    </xf>
    <xf borderId="1" fillId="2" fontId="9" numFmtId="0" xfId="0" applyAlignment="1" applyBorder="1" applyFont="1">
      <alignment horizontal="left" readingOrder="0"/>
    </xf>
    <xf borderId="2" fillId="2" fontId="9" numFmtId="0" xfId="0" applyAlignment="1" applyBorder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Positva versus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Analysis!$C$8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Pt>
            <c:idx val="34"/>
            <c:spPr>
              <a:solidFill>
                <a:srgbClr val="FF487E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Analysis!$A$9:$A$43</c:f>
            </c:strRef>
          </c:cat>
          <c:val>
            <c:numRef>
              <c:f>Analysis!$C$9:$C$43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Analysis!$B$46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Analysis!$A$47:$A$49</c:f>
            </c:strRef>
          </c:cat>
          <c:val>
            <c:numRef>
              <c:f>Analysis!$B$47:$B$49</c:f>
              <c:numCache/>
            </c:numRef>
          </c:val>
        </c:ser>
        <c:axId val="693159394"/>
        <c:axId val="881428080"/>
      </c:barChart>
      <c:catAx>
        <c:axId val="69315939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1428080"/>
      </c:catAx>
      <c:valAx>
        <c:axId val="8814280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315939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versus Faixa Etária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Analysis!$B$53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Analysis!$A$54:$A$56</c:f>
            </c:strRef>
          </c:cat>
          <c:val>
            <c:numRef>
              <c:f>Analysis!$B$54:$B$56</c:f>
              <c:numCache/>
            </c:numRef>
          </c:val>
        </c:ser>
        <c:axId val="94324158"/>
        <c:axId val="770101483"/>
      </c:barChart>
      <c:catAx>
        <c:axId val="943241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0101483"/>
      </c:catAx>
      <c:valAx>
        <c:axId val="7701014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3241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7</xdr:row>
      <xdr:rowOff>38100</xdr:rowOff>
    </xdr:from>
    <xdr:ext cx="9239250" cy="5715000"/>
    <xdr:graphicFrame>
      <xdr:nvGraphicFramePr>
        <xdr:cNvPr id="211669782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542925</xdr:colOff>
      <xdr:row>38</xdr:row>
      <xdr:rowOff>19050</xdr:rowOff>
    </xdr:from>
    <xdr:ext cx="5715000" cy="3533775"/>
    <xdr:graphicFrame>
      <xdr:nvGraphicFramePr>
        <xdr:cNvPr id="450250718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57150</xdr:colOff>
      <xdr:row>57</xdr:row>
      <xdr:rowOff>104775</xdr:rowOff>
    </xdr:from>
    <xdr:ext cx="5715000" cy="3533775"/>
    <xdr:graphicFrame>
      <xdr:nvGraphicFramePr>
        <xdr:cNvPr id="730756336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7.0"/>
    <col customWidth="1" min="2" max="2" width="8.38"/>
    <col customWidth="1" min="3" max="3" width="10.75"/>
    <col customWidth="1" min="4" max="4" width="11.0"/>
    <col customWidth="1" hidden="1" min="5" max="5" width="12.5"/>
    <col customWidth="1" hidden="1" min="6" max="8" width="11.75"/>
    <col customWidth="1" hidden="1" min="9" max="9" width="8.75"/>
    <col customWidth="1" hidden="1" min="10" max="10" width="9.75"/>
    <col customWidth="1" hidden="1" min="11" max="11" width="9.63"/>
    <col customWidth="1" min="13" max="13" width="14.0"/>
    <col customWidth="1" min="15" max="15" width="17.13"/>
    <col customWidth="1" min="17" max="17" width="17.0"/>
    <col customWidth="1" min="18" max="18" width="18.5"/>
    <col customWidth="1" min="19" max="19" width="5.75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3" t="s">
        <v>11</v>
      </c>
      <c r="M1" s="4" t="s">
        <v>12</v>
      </c>
      <c r="N1" s="4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</row>
    <row r="2" ht="15.75" customHeight="1">
      <c r="A2" s="6" t="s">
        <v>20</v>
      </c>
      <c r="B2" s="7">
        <v>45317.0</v>
      </c>
      <c r="C2" s="8">
        <v>9.5</v>
      </c>
      <c r="D2" s="8">
        <v>5.2</v>
      </c>
      <c r="E2" s="9">
        <v>11.76</v>
      </c>
      <c r="F2" s="9">
        <v>2.26</v>
      </c>
      <c r="G2" s="9">
        <v>2.26</v>
      </c>
      <c r="H2" s="9">
        <v>15.97</v>
      </c>
      <c r="I2" s="9">
        <v>9.18</v>
      </c>
      <c r="J2" s="9">
        <v>9.56</v>
      </c>
      <c r="K2" s="6" t="s">
        <v>21</v>
      </c>
      <c r="L2" s="10">
        <f t="shared" ref="L2:L82" si="1">D2/100</f>
        <v>0.052</v>
      </c>
      <c r="M2" s="11">
        <f t="shared" ref="M2:M82" si="2">C2/(1+L2)</f>
        <v>9.030418251</v>
      </c>
      <c r="N2" s="12">
        <f>VLOOKUP(A2,Stocks!A:B,2,0)</f>
        <v>515117391</v>
      </c>
      <c r="O2" s="13">
        <f t="shared" ref="O2:O82" si="3">(C2-M2)*N2</f>
        <v>241889725.4</v>
      </c>
      <c r="P2" s="14" t="str">
        <f t="shared" ref="P2:P82" si="4">IF(O2&gt;0, "Positivo", IF(O2 &lt; 0, "Negativo", "Estável"))</f>
        <v>Positivo</v>
      </c>
      <c r="Q2" s="15" t="str">
        <f>VLOOKUP(A:A, Ticker!A:B,2,0)</f>
        <v>Usiminas</v>
      </c>
      <c r="R2" s="15" t="str">
        <f>VLOOKUP(Q:Q,ChatGPT!A:C,2,0)</f>
        <v>Siderurgia</v>
      </c>
      <c r="S2" s="15">
        <f>VLOOKUP(Q:Q,ChatGPT!A:C,3,0)</f>
        <v>59</v>
      </c>
      <c r="T2" s="15" t="str">
        <f t="shared" ref="T2:T82" si="5">IFS(S2&gt;100, "Mais que 100", S2&lt;50, "Menor que 50", S2&gt;=50, "Entre 50 e 100")</f>
        <v>Entre 50 e 100</v>
      </c>
    </row>
    <row r="3" ht="15.75" customHeight="1">
      <c r="A3" s="6" t="s">
        <v>22</v>
      </c>
      <c r="B3" s="7">
        <v>45317.0</v>
      </c>
      <c r="C3" s="8">
        <v>6.82</v>
      </c>
      <c r="D3" s="8">
        <v>2.4</v>
      </c>
      <c r="E3" s="9">
        <v>2.4</v>
      </c>
      <c r="F3" s="9">
        <v>-12.11</v>
      </c>
      <c r="G3" s="9">
        <v>-12.11</v>
      </c>
      <c r="H3" s="9">
        <v>50.56</v>
      </c>
      <c r="I3" s="9">
        <v>6.66</v>
      </c>
      <c r="J3" s="9">
        <v>6.86</v>
      </c>
      <c r="K3" s="6" t="s">
        <v>23</v>
      </c>
      <c r="L3" s="10">
        <f t="shared" si="1"/>
        <v>0.024</v>
      </c>
      <c r="M3" s="11">
        <f t="shared" si="2"/>
        <v>6.66015625</v>
      </c>
      <c r="N3" s="12">
        <f>VLOOKUP(A3,Stocks!A:B,2,0)</f>
        <v>1110559345</v>
      </c>
      <c r="O3" s="13">
        <f t="shared" si="3"/>
        <v>177515970.3</v>
      </c>
      <c r="P3" s="14" t="str">
        <f t="shared" si="4"/>
        <v>Positivo</v>
      </c>
      <c r="Q3" s="15" t="str">
        <f>VLOOKUP(A:A, Ticker!A:B,2,0)</f>
        <v>CSN Mineração</v>
      </c>
      <c r="R3" s="15" t="str">
        <f>VLOOKUP(Q:Q,ChatGPT!A:C,2,0)</f>
        <v>Mineração</v>
      </c>
      <c r="S3" s="15">
        <f>VLOOKUP(Q:Q,ChatGPT!A:C,3,0)</f>
        <v>64</v>
      </c>
      <c r="T3" s="15" t="str">
        <f t="shared" si="5"/>
        <v>Entre 50 e 100</v>
      </c>
    </row>
    <row r="4" ht="15.75" customHeight="1">
      <c r="A4" s="6" t="s">
        <v>24</v>
      </c>
      <c r="B4" s="7">
        <v>45317.0</v>
      </c>
      <c r="C4" s="8">
        <v>41.96</v>
      </c>
      <c r="D4" s="8">
        <v>2.19</v>
      </c>
      <c r="E4" s="9">
        <v>7.73</v>
      </c>
      <c r="F4" s="9">
        <v>7.64</v>
      </c>
      <c r="G4" s="9">
        <v>7.64</v>
      </c>
      <c r="H4" s="9">
        <v>77.55</v>
      </c>
      <c r="I4" s="9">
        <v>40.81</v>
      </c>
      <c r="J4" s="9">
        <v>42.34</v>
      </c>
      <c r="K4" s="6" t="s">
        <v>25</v>
      </c>
      <c r="L4" s="10">
        <f t="shared" si="1"/>
        <v>0.0219</v>
      </c>
      <c r="M4" s="11">
        <f t="shared" si="2"/>
        <v>41.06076916</v>
      </c>
      <c r="N4" s="12">
        <f>VLOOKUP(A4,Stocks!A:B,2,0)</f>
        <v>2379877655</v>
      </c>
      <c r="O4" s="13">
        <f t="shared" si="3"/>
        <v>2140059394</v>
      </c>
      <c r="P4" s="14" t="str">
        <f t="shared" si="4"/>
        <v>Positivo</v>
      </c>
      <c r="Q4" s="15" t="str">
        <f>VLOOKUP(A:A, Ticker!A:B,2,0)</f>
        <v>Petrobras</v>
      </c>
      <c r="R4" s="15" t="str">
        <f>VLOOKUP(Q:Q,ChatGPT!A:C,2,0)</f>
        <v>Petróleo e Gás</v>
      </c>
      <c r="S4" s="15">
        <f>VLOOKUP(Q:Q,ChatGPT!A:C,3,0)</f>
        <v>69</v>
      </c>
      <c r="T4" s="15" t="str">
        <f t="shared" si="5"/>
        <v>Entre 50 e 100</v>
      </c>
    </row>
    <row r="5" ht="15.75" customHeight="1">
      <c r="A5" s="6" t="s">
        <v>26</v>
      </c>
      <c r="B5" s="7">
        <v>45317.0</v>
      </c>
      <c r="C5" s="8">
        <v>52.91</v>
      </c>
      <c r="D5" s="8">
        <v>2.04</v>
      </c>
      <c r="E5" s="9">
        <v>2.14</v>
      </c>
      <c r="F5" s="9">
        <v>-4.89</v>
      </c>
      <c r="G5" s="9">
        <v>-4.89</v>
      </c>
      <c r="H5" s="9">
        <v>18.85</v>
      </c>
      <c r="I5" s="9">
        <v>51.89</v>
      </c>
      <c r="J5" s="9">
        <v>53.17</v>
      </c>
      <c r="K5" s="6" t="s">
        <v>27</v>
      </c>
      <c r="L5" s="10">
        <f t="shared" si="1"/>
        <v>0.0204</v>
      </c>
      <c r="M5" s="11">
        <f t="shared" si="2"/>
        <v>51.85221482</v>
      </c>
      <c r="N5" s="12">
        <f>VLOOKUP(A5,Stocks!A:B,2,0)</f>
        <v>683452836</v>
      </c>
      <c r="O5" s="13">
        <f t="shared" si="3"/>
        <v>722946282.7</v>
      </c>
      <c r="P5" s="14" t="str">
        <f t="shared" si="4"/>
        <v>Positivo</v>
      </c>
      <c r="Q5" s="15" t="str">
        <f>VLOOKUP(A:A, Ticker!A:B,2,0)</f>
        <v>Suzano</v>
      </c>
      <c r="R5" s="15" t="str">
        <f>VLOOKUP(Q:Q,ChatGPT!A:C,2,0)</f>
        <v>Papel e Celulose</v>
      </c>
      <c r="S5" s="15">
        <f>VLOOKUP(Q:Q,ChatGPT!A:C,3,0)</f>
        <v>98</v>
      </c>
      <c r="T5" s="15" t="str">
        <f t="shared" si="5"/>
        <v>Entre 50 e 100</v>
      </c>
    </row>
    <row r="6" ht="15.75" customHeight="1">
      <c r="A6" s="6" t="s">
        <v>28</v>
      </c>
      <c r="B6" s="7">
        <v>45317.0</v>
      </c>
      <c r="C6" s="8">
        <v>37.1</v>
      </c>
      <c r="D6" s="8">
        <v>2.03</v>
      </c>
      <c r="E6" s="9">
        <v>2.49</v>
      </c>
      <c r="F6" s="9">
        <v>-3.66</v>
      </c>
      <c r="G6" s="9">
        <v>-3.66</v>
      </c>
      <c r="H6" s="9">
        <v>20.7</v>
      </c>
      <c r="I6" s="9">
        <v>36.37</v>
      </c>
      <c r="J6" s="9">
        <v>37.32</v>
      </c>
      <c r="K6" s="6" t="s">
        <v>29</v>
      </c>
      <c r="L6" s="10">
        <f t="shared" si="1"/>
        <v>0.0203</v>
      </c>
      <c r="M6" s="11">
        <f t="shared" si="2"/>
        <v>36.36185436</v>
      </c>
      <c r="N6" s="12">
        <f>VLOOKUP(A6,Stocks!A:B,2,0)</f>
        <v>187732538</v>
      </c>
      <c r="O6" s="13">
        <f t="shared" si="3"/>
        <v>138573955.1</v>
      </c>
      <c r="P6" s="14" t="str">
        <f t="shared" si="4"/>
        <v>Positivo</v>
      </c>
      <c r="Q6" s="15" t="str">
        <f>VLOOKUP(A:A, Ticker!A:B,2,0)</f>
        <v>CPFL Energia</v>
      </c>
      <c r="R6" s="15" t="str">
        <f>VLOOKUP(Q:Q,ChatGPT!A:C,2,0)</f>
        <v>Energia</v>
      </c>
      <c r="S6" s="15">
        <f>VLOOKUP(Q:Q,ChatGPT!A:C,3,0)</f>
        <v>108</v>
      </c>
      <c r="T6" s="15" t="str">
        <f t="shared" si="5"/>
        <v>Mais que 100</v>
      </c>
    </row>
    <row r="7" ht="15.75" customHeight="1">
      <c r="A7" s="6" t="s">
        <v>30</v>
      </c>
      <c r="B7" s="7">
        <v>45317.0</v>
      </c>
      <c r="C7" s="8">
        <v>45.69</v>
      </c>
      <c r="D7" s="8">
        <v>1.98</v>
      </c>
      <c r="E7" s="9">
        <v>2.42</v>
      </c>
      <c r="F7" s="9">
        <v>-0.78</v>
      </c>
      <c r="G7" s="9">
        <v>-0.78</v>
      </c>
      <c r="H7" s="9">
        <v>8.08</v>
      </c>
      <c r="I7" s="9">
        <v>44.25</v>
      </c>
      <c r="J7" s="9">
        <v>45.69</v>
      </c>
      <c r="K7" s="6" t="s">
        <v>31</v>
      </c>
      <c r="L7" s="10">
        <f t="shared" si="1"/>
        <v>0.0198</v>
      </c>
      <c r="M7" s="11">
        <f t="shared" si="2"/>
        <v>44.80290253</v>
      </c>
      <c r="N7" s="12">
        <f>VLOOKUP(A7,Stocks!A:B,2,0)</f>
        <v>800010734</v>
      </c>
      <c r="O7" s="13">
        <f t="shared" si="3"/>
        <v>709687498.2</v>
      </c>
      <c r="P7" s="14" t="str">
        <f t="shared" si="4"/>
        <v>Positivo</v>
      </c>
      <c r="Q7" s="15" t="str">
        <f>VLOOKUP(A:A, Ticker!A:B,2,0)</f>
        <v>PetroRio</v>
      </c>
      <c r="R7" s="15" t="str">
        <f>VLOOKUP(Q:Q,ChatGPT!A:C,2,0)</f>
        <v>Petróleo e Gás</v>
      </c>
      <c r="S7" s="15">
        <f>VLOOKUP(Q:Q,ChatGPT!A:C,3,0)</f>
        <v>13</v>
      </c>
      <c r="T7" s="15" t="str">
        <f t="shared" si="5"/>
        <v>Menor que 50</v>
      </c>
    </row>
    <row r="8" ht="15.75" customHeight="1">
      <c r="A8" s="6" t="s">
        <v>32</v>
      </c>
      <c r="B8" s="7">
        <v>45317.0</v>
      </c>
      <c r="C8" s="8">
        <v>39.96</v>
      </c>
      <c r="D8" s="8">
        <v>1.73</v>
      </c>
      <c r="E8" s="9">
        <v>6.47</v>
      </c>
      <c r="F8" s="9">
        <v>7.3</v>
      </c>
      <c r="G8" s="9">
        <v>7.3</v>
      </c>
      <c r="H8" s="9">
        <v>95.01</v>
      </c>
      <c r="I8" s="9">
        <v>38.91</v>
      </c>
      <c r="J8" s="9">
        <v>40.09</v>
      </c>
      <c r="K8" s="6" t="s">
        <v>33</v>
      </c>
      <c r="L8" s="10">
        <f t="shared" si="1"/>
        <v>0.0173</v>
      </c>
      <c r="M8" s="11">
        <f t="shared" si="2"/>
        <v>39.28044825</v>
      </c>
      <c r="N8" s="12">
        <f>VLOOKUP(A8,Stocks!A:B,2,0)</f>
        <v>4566445852</v>
      </c>
      <c r="O8" s="13">
        <f t="shared" si="3"/>
        <v>3103136291</v>
      </c>
      <c r="P8" s="14" t="str">
        <f t="shared" si="4"/>
        <v>Positivo</v>
      </c>
      <c r="Q8" s="15" t="str">
        <f>VLOOKUP(A:A, Ticker!A:B,2,0)</f>
        <v>Petrobras</v>
      </c>
      <c r="R8" s="15" t="str">
        <f>VLOOKUP(Q:Q,ChatGPT!A:C,2,0)</f>
        <v>Petróleo e Gás</v>
      </c>
      <c r="S8" s="15">
        <f>VLOOKUP(Q:Q,ChatGPT!A:C,3,0)</f>
        <v>69</v>
      </c>
      <c r="T8" s="15" t="str">
        <f t="shared" si="5"/>
        <v>Entre 50 e 100</v>
      </c>
    </row>
    <row r="9" ht="15.75" customHeight="1">
      <c r="A9" s="6" t="s">
        <v>34</v>
      </c>
      <c r="B9" s="7">
        <v>45317.0</v>
      </c>
      <c r="C9" s="8">
        <v>69.5</v>
      </c>
      <c r="D9" s="8">
        <v>1.66</v>
      </c>
      <c r="E9" s="9">
        <v>2.06</v>
      </c>
      <c r="F9" s="9">
        <v>-9.97</v>
      </c>
      <c r="G9" s="9">
        <v>-9.97</v>
      </c>
      <c r="H9" s="9">
        <v>-23.49</v>
      </c>
      <c r="I9" s="9">
        <v>67.5</v>
      </c>
      <c r="J9" s="9">
        <v>69.81</v>
      </c>
      <c r="K9" s="6" t="s">
        <v>35</v>
      </c>
      <c r="L9" s="10">
        <f t="shared" si="1"/>
        <v>0.0166</v>
      </c>
      <c r="M9" s="11">
        <f t="shared" si="2"/>
        <v>68.3651387</v>
      </c>
      <c r="N9" s="12">
        <f>VLOOKUP(A9,Stocks!A:B,2,0)</f>
        <v>4196924316</v>
      </c>
      <c r="O9" s="13">
        <f t="shared" si="3"/>
        <v>4762926995</v>
      </c>
      <c r="P9" s="14" t="str">
        <f t="shared" si="4"/>
        <v>Positivo</v>
      </c>
      <c r="Q9" s="15" t="str">
        <f>VLOOKUP(A:A, Ticker!A:B,2,0)</f>
        <v>Vale</v>
      </c>
      <c r="R9" s="15" t="str">
        <f>VLOOKUP(Q:Q,ChatGPT!A:C,2,0)</f>
        <v>Mineração</v>
      </c>
      <c r="S9" s="15">
        <f>VLOOKUP(Q:Q,ChatGPT!A:C,3,0)</f>
        <v>80</v>
      </c>
      <c r="T9" s="15" t="str">
        <f t="shared" si="5"/>
        <v>Entre 50 e 100</v>
      </c>
    </row>
    <row r="10" ht="15.75" customHeight="1">
      <c r="A10" s="6" t="s">
        <v>36</v>
      </c>
      <c r="B10" s="7">
        <v>45317.0</v>
      </c>
      <c r="C10" s="8">
        <v>28.19</v>
      </c>
      <c r="D10" s="8">
        <v>1.58</v>
      </c>
      <c r="E10" s="9">
        <v>2.03</v>
      </c>
      <c r="F10" s="9">
        <v>-0.81</v>
      </c>
      <c r="G10" s="9">
        <v>-0.81</v>
      </c>
      <c r="H10" s="9">
        <v>24.02</v>
      </c>
      <c r="I10" s="9">
        <v>27.71</v>
      </c>
      <c r="J10" s="9">
        <v>28.36</v>
      </c>
      <c r="K10" s="6" t="s">
        <v>37</v>
      </c>
      <c r="L10" s="10">
        <f t="shared" si="1"/>
        <v>0.0158</v>
      </c>
      <c r="M10" s="11">
        <f t="shared" si="2"/>
        <v>27.75152589</v>
      </c>
      <c r="N10" s="12">
        <f>VLOOKUP(A10,Stocks!A:B,2,0)</f>
        <v>268505432</v>
      </c>
      <c r="O10" s="13">
        <f t="shared" si="3"/>
        <v>117732680.1</v>
      </c>
      <c r="P10" s="14" t="str">
        <f t="shared" si="4"/>
        <v>Positivo</v>
      </c>
      <c r="Q10" s="15" t="str">
        <f>VLOOKUP(A:A, Ticker!A:B,2,0)</f>
        <v>Multiplan</v>
      </c>
      <c r="R10" s="15" t="str">
        <f>VLOOKUP(Q:Q,ChatGPT!A:C,2,0)</f>
        <v>Shopping Centers</v>
      </c>
      <c r="S10" s="15">
        <f>VLOOKUP(Q:Q,ChatGPT!A:C,3,0)</f>
        <v>48</v>
      </c>
      <c r="T10" s="15" t="str">
        <f t="shared" si="5"/>
        <v>Menor que 50</v>
      </c>
    </row>
    <row r="11" ht="15.75" customHeight="1">
      <c r="A11" s="6" t="s">
        <v>38</v>
      </c>
      <c r="B11" s="7">
        <v>45317.0</v>
      </c>
      <c r="C11" s="8">
        <v>32.81</v>
      </c>
      <c r="D11" s="8">
        <v>1.48</v>
      </c>
      <c r="E11" s="9">
        <v>-0.39</v>
      </c>
      <c r="F11" s="9">
        <v>-3.36</v>
      </c>
      <c r="G11" s="9">
        <v>-3.36</v>
      </c>
      <c r="H11" s="9">
        <v>34.25</v>
      </c>
      <c r="I11" s="9">
        <v>32.35</v>
      </c>
      <c r="J11" s="9">
        <v>32.91</v>
      </c>
      <c r="K11" s="6" t="s">
        <v>39</v>
      </c>
      <c r="L11" s="10">
        <f t="shared" si="1"/>
        <v>0.0148</v>
      </c>
      <c r="M11" s="11">
        <f t="shared" si="2"/>
        <v>32.33149389</v>
      </c>
      <c r="N11" s="12">
        <f>VLOOKUP(A11,Stocks!A:B,2,0)</f>
        <v>4801593832</v>
      </c>
      <c r="O11" s="13">
        <f t="shared" si="3"/>
        <v>2297591984</v>
      </c>
      <c r="P11" s="14" t="str">
        <f t="shared" si="4"/>
        <v>Positivo</v>
      </c>
      <c r="Q11" s="15" t="str">
        <f>VLOOKUP(A:A, Ticker!A:B,2,0)</f>
        <v>Itaú Unibanco</v>
      </c>
      <c r="R11" s="15" t="str">
        <f>VLOOKUP(Q:Q,ChatGPT!A:C,2,0)</f>
        <v>Serviços Financeiros</v>
      </c>
      <c r="S11" s="15">
        <f>VLOOKUP(Q:Q,ChatGPT!A:C,3,0)</f>
        <v>97</v>
      </c>
      <c r="T11" s="15" t="str">
        <f t="shared" si="5"/>
        <v>Entre 50 e 100</v>
      </c>
    </row>
    <row r="12" ht="15.75" customHeight="1">
      <c r="A12" s="6" t="s">
        <v>40</v>
      </c>
      <c r="B12" s="7">
        <v>45317.0</v>
      </c>
      <c r="C12" s="8">
        <v>27.56</v>
      </c>
      <c r="D12" s="8">
        <v>1.43</v>
      </c>
      <c r="E12" s="9">
        <v>3.41</v>
      </c>
      <c r="F12" s="9">
        <v>-4.17</v>
      </c>
      <c r="G12" s="9">
        <v>-4.17</v>
      </c>
      <c r="H12" s="9">
        <v>-6.01</v>
      </c>
      <c r="I12" s="9">
        <v>26.9</v>
      </c>
      <c r="J12" s="9">
        <v>27.91</v>
      </c>
      <c r="K12" s="6" t="s">
        <v>41</v>
      </c>
      <c r="L12" s="10">
        <f t="shared" si="1"/>
        <v>0.0143</v>
      </c>
      <c r="M12" s="11">
        <f t="shared" si="2"/>
        <v>27.17144829</v>
      </c>
      <c r="N12" s="12">
        <f>VLOOKUP(A12,Stocks!A:B,2,0)</f>
        <v>1168230366</v>
      </c>
      <c r="O12" s="13">
        <f t="shared" si="3"/>
        <v>453917907</v>
      </c>
      <c r="P12" s="14" t="str">
        <f t="shared" si="4"/>
        <v>Positivo</v>
      </c>
      <c r="Q12" s="15" t="str">
        <f>VLOOKUP(A:A, Ticker!A:B,2,0)</f>
        <v>Rede D'Or</v>
      </c>
      <c r="R12" s="15" t="str">
        <f>VLOOKUP(Q:Q,ChatGPT!A:C,2,0)</f>
        <v>Saúde</v>
      </c>
      <c r="S12" s="15">
        <f>VLOOKUP(Q:Q,ChatGPT!A:C,3,0)</f>
        <v>47</v>
      </c>
      <c r="T12" s="15" t="str">
        <f t="shared" si="5"/>
        <v>Menor que 50</v>
      </c>
    </row>
    <row r="13" ht="15.75" customHeight="1">
      <c r="A13" s="6" t="s">
        <v>42</v>
      </c>
      <c r="B13" s="7">
        <v>45317.0</v>
      </c>
      <c r="C13" s="8">
        <v>18.55</v>
      </c>
      <c r="D13" s="8">
        <v>1.42</v>
      </c>
      <c r="E13" s="9">
        <v>5.1</v>
      </c>
      <c r="F13" s="9">
        <v>-15.14</v>
      </c>
      <c r="G13" s="9">
        <v>-15.14</v>
      </c>
      <c r="H13" s="9">
        <v>-18.39</v>
      </c>
      <c r="I13" s="9">
        <v>18.29</v>
      </c>
      <c r="J13" s="9">
        <v>18.73</v>
      </c>
      <c r="K13" s="6" t="s">
        <v>43</v>
      </c>
      <c r="L13" s="10">
        <f t="shared" si="1"/>
        <v>0.0142</v>
      </c>
      <c r="M13" s="11">
        <f t="shared" si="2"/>
        <v>18.29027805</v>
      </c>
      <c r="N13" s="12">
        <f>VLOOKUP(A13,Stocks!A:B,2,0)</f>
        <v>265877867</v>
      </c>
      <c r="O13" s="13">
        <f t="shared" si="3"/>
        <v>69054317.64</v>
      </c>
      <c r="P13" s="14" t="str">
        <f t="shared" si="4"/>
        <v>Positivo</v>
      </c>
      <c r="Q13" s="15" t="str">
        <f>VLOOKUP(A:A, Ticker!A:B,2,0)</f>
        <v>Braskem</v>
      </c>
      <c r="R13" s="15" t="str">
        <f>VLOOKUP(Q:Q,ChatGPT!A:C,2,0)</f>
        <v>Petroquímica</v>
      </c>
      <c r="S13" s="15">
        <f>VLOOKUP(Q:Q,ChatGPT!A:C,3,0)</f>
        <v>20</v>
      </c>
      <c r="T13" s="15" t="str">
        <f t="shared" si="5"/>
        <v>Menor que 50</v>
      </c>
    </row>
    <row r="14" ht="15.75" customHeight="1">
      <c r="A14" s="6" t="s">
        <v>44</v>
      </c>
      <c r="B14" s="7">
        <v>45317.0</v>
      </c>
      <c r="C14" s="8">
        <v>14.27</v>
      </c>
      <c r="D14" s="8">
        <v>1.42</v>
      </c>
      <c r="E14" s="9">
        <v>8.85</v>
      </c>
      <c r="F14" s="9">
        <v>-10.87</v>
      </c>
      <c r="G14" s="9">
        <v>-10.87</v>
      </c>
      <c r="H14" s="9">
        <v>18.52</v>
      </c>
      <c r="I14" s="9">
        <v>13.8</v>
      </c>
      <c r="J14" s="9">
        <v>14.36</v>
      </c>
      <c r="K14" s="6" t="s">
        <v>45</v>
      </c>
      <c r="L14" s="10">
        <f t="shared" si="1"/>
        <v>0.0142</v>
      </c>
      <c r="M14" s="11">
        <f t="shared" si="2"/>
        <v>14.07020312</v>
      </c>
      <c r="N14" s="12">
        <f>VLOOKUP(A14,Stocks!A:B,2,0)</f>
        <v>327593725</v>
      </c>
      <c r="O14" s="13">
        <f t="shared" si="3"/>
        <v>65452205.55</v>
      </c>
      <c r="P14" s="14" t="str">
        <f t="shared" si="4"/>
        <v>Positivo</v>
      </c>
      <c r="Q14" s="15" t="str">
        <f>VLOOKUP(A:A, Ticker!A:B,2,0)</f>
        <v>Azul</v>
      </c>
      <c r="R14" s="15" t="str">
        <f>VLOOKUP(Q:Q,ChatGPT!A:C,2,0)</f>
        <v>Transporte Aéreo</v>
      </c>
      <c r="S14" s="15">
        <f>VLOOKUP(Q:Q,ChatGPT!A:C,3,0)</f>
        <v>15</v>
      </c>
      <c r="T14" s="15" t="str">
        <f t="shared" si="5"/>
        <v>Menor que 50</v>
      </c>
    </row>
    <row r="15" ht="15.75" customHeight="1">
      <c r="A15" s="6" t="s">
        <v>46</v>
      </c>
      <c r="B15" s="7">
        <v>45317.0</v>
      </c>
      <c r="C15" s="8">
        <v>28.75</v>
      </c>
      <c r="D15" s="8">
        <v>1.41</v>
      </c>
      <c r="E15" s="9">
        <v>-2.71</v>
      </c>
      <c r="F15" s="9">
        <v>9.4</v>
      </c>
      <c r="G15" s="9">
        <v>9.4</v>
      </c>
      <c r="H15" s="9">
        <v>-37.7</v>
      </c>
      <c r="I15" s="9">
        <v>28.0</v>
      </c>
      <c r="J15" s="9">
        <v>28.75</v>
      </c>
      <c r="K15" s="6" t="s">
        <v>47</v>
      </c>
      <c r="L15" s="10">
        <f t="shared" si="1"/>
        <v>0.0141</v>
      </c>
      <c r="M15" s="11">
        <f t="shared" si="2"/>
        <v>28.35026132</v>
      </c>
      <c r="N15" s="12">
        <f>VLOOKUP(A15,Stocks!A:B,2,0)</f>
        <v>235665566</v>
      </c>
      <c r="O15" s="13">
        <f t="shared" si="3"/>
        <v>94204643.35</v>
      </c>
      <c r="P15" s="14" t="str">
        <f t="shared" si="4"/>
        <v>Positivo</v>
      </c>
      <c r="Q15" s="15" t="str">
        <f>VLOOKUP(A:A, Ticker!A:B,2,0)</f>
        <v>3R Petroleum</v>
      </c>
      <c r="R15" s="15" t="str">
        <f>VLOOKUP(Q:Q,ChatGPT!A:C,2,0)</f>
        <v>Petróleo e Gás</v>
      </c>
      <c r="S15" s="15">
        <f>VLOOKUP(Q:Q,ChatGPT!A:C,3,0)</f>
        <v>12</v>
      </c>
      <c r="T15" s="15" t="str">
        <f t="shared" si="5"/>
        <v>Menor que 50</v>
      </c>
    </row>
    <row r="16" ht="15.75" customHeight="1">
      <c r="A16" s="6" t="s">
        <v>48</v>
      </c>
      <c r="B16" s="7">
        <v>45317.0</v>
      </c>
      <c r="C16" s="8">
        <v>35.32</v>
      </c>
      <c r="D16" s="8">
        <v>1.34</v>
      </c>
      <c r="E16" s="9">
        <v>2.76</v>
      </c>
      <c r="F16" s="9">
        <v>-1.12</v>
      </c>
      <c r="G16" s="9">
        <v>-1.12</v>
      </c>
      <c r="H16" s="9">
        <v>28.01</v>
      </c>
      <c r="I16" s="9">
        <v>34.85</v>
      </c>
      <c r="J16" s="9">
        <v>35.76</v>
      </c>
      <c r="K16" s="6" t="s">
        <v>49</v>
      </c>
      <c r="L16" s="10">
        <f t="shared" si="1"/>
        <v>0.0134</v>
      </c>
      <c r="M16" s="11">
        <f t="shared" si="2"/>
        <v>34.8529702</v>
      </c>
      <c r="N16" s="12">
        <f>VLOOKUP(A16,Stocks!A:B,2,0)</f>
        <v>1095587251</v>
      </c>
      <c r="O16" s="13">
        <f t="shared" si="3"/>
        <v>511671895.5</v>
      </c>
      <c r="P16" s="14" t="str">
        <f t="shared" si="4"/>
        <v>Positivo</v>
      </c>
      <c r="Q16" s="15" t="str">
        <f>VLOOKUP(A:A, Ticker!A:B,2,0)</f>
        <v>Equatorial Energia</v>
      </c>
      <c r="R16" s="15" t="str">
        <f>VLOOKUP(Q:Q,ChatGPT!A:C,2,0)</f>
        <v>Energia</v>
      </c>
      <c r="S16" s="15">
        <f>VLOOKUP(Q:Q,ChatGPT!A:C,3,0)</f>
        <v>24</v>
      </c>
      <c r="T16" s="15" t="str">
        <f t="shared" si="5"/>
        <v>Menor que 50</v>
      </c>
    </row>
    <row r="17" ht="15.75" customHeight="1">
      <c r="A17" s="6" t="s">
        <v>50</v>
      </c>
      <c r="B17" s="7">
        <v>45317.0</v>
      </c>
      <c r="C17" s="8">
        <v>18.16</v>
      </c>
      <c r="D17" s="8">
        <v>1.33</v>
      </c>
      <c r="E17" s="9">
        <v>4.79</v>
      </c>
      <c r="F17" s="9">
        <v>-7.63</v>
      </c>
      <c r="G17" s="9">
        <v>-7.63</v>
      </c>
      <c r="H17" s="9">
        <v>12.45</v>
      </c>
      <c r="I17" s="9">
        <v>18.0</v>
      </c>
      <c r="J17" s="9">
        <v>18.49</v>
      </c>
      <c r="K17" s="6" t="s">
        <v>51</v>
      </c>
      <c r="L17" s="10">
        <f t="shared" si="1"/>
        <v>0.0133</v>
      </c>
      <c r="M17" s="11">
        <f t="shared" si="2"/>
        <v>17.92164216</v>
      </c>
      <c r="N17" s="12">
        <f>VLOOKUP(A17,Stocks!A:B,2,0)</f>
        <v>600865451</v>
      </c>
      <c r="O17" s="13">
        <f t="shared" si="3"/>
        <v>143220991.5</v>
      </c>
      <c r="P17" s="14" t="str">
        <f t="shared" si="4"/>
        <v>Positivo</v>
      </c>
      <c r="Q17" s="15" t="str">
        <f>VLOOKUP(A:A, Ticker!A:B,2,0)</f>
        <v>Siderúrgica Nacional</v>
      </c>
      <c r="R17" s="15" t="str">
        <f>VLOOKUP(Q:Q,ChatGPT!A:C,2,0)</f>
        <v>Siderurgia</v>
      </c>
      <c r="S17" s="15">
        <f>VLOOKUP(Q:Q,ChatGPT!A:C,3,0)</f>
        <v>82</v>
      </c>
      <c r="T17" s="15" t="str">
        <f t="shared" si="5"/>
        <v>Entre 50 e 100</v>
      </c>
    </row>
    <row r="18" ht="15.75" customHeight="1">
      <c r="A18" s="6" t="s">
        <v>52</v>
      </c>
      <c r="B18" s="7">
        <v>45317.0</v>
      </c>
      <c r="C18" s="8">
        <v>19.77</v>
      </c>
      <c r="D18" s="8">
        <v>1.28</v>
      </c>
      <c r="E18" s="9">
        <v>-5.9</v>
      </c>
      <c r="F18" s="9">
        <v>-11.82</v>
      </c>
      <c r="G18" s="9">
        <v>-11.82</v>
      </c>
      <c r="H18" s="9">
        <v>108.45</v>
      </c>
      <c r="I18" s="9">
        <v>18.99</v>
      </c>
      <c r="J18" s="9">
        <v>19.78</v>
      </c>
      <c r="K18" s="6" t="s">
        <v>53</v>
      </c>
      <c r="L18" s="10">
        <f t="shared" si="1"/>
        <v>0.0128</v>
      </c>
      <c r="M18" s="11">
        <f t="shared" si="2"/>
        <v>19.52014218</v>
      </c>
      <c r="N18" s="12">
        <f>VLOOKUP(A18,Stocks!A:B,2,0)</f>
        <v>289347914</v>
      </c>
      <c r="O18" s="13">
        <f t="shared" si="3"/>
        <v>72295838.99</v>
      </c>
      <c r="P18" s="14" t="str">
        <f t="shared" si="4"/>
        <v>Positivo</v>
      </c>
      <c r="Q18" s="15" t="str">
        <f>VLOOKUP(A:A, Ticker!A:B,2,0)</f>
        <v>YDUQS</v>
      </c>
      <c r="R18" s="15" t="str">
        <f>VLOOKUP(Q:Q,ChatGPT!A:C,2,0)</f>
        <v>Educação</v>
      </c>
      <c r="S18" s="15">
        <f>VLOOKUP(Q:Q,ChatGPT!A:C,3,0)</f>
        <v>60</v>
      </c>
      <c r="T18" s="15" t="str">
        <f t="shared" si="5"/>
        <v>Entre 50 e 100</v>
      </c>
    </row>
    <row r="19" ht="15.75" customHeight="1">
      <c r="A19" s="6" t="s">
        <v>54</v>
      </c>
      <c r="B19" s="7">
        <v>45317.0</v>
      </c>
      <c r="C19" s="8">
        <v>28.31</v>
      </c>
      <c r="D19" s="8">
        <v>1.28</v>
      </c>
      <c r="E19" s="9">
        <v>2.35</v>
      </c>
      <c r="F19" s="9">
        <v>6.79</v>
      </c>
      <c r="G19" s="9">
        <v>6.79</v>
      </c>
      <c r="H19" s="9">
        <v>119.82</v>
      </c>
      <c r="I19" s="9">
        <v>27.84</v>
      </c>
      <c r="J19" s="9">
        <v>28.39</v>
      </c>
      <c r="K19" s="6" t="s">
        <v>55</v>
      </c>
      <c r="L19" s="10">
        <f t="shared" si="1"/>
        <v>0.0128</v>
      </c>
      <c r="M19" s="11">
        <f t="shared" si="2"/>
        <v>27.95221169</v>
      </c>
      <c r="N19" s="12">
        <f>VLOOKUP(A19,Stocks!A:B,2,0)</f>
        <v>1086411192</v>
      </c>
      <c r="O19" s="13">
        <f t="shared" si="3"/>
        <v>388705224</v>
      </c>
      <c r="P19" s="14" t="str">
        <f t="shared" si="4"/>
        <v>Positivo</v>
      </c>
      <c r="Q19" s="15" t="str">
        <f>VLOOKUP(A:A, Ticker!A:B,2,0)</f>
        <v>Ultrapar</v>
      </c>
      <c r="R19" s="15" t="str">
        <f>VLOOKUP(Q:Q,ChatGPT!A:C,2,0)</f>
        <v>Energia e Química</v>
      </c>
      <c r="S19" s="15">
        <f>VLOOKUP(Q:Q,ChatGPT!A:C,3,0)</f>
        <v>84</v>
      </c>
      <c r="T19" s="15" t="str">
        <f t="shared" si="5"/>
        <v>Entre 50 e 100</v>
      </c>
    </row>
    <row r="20" ht="15.75" customHeight="1">
      <c r="A20" s="6" t="s">
        <v>56</v>
      </c>
      <c r="B20" s="7">
        <v>45317.0</v>
      </c>
      <c r="C20" s="8">
        <v>8.08</v>
      </c>
      <c r="D20" s="8">
        <v>1.25</v>
      </c>
      <c r="E20" s="9">
        <v>1.38</v>
      </c>
      <c r="F20" s="9">
        <v>-28.05</v>
      </c>
      <c r="G20" s="9">
        <v>-28.05</v>
      </c>
      <c r="H20" s="9">
        <v>14.12</v>
      </c>
      <c r="I20" s="9">
        <v>7.93</v>
      </c>
      <c r="J20" s="9">
        <v>8.23</v>
      </c>
      <c r="K20" s="6" t="s">
        <v>57</v>
      </c>
      <c r="L20" s="10">
        <f t="shared" si="1"/>
        <v>0.0125</v>
      </c>
      <c r="M20" s="11">
        <f t="shared" si="2"/>
        <v>7.980246914</v>
      </c>
      <c r="N20" s="12">
        <f>VLOOKUP(A20,Stocks!A:B,2,0)</f>
        <v>376187582</v>
      </c>
      <c r="O20" s="13">
        <f t="shared" si="3"/>
        <v>37525872.38</v>
      </c>
      <c r="P20" s="14" t="str">
        <f t="shared" si="4"/>
        <v>Positivo</v>
      </c>
      <c r="Q20" s="15" t="str">
        <f>VLOOKUP(A:A, Ticker!A:B,2,0)</f>
        <v>MRV</v>
      </c>
      <c r="R20" s="15" t="str">
        <f>VLOOKUP(Q:Q,ChatGPT!A:C,2,0)</f>
        <v>Construção Civil</v>
      </c>
      <c r="S20" s="15">
        <f>VLOOKUP(Q:Q,ChatGPT!A:C,3,0)</f>
        <v>41</v>
      </c>
      <c r="T20" s="15" t="str">
        <f t="shared" si="5"/>
        <v>Menor que 50</v>
      </c>
    </row>
    <row r="21" ht="15.75" customHeight="1">
      <c r="A21" s="6" t="s">
        <v>58</v>
      </c>
      <c r="B21" s="7">
        <v>45317.0</v>
      </c>
      <c r="C21" s="8">
        <v>57.91</v>
      </c>
      <c r="D21" s="8">
        <v>1.15</v>
      </c>
      <c r="E21" s="9">
        <v>-1.03</v>
      </c>
      <c r="F21" s="9">
        <v>-10.26</v>
      </c>
      <c r="G21" s="9">
        <v>-10.26</v>
      </c>
      <c r="H21" s="9">
        <v>-28.97</v>
      </c>
      <c r="I21" s="9">
        <v>56.22</v>
      </c>
      <c r="J21" s="9">
        <v>59.29</v>
      </c>
      <c r="K21" s="6" t="s">
        <v>59</v>
      </c>
      <c r="L21" s="10">
        <f t="shared" si="1"/>
        <v>0.0115</v>
      </c>
      <c r="M21" s="11">
        <f t="shared" si="2"/>
        <v>57.25160652</v>
      </c>
      <c r="N21" s="12">
        <f>VLOOKUP(A21,Stocks!A:B,2,0)</f>
        <v>62305891</v>
      </c>
      <c r="O21" s="13">
        <f t="shared" si="3"/>
        <v>41021792.09</v>
      </c>
      <c r="P21" s="14" t="str">
        <f t="shared" si="4"/>
        <v>Positivo</v>
      </c>
      <c r="Q21" s="15" t="str">
        <f>VLOOKUP(A:A, Ticker!A:B,2,0)</f>
        <v>Arezzo</v>
      </c>
      <c r="R21" s="15" t="str">
        <f>VLOOKUP(Q:Q,ChatGPT!A:C,2,0)</f>
        <v>Moda e Calçados</v>
      </c>
      <c r="S21" s="15">
        <f>VLOOKUP(Q:Q,ChatGPT!A:C,3,0)</f>
        <v>49</v>
      </c>
      <c r="T21" s="15" t="str">
        <f t="shared" si="5"/>
        <v>Menor que 50</v>
      </c>
    </row>
    <row r="22" ht="15.75" customHeight="1">
      <c r="A22" s="6" t="s">
        <v>60</v>
      </c>
      <c r="B22" s="7">
        <v>45317.0</v>
      </c>
      <c r="C22" s="8">
        <v>15.52</v>
      </c>
      <c r="D22" s="8">
        <v>1.04</v>
      </c>
      <c r="E22" s="9">
        <v>-0.77</v>
      </c>
      <c r="F22" s="9">
        <v>-9.08</v>
      </c>
      <c r="G22" s="9">
        <v>-9.08</v>
      </c>
      <c r="H22" s="9">
        <v>16.11</v>
      </c>
      <c r="I22" s="9">
        <v>15.35</v>
      </c>
      <c r="J22" s="9">
        <v>15.62</v>
      </c>
      <c r="K22" s="6" t="s">
        <v>61</v>
      </c>
      <c r="L22" s="10">
        <f t="shared" si="1"/>
        <v>0.0104</v>
      </c>
      <c r="M22" s="11">
        <f t="shared" si="2"/>
        <v>15.36025337</v>
      </c>
      <c r="N22" s="12">
        <f>VLOOKUP(A22,Stocks!A:B,2,0)</f>
        <v>5146576868</v>
      </c>
      <c r="O22" s="13">
        <f t="shared" si="3"/>
        <v>822148336.4</v>
      </c>
      <c r="P22" s="14" t="str">
        <f t="shared" si="4"/>
        <v>Positivo</v>
      </c>
      <c r="Q22" s="15" t="str">
        <f>VLOOKUP(A:A, Ticker!A:B,2,0)</f>
        <v>Banco Bradesco</v>
      </c>
      <c r="R22" s="15" t="str">
        <f>VLOOKUP(Q:Q,ChatGPT!A:C,2,0)</f>
        <v>Serviços Financeiros</v>
      </c>
      <c r="S22" s="15">
        <f>VLOOKUP(Q:Q,ChatGPT!A:C,3,0)</f>
        <v>79</v>
      </c>
      <c r="T22" s="15" t="str">
        <f t="shared" si="5"/>
        <v>Entre 50 e 100</v>
      </c>
    </row>
    <row r="23" ht="15.75" customHeight="1">
      <c r="A23" s="6" t="s">
        <v>62</v>
      </c>
      <c r="B23" s="7">
        <v>45317.0</v>
      </c>
      <c r="C23" s="8">
        <v>7.19</v>
      </c>
      <c r="D23" s="8">
        <v>0.98</v>
      </c>
      <c r="E23" s="9">
        <v>6.05</v>
      </c>
      <c r="F23" s="9">
        <v>-3.75</v>
      </c>
      <c r="G23" s="9">
        <v>-3.75</v>
      </c>
      <c r="H23" s="9">
        <v>-48.31</v>
      </c>
      <c r="I23" s="9">
        <v>7.11</v>
      </c>
      <c r="J23" s="9">
        <v>7.24</v>
      </c>
      <c r="K23" s="6" t="s">
        <v>63</v>
      </c>
      <c r="L23" s="10">
        <f t="shared" si="1"/>
        <v>0.0098</v>
      </c>
      <c r="M23" s="11">
        <f t="shared" si="2"/>
        <v>7.120221826</v>
      </c>
      <c r="N23" s="12">
        <f>VLOOKUP(A23,Stocks!A:B,2,0)</f>
        <v>261036182</v>
      </c>
      <c r="O23" s="13">
        <f t="shared" si="3"/>
        <v>18214628.1</v>
      </c>
      <c r="P23" s="14" t="str">
        <f t="shared" si="4"/>
        <v>Positivo</v>
      </c>
      <c r="Q23" s="15" t="str">
        <f>VLOOKUP(A:A, Ticker!A:B,2,0)</f>
        <v>Minerva</v>
      </c>
      <c r="R23" s="15" t="str">
        <f>VLOOKUP(Q:Q,ChatGPT!A:C,2,0)</f>
        <v>Alimentos</v>
      </c>
      <c r="S23" s="15">
        <f>VLOOKUP(Q:Q,ChatGPT!A:C,3,0)</f>
        <v>30</v>
      </c>
      <c r="T23" s="15" t="str">
        <f t="shared" si="5"/>
        <v>Menor que 50</v>
      </c>
    </row>
    <row r="24" ht="15.75" customHeight="1">
      <c r="A24" s="6" t="s">
        <v>64</v>
      </c>
      <c r="B24" s="7">
        <v>45317.0</v>
      </c>
      <c r="C24" s="8">
        <v>4.14</v>
      </c>
      <c r="D24" s="8">
        <v>0.97</v>
      </c>
      <c r="E24" s="9">
        <v>-6.33</v>
      </c>
      <c r="F24" s="9">
        <v>1.97</v>
      </c>
      <c r="G24" s="9">
        <v>1.97</v>
      </c>
      <c r="H24" s="9">
        <v>-51.18</v>
      </c>
      <c r="I24" s="9">
        <v>4.08</v>
      </c>
      <c r="J24" s="9">
        <v>4.2</v>
      </c>
      <c r="K24" s="6" t="s">
        <v>65</v>
      </c>
      <c r="L24" s="10">
        <f t="shared" si="1"/>
        <v>0.0097</v>
      </c>
      <c r="M24" s="11">
        <f t="shared" si="2"/>
        <v>4.10022779</v>
      </c>
      <c r="N24" s="12">
        <f>VLOOKUP(A24,Stocks!A:B,2,0)</f>
        <v>159430826</v>
      </c>
      <c r="O24" s="13">
        <f t="shared" si="3"/>
        <v>6340916.223</v>
      </c>
      <c r="P24" s="14" t="str">
        <f t="shared" si="4"/>
        <v>Positivo</v>
      </c>
      <c r="Q24" s="15" t="str">
        <f>VLOOKUP(A:A, Ticker!A:B,2,0)</f>
        <v>Grupo Pão de Açúcar</v>
      </c>
      <c r="R24" s="15" t="str">
        <f>VLOOKUP(Q:Q,ChatGPT!A:C,2,0)</f>
        <v>Varejo</v>
      </c>
      <c r="S24" s="15">
        <f>VLOOKUP(Q:Q,ChatGPT!A:C,3,0)</f>
        <v>73</v>
      </c>
      <c r="T24" s="15" t="str">
        <f t="shared" si="5"/>
        <v>Entre 50 e 100</v>
      </c>
    </row>
    <row r="25" ht="15.75" customHeight="1">
      <c r="A25" s="6" t="s">
        <v>66</v>
      </c>
      <c r="B25" s="7">
        <v>45317.0</v>
      </c>
      <c r="C25" s="8">
        <v>14.61</v>
      </c>
      <c r="D25" s="8">
        <v>0.96</v>
      </c>
      <c r="E25" s="9">
        <v>12.38</v>
      </c>
      <c r="F25" s="9">
        <v>5.79</v>
      </c>
      <c r="G25" s="9">
        <v>5.79</v>
      </c>
      <c r="H25" s="9">
        <v>78.17</v>
      </c>
      <c r="I25" s="9">
        <v>14.46</v>
      </c>
      <c r="J25" s="9">
        <v>14.93</v>
      </c>
      <c r="K25" s="6" t="s">
        <v>67</v>
      </c>
      <c r="L25" s="10">
        <f t="shared" si="1"/>
        <v>0.0096</v>
      </c>
      <c r="M25" s="11">
        <f t="shared" si="2"/>
        <v>14.47107765</v>
      </c>
      <c r="N25" s="12">
        <f>VLOOKUP(A25,Stocks!A:B,2,0)</f>
        <v>1677525446</v>
      </c>
      <c r="O25" s="13">
        <f t="shared" si="3"/>
        <v>233045769.6</v>
      </c>
      <c r="P25" s="14" t="str">
        <f t="shared" si="4"/>
        <v>Positivo</v>
      </c>
      <c r="Q25" s="15" t="str">
        <f>VLOOKUP(A:A, Ticker!A:B,2,0)</f>
        <v>BRF</v>
      </c>
      <c r="R25" s="15" t="str">
        <f>VLOOKUP(Q:Q,ChatGPT!A:C,2,0)</f>
        <v>Alimentos</v>
      </c>
      <c r="S25" s="15">
        <f>VLOOKUP(Q:Q,ChatGPT!A:C,3,0)</f>
        <v>85</v>
      </c>
      <c r="T25" s="15" t="str">
        <f t="shared" si="5"/>
        <v>Entre 50 e 100</v>
      </c>
    </row>
    <row r="26" ht="15.75" customHeight="1">
      <c r="A26" s="6" t="s">
        <v>68</v>
      </c>
      <c r="B26" s="7">
        <v>45317.0</v>
      </c>
      <c r="C26" s="8">
        <v>51.2</v>
      </c>
      <c r="D26" s="8">
        <v>0.88</v>
      </c>
      <c r="E26" s="9">
        <v>1.09</v>
      </c>
      <c r="F26" s="9">
        <v>-4.19</v>
      </c>
      <c r="G26" s="9">
        <v>-4.19</v>
      </c>
      <c r="H26" s="9">
        <v>32.78</v>
      </c>
      <c r="I26" s="9">
        <v>50.62</v>
      </c>
      <c r="J26" s="9">
        <v>51.26</v>
      </c>
      <c r="K26" s="6" t="s">
        <v>69</v>
      </c>
      <c r="L26" s="10">
        <f t="shared" si="1"/>
        <v>0.0088</v>
      </c>
      <c r="M26" s="11">
        <f t="shared" si="2"/>
        <v>50.75337034</v>
      </c>
      <c r="N26" s="12">
        <f>VLOOKUP(A26,Stocks!A:B,2,0)</f>
        <v>423091712</v>
      </c>
      <c r="O26" s="13">
        <f t="shared" si="3"/>
        <v>188965307.1</v>
      </c>
      <c r="P26" s="14" t="str">
        <f t="shared" si="4"/>
        <v>Positivo</v>
      </c>
      <c r="Q26" s="15" t="str">
        <f>VLOOKUP(A:A, Ticker!A:B,2,0)</f>
        <v>Vivo</v>
      </c>
      <c r="R26" s="15" t="str">
        <f>VLOOKUP(Q:Q,ChatGPT!A:C,2,0)</f>
        <v>Telecomunicações</v>
      </c>
      <c r="S26" s="15">
        <f>VLOOKUP(Q:Q,ChatGPT!A:C,3,0)</f>
        <v>20</v>
      </c>
      <c r="T26" s="15" t="str">
        <f t="shared" si="5"/>
        <v>Menor que 50</v>
      </c>
    </row>
    <row r="27" ht="15.75" customHeight="1">
      <c r="A27" s="6" t="s">
        <v>70</v>
      </c>
      <c r="B27" s="7">
        <v>45317.0</v>
      </c>
      <c r="C27" s="8">
        <v>22.64</v>
      </c>
      <c r="D27" s="8">
        <v>0.84</v>
      </c>
      <c r="E27" s="9">
        <v>1.07</v>
      </c>
      <c r="F27" s="9">
        <v>-1.35</v>
      </c>
      <c r="G27" s="9">
        <v>-1.35</v>
      </c>
      <c r="H27" s="9">
        <v>20.93</v>
      </c>
      <c r="I27" s="9">
        <v>22.32</v>
      </c>
      <c r="J27" s="9">
        <v>22.83</v>
      </c>
      <c r="K27" s="6" t="s">
        <v>71</v>
      </c>
      <c r="L27" s="10">
        <f t="shared" si="1"/>
        <v>0.0084</v>
      </c>
      <c r="M27" s="11">
        <f t="shared" si="2"/>
        <v>22.45140817</v>
      </c>
      <c r="N27" s="12">
        <f>VLOOKUP(A27,Stocks!A:B,2,0)</f>
        <v>1218352541</v>
      </c>
      <c r="O27" s="13">
        <f t="shared" si="3"/>
        <v>229771333.6</v>
      </c>
      <c r="P27" s="14" t="str">
        <f t="shared" si="4"/>
        <v>Positivo</v>
      </c>
      <c r="Q27" s="15" t="str">
        <f>VLOOKUP(A:A, Ticker!A:B,2,0)</f>
        <v>Rumo</v>
      </c>
      <c r="R27" s="15" t="str">
        <f>VLOOKUP(Q:Q,ChatGPT!A:C,2,0)</f>
        <v>Logística</v>
      </c>
      <c r="S27" s="15">
        <f>VLOOKUP(Q:Q,ChatGPT!A:C,3,0)</f>
        <v>10</v>
      </c>
      <c r="T27" s="15" t="str">
        <f t="shared" si="5"/>
        <v>Menor que 50</v>
      </c>
    </row>
    <row r="28" ht="15.75" customHeight="1">
      <c r="A28" s="6" t="s">
        <v>72</v>
      </c>
      <c r="B28" s="7">
        <v>45317.0</v>
      </c>
      <c r="C28" s="8">
        <v>4.9</v>
      </c>
      <c r="D28" s="8">
        <v>0.82</v>
      </c>
      <c r="E28" s="9">
        <v>9.38</v>
      </c>
      <c r="F28" s="9">
        <v>5.83</v>
      </c>
      <c r="G28" s="9">
        <v>5.83</v>
      </c>
      <c r="H28" s="9">
        <v>-2.19</v>
      </c>
      <c r="I28" s="9">
        <v>4.82</v>
      </c>
      <c r="J28" s="9">
        <v>4.97</v>
      </c>
      <c r="K28" s="6" t="s">
        <v>73</v>
      </c>
      <c r="L28" s="10">
        <f t="shared" si="1"/>
        <v>0.0082</v>
      </c>
      <c r="M28" s="11">
        <f t="shared" si="2"/>
        <v>4.860146796</v>
      </c>
      <c r="N28" s="12">
        <f>VLOOKUP(A28,Stocks!A:B,2,0)</f>
        <v>1095462329</v>
      </c>
      <c r="O28" s="13">
        <f t="shared" si="3"/>
        <v>43657683.38</v>
      </c>
      <c r="P28" s="14" t="str">
        <f t="shared" si="4"/>
        <v>Positivo</v>
      </c>
      <c r="Q28" s="15" t="str">
        <f>VLOOKUP(A:A, Ticker!A:B,2,0)</f>
        <v>Cielo</v>
      </c>
      <c r="R28" s="15" t="str">
        <f>VLOOKUP(Q:Q,ChatGPT!A:C,2,0)</f>
        <v>Meios de Pagamento</v>
      </c>
      <c r="S28" s="15">
        <f>VLOOKUP(Q:Q,ChatGPT!A:C,3,0)</f>
        <v>24</v>
      </c>
      <c r="T28" s="15" t="str">
        <f t="shared" si="5"/>
        <v>Menor que 50</v>
      </c>
    </row>
    <row r="29" ht="15.75" customHeight="1">
      <c r="A29" s="6" t="s">
        <v>74</v>
      </c>
      <c r="B29" s="7">
        <v>45317.0</v>
      </c>
      <c r="C29" s="8">
        <v>7.81</v>
      </c>
      <c r="D29" s="8">
        <v>0.77</v>
      </c>
      <c r="E29" s="9">
        <v>3.17</v>
      </c>
      <c r="F29" s="9">
        <v>-3.22</v>
      </c>
      <c r="G29" s="9">
        <v>-3.22</v>
      </c>
      <c r="H29" s="9">
        <v>9.94</v>
      </c>
      <c r="I29" s="9">
        <v>7.7</v>
      </c>
      <c r="J29" s="9">
        <v>7.85</v>
      </c>
      <c r="K29" s="6" t="s">
        <v>75</v>
      </c>
      <c r="L29" s="10">
        <f t="shared" si="1"/>
        <v>0.0077</v>
      </c>
      <c r="M29" s="11">
        <f t="shared" si="2"/>
        <v>7.750322517</v>
      </c>
      <c r="N29" s="12">
        <f>VLOOKUP(A29,Stocks!A:B,2,0)</f>
        <v>302768240</v>
      </c>
      <c r="O29" s="13">
        <f t="shared" si="3"/>
        <v>18068446.61</v>
      </c>
      <c r="P29" s="14" t="str">
        <f t="shared" si="4"/>
        <v>Positivo</v>
      </c>
      <c r="Q29" s="15" t="str">
        <f>VLOOKUP(A:A, Ticker!A:B,2,0)</f>
        <v>Dexco</v>
      </c>
      <c r="R29" s="15" t="str">
        <f>VLOOKUP(Q:Q,ChatGPT!A:C,2,0)</f>
        <v>Holding</v>
      </c>
      <c r="S29" s="15">
        <f>VLOOKUP(Q:Q,ChatGPT!A:C,3,0)</f>
        <v>11</v>
      </c>
      <c r="T29" s="15" t="str">
        <f t="shared" si="5"/>
        <v>Menor que 50</v>
      </c>
    </row>
    <row r="30" ht="15.75" customHeight="1">
      <c r="A30" s="6" t="s">
        <v>76</v>
      </c>
      <c r="B30" s="7">
        <v>45317.0</v>
      </c>
      <c r="C30" s="8">
        <v>17.52</v>
      </c>
      <c r="D30" s="8">
        <v>0.74</v>
      </c>
      <c r="E30" s="9">
        <v>-0.57</v>
      </c>
      <c r="F30" s="9">
        <v>-2.29</v>
      </c>
      <c r="G30" s="9">
        <v>-2.29</v>
      </c>
      <c r="H30" s="9">
        <v>56.87</v>
      </c>
      <c r="I30" s="9">
        <v>17.36</v>
      </c>
      <c r="J30" s="9">
        <v>17.58</v>
      </c>
      <c r="K30" s="6" t="s">
        <v>77</v>
      </c>
      <c r="L30" s="10">
        <f t="shared" si="1"/>
        <v>0.0074</v>
      </c>
      <c r="M30" s="11">
        <f t="shared" si="2"/>
        <v>17.39130435</v>
      </c>
      <c r="N30" s="12">
        <f>VLOOKUP(A30,Stocks!A:B,2,0)</f>
        <v>807896814</v>
      </c>
      <c r="O30" s="13">
        <f t="shared" si="3"/>
        <v>103972807.4</v>
      </c>
      <c r="P30" s="14" t="str">
        <f t="shared" si="4"/>
        <v>Positivo</v>
      </c>
      <c r="Q30" s="15" t="str">
        <f>VLOOKUP(A:A, Ticker!A:B,2,0)</f>
        <v>TIM</v>
      </c>
      <c r="R30" s="15" t="str">
        <f>VLOOKUP(Q:Q,ChatGPT!A:C,2,0)</f>
        <v>Telecomunicações</v>
      </c>
      <c r="S30" s="15">
        <f>VLOOKUP(Q:Q,ChatGPT!A:C,3,0)</f>
        <v>25</v>
      </c>
      <c r="T30" s="15" t="str">
        <f t="shared" si="5"/>
        <v>Menor que 50</v>
      </c>
    </row>
    <row r="31" ht="15.75" customHeight="1">
      <c r="A31" s="6" t="s">
        <v>78</v>
      </c>
      <c r="B31" s="7">
        <v>45317.0</v>
      </c>
      <c r="C31" s="8">
        <v>23.22</v>
      </c>
      <c r="D31" s="8">
        <v>0.73</v>
      </c>
      <c r="E31" s="9">
        <v>1.93</v>
      </c>
      <c r="F31" s="9">
        <v>-9.51</v>
      </c>
      <c r="G31" s="9">
        <v>-9.51</v>
      </c>
      <c r="H31" s="9">
        <v>-20.4</v>
      </c>
      <c r="I31" s="9">
        <v>22.69</v>
      </c>
      <c r="J31" s="9">
        <v>23.28</v>
      </c>
      <c r="K31" s="6" t="s">
        <v>79</v>
      </c>
      <c r="L31" s="10">
        <f t="shared" si="1"/>
        <v>0.0073</v>
      </c>
      <c r="M31" s="11">
        <f t="shared" si="2"/>
        <v>23.05172243</v>
      </c>
      <c r="N31" s="12">
        <f>VLOOKUP(A31,Stocks!A:B,2,0)</f>
        <v>251003438</v>
      </c>
      <c r="O31" s="13">
        <f t="shared" si="3"/>
        <v>42238249.54</v>
      </c>
      <c r="P31" s="14" t="str">
        <f t="shared" si="4"/>
        <v>Positivo</v>
      </c>
      <c r="Q31" s="15" t="str">
        <f>VLOOKUP(A:A, Ticker!A:B,2,0)</f>
        <v>Bradespar</v>
      </c>
      <c r="R31" s="15" t="str">
        <f>VLOOKUP(Q:Q,ChatGPT!A:C,2,0)</f>
        <v>Investimentos Diversos</v>
      </c>
      <c r="S31" s="15">
        <f>VLOOKUP(Q:Q,ChatGPT!A:C,3,0)</f>
        <v>60</v>
      </c>
      <c r="T31" s="15" t="str">
        <f t="shared" si="5"/>
        <v>Entre 50 e 100</v>
      </c>
    </row>
    <row r="32" ht="15.75" customHeight="1">
      <c r="A32" s="6" t="s">
        <v>80</v>
      </c>
      <c r="B32" s="7">
        <v>45317.0</v>
      </c>
      <c r="C32" s="8">
        <v>5.55</v>
      </c>
      <c r="D32" s="8">
        <v>0.72</v>
      </c>
      <c r="E32" s="9">
        <v>-3.65</v>
      </c>
      <c r="F32" s="9">
        <v>-7.65</v>
      </c>
      <c r="G32" s="9">
        <v>-7.65</v>
      </c>
      <c r="H32" s="9">
        <v>-14.03</v>
      </c>
      <c r="I32" s="9">
        <v>5.46</v>
      </c>
      <c r="J32" s="9">
        <v>5.6</v>
      </c>
      <c r="K32" s="6" t="s">
        <v>81</v>
      </c>
      <c r="L32" s="10">
        <f t="shared" si="1"/>
        <v>0.0072</v>
      </c>
      <c r="M32" s="11">
        <f t="shared" si="2"/>
        <v>5.510325655</v>
      </c>
      <c r="N32" s="12">
        <f>VLOOKUP(A32,Stocks!A:B,2,0)</f>
        <v>393173139</v>
      </c>
      <c r="O32" s="13">
        <f t="shared" si="3"/>
        <v>15598886.65</v>
      </c>
      <c r="P32" s="14" t="str">
        <f t="shared" si="4"/>
        <v>Positivo</v>
      </c>
      <c r="Q32" s="15" t="str">
        <f>VLOOKUP(A:A, Ticker!A:B,2,0)</f>
        <v>Locaweb</v>
      </c>
      <c r="R32" s="15" t="str">
        <f>VLOOKUP(Q:Q,ChatGPT!A:C,2,0)</f>
        <v>Tecnologia</v>
      </c>
      <c r="S32" s="15">
        <f>VLOOKUP(Q:Q,ChatGPT!A:C,3,0)</f>
        <v>24</v>
      </c>
      <c r="T32" s="15" t="str">
        <f t="shared" si="5"/>
        <v>Menor que 50</v>
      </c>
    </row>
    <row r="33" ht="15.75" customHeight="1">
      <c r="A33" s="6" t="s">
        <v>82</v>
      </c>
      <c r="B33" s="7">
        <v>45317.0</v>
      </c>
      <c r="C33" s="8">
        <v>23.83</v>
      </c>
      <c r="D33" s="8">
        <v>0.71</v>
      </c>
      <c r="E33" s="9">
        <v>1.49</v>
      </c>
      <c r="F33" s="9">
        <v>9.71</v>
      </c>
      <c r="G33" s="9">
        <v>9.71</v>
      </c>
      <c r="H33" s="9">
        <v>-26.61</v>
      </c>
      <c r="I33" s="9">
        <v>23.36</v>
      </c>
      <c r="J33" s="9">
        <v>23.99</v>
      </c>
      <c r="K33" s="6" t="s">
        <v>83</v>
      </c>
      <c r="L33" s="10">
        <f t="shared" si="1"/>
        <v>0.0071</v>
      </c>
      <c r="M33" s="11">
        <f t="shared" si="2"/>
        <v>23.6619998</v>
      </c>
      <c r="N33" s="12">
        <f>VLOOKUP(A33,Stocks!A:B,2,0)</f>
        <v>275005663</v>
      </c>
      <c r="O33" s="13">
        <f t="shared" si="3"/>
        <v>46201006</v>
      </c>
      <c r="P33" s="14" t="str">
        <f t="shared" si="4"/>
        <v>Positivo</v>
      </c>
      <c r="Q33" s="15" t="str">
        <f>VLOOKUP(A:A, Ticker!A:B,2,0)</f>
        <v>PetroRecôncavo</v>
      </c>
      <c r="R33" s="15" t="str">
        <f>VLOOKUP(Q:Q,ChatGPT!A:C,2,0)</f>
        <v>Petróleo e Gás</v>
      </c>
      <c r="S33" s="15">
        <f>VLOOKUP(Q:Q,ChatGPT!A:C,3,0)</f>
        <v>11</v>
      </c>
      <c r="T33" s="15" t="str">
        <f t="shared" si="5"/>
        <v>Menor que 50</v>
      </c>
    </row>
    <row r="34" ht="15.75" customHeight="1">
      <c r="A34" s="6" t="s">
        <v>84</v>
      </c>
      <c r="B34" s="7">
        <v>45317.0</v>
      </c>
      <c r="C34" s="8">
        <v>10.01</v>
      </c>
      <c r="D34" s="8">
        <v>0.7</v>
      </c>
      <c r="E34" s="9">
        <v>-0.3</v>
      </c>
      <c r="F34" s="9">
        <v>-3.47</v>
      </c>
      <c r="G34" s="9">
        <v>-3.47</v>
      </c>
      <c r="H34" s="9">
        <v>29.0</v>
      </c>
      <c r="I34" s="9">
        <v>9.93</v>
      </c>
      <c r="J34" s="9">
        <v>10.06</v>
      </c>
      <c r="K34" s="6" t="s">
        <v>85</v>
      </c>
      <c r="L34" s="10">
        <f t="shared" si="1"/>
        <v>0.007</v>
      </c>
      <c r="M34" s="11">
        <f t="shared" si="2"/>
        <v>9.94041708</v>
      </c>
      <c r="N34" s="12">
        <f>VLOOKUP(A34,Stocks!A:B,2,0)</f>
        <v>5372783971</v>
      </c>
      <c r="O34" s="13">
        <f t="shared" si="3"/>
        <v>373853994.9</v>
      </c>
      <c r="P34" s="14" t="str">
        <f t="shared" si="4"/>
        <v>Positivo</v>
      </c>
      <c r="Q34" s="15" t="str">
        <f>VLOOKUP(A:A, Ticker!A:B,2,0)</f>
        <v>Itaúsa</v>
      </c>
      <c r="R34" s="15" t="str">
        <f>VLOOKUP(Q:Q,ChatGPT!A:C,2,0)</f>
        <v>Investimentos Diversos</v>
      </c>
      <c r="S34" s="15">
        <f>VLOOKUP(Q:Q,ChatGPT!A:C,3,0)</f>
        <v>57</v>
      </c>
      <c r="T34" s="15" t="str">
        <f t="shared" si="5"/>
        <v>Entre 50 e 100</v>
      </c>
    </row>
    <row r="35" ht="15.75" customHeight="1">
      <c r="A35" s="6" t="s">
        <v>86</v>
      </c>
      <c r="B35" s="7">
        <v>45317.0</v>
      </c>
      <c r="C35" s="8">
        <v>56.97</v>
      </c>
      <c r="D35" s="8">
        <v>0.68</v>
      </c>
      <c r="E35" s="9">
        <v>1.88</v>
      </c>
      <c r="F35" s="9">
        <v>2.85</v>
      </c>
      <c r="G35" s="9">
        <v>2.85</v>
      </c>
      <c r="H35" s="9">
        <v>52.87</v>
      </c>
      <c r="I35" s="9">
        <v>56.55</v>
      </c>
      <c r="J35" s="9">
        <v>56.99</v>
      </c>
      <c r="K35" s="6" t="s">
        <v>87</v>
      </c>
      <c r="L35" s="10">
        <f t="shared" si="1"/>
        <v>0.0068</v>
      </c>
      <c r="M35" s="11">
        <f t="shared" si="2"/>
        <v>56.5852205</v>
      </c>
      <c r="N35" s="12">
        <f>VLOOKUP(A35,Stocks!A:B,2,0)</f>
        <v>1420949112</v>
      </c>
      <c r="O35" s="13">
        <f t="shared" si="3"/>
        <v>546752088</v>
      </c>
      <c r="P35" s="14" t="str">
        <f t="shared" si="4"/>
        <v>Positivo</v>
      </c>
      <c r="Q35" s="15" t="str">
        <f>VLOOKUP(A:A, Ticker!A:B,2,0)</f>
        <v>Banco do Brasil</v>
      </c>
      <c r="R35" s="15" t="str">
        <f>VLOOKUP(Q:Q,ChatGPT!A:C,2,0)</f>
        <v>Serviços Financeiros</v>
      </c>
      <c r="S35" s="15">
        <f>VLOOKUP(Q:Q,ChatGPT!A:C,3,0)</f>
        <v>218</v>
      </c>
      <c r="T35" s="15" t="str">
        <f t="shared" si="5"/>
        <v>Mais que 100</v>
      </c>
    </row>
    <row r="36" ht="15.75" customHeight="1">
      <c r="A36" s="6" t="s">
        <v>88</v>
      </c>
      <c r="B36" s="7">
        <v>45317.0</v>
      </c>
      <c r="C36" s="8">
        <v>26.16</v>
      </c>
      <c r="D36" s="8">
        <v>0.61</v>
      </c>
      <c r="E36" s="9">
        <v>-2.75</v>
      </c>
      <c r="F36" s="9">
        <v>-11.02</v>
      </c>
      <c r="G36" s="9">
        <v>-11.02</v>
      </c>
      <c r="H36" s="9">
        <v>10.07</v>
      </c>
      <c r="I36" s="9">
        <v>25.87</v>
      </c>
      <c r="J36" s="9">
        <v>26.38</v>
      </c>
      <c r="K36" s="6" t="s">
        <v>89</v>
      </c>
      <c r="L36" s="10">
        <f t="shared" si="1"/>
        <v>0.0061</v>
      </c>
      <c r="M36" s="11">
        <f t="shared" si="2"/>
        <v>26.00139151</v>
      </c>
      <c r="N36" s="12">
        <f>VLOOKUP(A36,Stocks!A:B,2,0)</f>
        <v>1275798515</v>
      </c>
      <c r="O36" s="13">
        <f t="shared" si="3"/>
        <v>202352473.7</v>
      </c>
      <c r="P36" s="14" t="str">
        <f t="shared" si="4"/>
        <v>Positivo</v>
      </c>
      <c r="Q36" s="15" t="str">
        <f>VLOOKUP(A:A, Ticker!A:B,2,0)</f>
        <v>RaiaDrogasil</v>
      </c>
      <c r="R36" s="15" t="str">
        <f>VLOOKUP(Q:Q,ChatGPT!A:C,2,0)</f>
        <v>Farmácias</v>
      </c>
      <c r="S36" s="15">
        <f>VLOOKUP(Q:Q,ChatGPT!A:C,3,0)</f>
        <v>119</v>
      </c>
      <c r="T36" s="15" t="str">
        <f t="shared" si="5"/>
        <v>Mais que 100</v>
      </c>
    </row>
    <row r="37" ht="15.75" customHeight="1">
      <c r="A37" s="6" t="s">
        <v>90</v>
      </c>
      <c r="B37" s="7">
        <v>45317.0</v>
      </c>
      <c r="C37" s="8">
        <v>10.08</v>
      </c>
      <c r="D37" s="8">
        <v>0.59</v>
      </c>
      <c r="E37" s="9">
        <v>3.28</v>
      </c>
      <c r="F37" s="9">
        <v>-7.18</v>
      </c>
      <c r="G37" s="9">
        <v>-7.18</v>
      </c>
      <c r="H37" s="9">
        <v>-21.14</v>
      </c>
      <c r="I37" s="9">
        <v>10.03</v>
      </c>
      <c r="J37" s="9">
        <v>10.14</v>
      </c>
      <c r="K37" s="6" t="s">
        <v>91</v>
      </c>
      <c r="L37" s="10">
        <f t="shared" si="1"/>
        <v>0.0059</v>
      </c>
      <c r="M37" s="11">
        <f t="shared" si="2"/>
        <v>10.02087683</v>
      </c>
      <c r="N37" s="12">
        <f>VLOOKUP(A37,Stocks!A:B,2,0)</f>
        <v>660411219</v>
      </c>
      <c r="O37" s="13">
        <f t="shared" si="3"/>
        <v>39045606.94</v>
      </c>
      <c r="P37" s="14" t="str">
        <f t="shared" si="4"/>
        <v>Positivo</v>
      </c>
      <c r="Q37" s="15" t="str">
        <f>VLOOKUP(A:A, Ticker!A:B,2,0)</f>
        <v>Metalúrgica Gerdau</v>
      </c>
      <c r="R37" s="15" t="str">
        <f>VLOOKUP(Q:Q,ChatGPT!A:C,2,0)</f>
        <v>Siderurgia</v>
      </c>
      <c r="S37" s="15">
        <f>VLOOKUP(Q:Q,ChatGPT!A:C,3,0)</f>
        <v>121</v>
      </c>
      <c r="T37" s="15" t="str">
        <f t="shared" si="5"/>
        <v>Mais que 100</v>
      </c>
    </row>
    <row r="38" ht="15.75" customHeight="1">
      <c r="A38" s="6" t="s">
        <v>92</v>
      </c>
      <c r="B38" s="7">
        <v>45317.0</v>
      </c>
      <c r="C38" s="8">
        <v>18.57</v>
      </c>
      <c r="D38" s="8">
        <v>0.59</v>
      </c>
      <c r="E38" s="9">
        <v>2.65</v>
      </c>
      <c r="F38" s="9">
        <v>-4.08</v>
      </c>
      <c r="G38" s="9">
        <v>-4.08</v>
      </c>
      <c r="H38" s="9">
        <v>13.35</v>
      </c>
      <c r="I38" s="9">
        <v>18.3</v>
      </c>
      <c r="J38" s="9">
        <v>18.66</v>
      </c>
      <c r="K38" s="6" t="s">
        <v>93</v>
      </c>
      <c r="L38" s="10">
        <f t="shared" si="1"/>
        <v>0.0059</v>
      </c>
      <c r="M38" s="11">
        <f t="shared" si="2"/>
        <v>18.46107963</v>
      </c>
      <c r="N38" s="12">
        <f>VLOOKUP(A38,Stocks!A:B,2,0)</f>
        <v>1168097881</v>
      </c>
      <c r="O38" s="13">
        <f t="shared" si="3"/>
        <v>127229653.2</v>
      </c>
      <c r="P38" s="14" t="str">
        <f t="shared" si="4"/>
        <v>Positivo</v>
      </c>
      <c r="Q38" s="15" t="str">
        <f>VLOOKUP(A:A, Ticker!A:B,2,0)</f>
        <v>Cosan</v>
      </c>
      <c r="R38" s="15" t="str">
        <f>VLOOKUP(Q:Q,ChatGPT!A:C,2,0)</f>
        <v>Energia e Infraestrutura</v>
      </c>
      <c r="S38" s="15">
        <f>VLOOKUP(Q:Q,ChatGPT!A:C,3,0)</f>
        <v>23</v>
      </c>
      <c r="T38" s="15" t="str">
        <f t="shared" si="5"/>
        <v>Menor que 50</v>
      </c>
    </row>
    <row r="39" ht="15.75" customHeight="1">
      <c r="A39" s="6" t="s">
        <v>94</v>
      </c>
      <c r="B39" s="7">
        <v>45317.0</v>
      </c>
      <c r="C39" s="8">
        <v>24.34</v>
      </c>
      <c r="D39" s="8">
        <v>0.57</v>
      </c>
      <c r="E39" s="9">
        <v>2.48</v>
      </c>
      <c r="F39" s="9">
        <v>-2.29</v>
      </c>
      <c r="G39" s="9">
        <v>-2.29</v>
      </c>
      <c r="H39" s="9">
        <v>17.29</v>
      </c>
      <c r="I39" s="9">
        <v>24.17</v>
      </c>
      <c r="J39" s="9">
        <v>24.56</v>
      </c>
      <c r="K39" s="6" t="s">
        <v>95</v>
      </c>
      <c r="L39" s="10">
        <f t="shared" si="1"/>
        <v>0.0057</v>
      </c>
      <c r="M39" s="11">
        <f t="shared" si="2"/>
        <v>24.20204832</v>
      </c>
      <c r="N39" s="12">
        <f>VLOOKUP(A39,Stocks!A:B,2,0)</f>
        <v>1134986472</v>
      </c>
      <c r="O39" s="13">
        <f t="shared" si="3"/>
        <v>156573285.4</v>
      </c>
      <c r="P39" s="14" t="str">
        <f t="shared" si="4"/>
        <v>Positivo</v>
      </c>
      <c r="Q39" s="15" t="str">
        <f>VLOOKUP(A:A, Ticker!A:B,2,0)</f>
        <v>JBS</v>
      </c>
      <c r="R39" s="15" t="str">
        <f>VLOOKUP(Q:Q,ChatGPT!A:C,2,0)</f>
        <v>Alimentos</v>
      </c>
      <c r="S39" s="15">
        <f>VLOOKUP(Q:Q,ChatGPT!A:C,3,0)</f>
        <v>69</v>
      </c>
      <c r="T39" s="15" t="str">
        <f t="shared" si="5"/>
        <v>Entre 50 e 100</v>
      </c>
    </row>
    <row r="40" ht="15.75" customHeight="1">
      <c r="A40" s="6" t="s">
        <v>96</v>
      </c>
      <c r="B40" s="7">
        <v>45317.0</v>
      </c>
      <c r="C40" s="8">
        <v>2.08</v>
      </c>
      <c r="D40" s="8">
        <v>0.48</v>
      </c>
      <c r="E40" s="9">
        <v>2.46</v>
      </c>
      <c r="F40" s="9">
        <v>-3.7</v>
      </c>
      <c r="G40" s="9">
        <v>-3.7</v>
      </c>
      <c r="H40" s="9">
        <v>-51.4</v>
      </c>
      <c r="I40" s="9">
        <v>2.02</v>
      </c>
      <c r="J40" s="9">
        <v>2.1</v>
      </c>
      <c r="K40" s="6" t="s">
        <v>97</v>
      </c>
      <c r="L40" s="10">
        <f t="shared" si="1"/>
        <v>0.0048</v>
      </c>
      <c r="M40" s="11">
        <f t="shared" si="2"/>
        <v>2.070063694</v>
      </c>
      <c r="N40" s="12">
        <f>VLOOKUP(A40,Stocks!A:B,2,0)</f>
        <v>2867627068</v>
      </c>
      <c r="O40" s="13">
        <f t="shared" si="3"/>
        <v>28493619.27</v>
      </c>
      <c r="P40" s="14" t="str">
        <f t="shared" si="4"/>
        <v>Positivo</v>
      </c>
      <c r="Q40" s="15" t="str">
        <f>VLOOKUP(A:A, Ticker!A:B,2,0)</f>
        <v>Magazine Luiza</v>
      </c>
      <c r="R40" s="15" t="str">
        <f>VLOOKUP(Q:Q,ChatGPT!A:C,2,0)</f>
        <v>Varejo</v>
      </c>
      <c r="S40" s="15">
        <f>VLOOKUP(Q:Q,ChatGPT!A:C,3,0)</f>
        <v>64</v>
      </c>
      <c r="T40" s="15" t="str">
        <f t="shared" si="5"/>
        <v>Entre 50 e 100</v>
      </c>
    </row>
    <row r="41" ht="15.75" customHeight="1">
      <c r="A41" s="6" t="s">
        <v>98</v>
      </c>
      <c r="B41" s="7">
        <v>45317.0</v>
      </c>
      <c r="C41" s="8">
        <v>13.75</v>
      </c>
      <c r="D41" s="8">
        <v>0.36</v>
      </c>
      <c r="E41" s="9">
        <v>-0.72</v>
      </c>
      <c r="F41" s="9">
        <v>-9.95</v>
      </c>
      <c r="G41" s="9">
        <v>-9.95</v>
      </c>
      <c r="H41" s="9">
        <v>15.78</v>
      </c>
      <c r="I41" s="9">
        <v>13.67</v>
      </c>
      <c r="J41" s="9">
        <v>13.9</v>
      </c>
      <c r="K41" s="6" t="s">
        <v>99</v>
      </c>
      <c r="L41" s="10">
        <f t="shared" si="1"/>
        <v>0.0036</v>
      </c>
      <c r="M41" s="11">
        <f t="shared" si="2"/>
        <v>13.70067756</v>
      </c>
      <c r="N41" s="12">
        <f>VLOOKUP(A41,Stocks!A:B,2,0)</f>
        <v>1500728902</v>
      </c>
      <c r="O41" s="13">
        <f t="shared" si="3"/>
        <v>74019610.05</v>
      </c>
      <c r="P41" s="14" t="str">
        <f t="shared" si="4"/>
        <v>Positivo</v>
      </c>
      <c r="Q41" s="15" t="str">
        <f>VLOOKUP(A:A, Ticker!A:B,2,0)</f>
        <v>Banco Bradesco</v>
      </c>
      <c r="R41" s="15" t="str">
        <f>VLOOKUP(Q:Q,ChatGPT!A:C,2,0)</f>
        <v>Serviços Financeiros</v>
      </c>
      <c r="S41" s="15">
        <f>VLOOKUP(Q:Q,ChatGPT!A:C,3,0)</f>
        <v>79</v>
      </c>
      <c r="T41" s="15" t="str">
        <f t="shared" si="5"/>
        <v>Entre 50 e 100</v>
      </c>
    </row>
    <row r="42" ht="15.75" customHeight="1">
      <c r="A42" s="6" t="s">
        <v>100</v>
      </c>
      <c r="B42" s="7">
        <v>45317.0</v>
      </c>
      <c r="C42" s="8">
        <v>21.84</v>
      </c>
      <c r="D42" s="8">
        <v>0.27</v>
      </c>
      <c r="E42" s="9">
        <v>3.65</v>
      </c>
      <c r="F42" s="9">
        <v>-8.08</v>
      </c>
      <c r="G42" s="9">
        <v>-8.08</v>
      </c>
      <c r="H42" s="9">
        <v>-26.1</v>
      </c>
      <c r="I42" s="9">
        <v>21.7</v>
      </c>
      <c r="J42" s="9">
        <v>21.94</v>
      </c>
      <c r="K42" s="6" t="s">
        <v>101</v>
      </c>
      <c r="L42" s="10">
        <f t="shared" si="1"/>
        <v>0.0027</v>
      </c>
      <c r="M42" s="11">
        <f t="shared" si="2"/>
        <v>21.78119078</v>
      </c>
      <c r="N42" s="12">
        <f>VLOOKUP(A42,Stocks!A:B,2,0)</f>
        <v>1118525506</v>
      </c>
      <c r="O42" s="13">
        <f t="shared" si="3"/>
        <v>65779607.1</v>
      </c>
      <c r="P42" s="14" t="str">
        <f t="shared" si="4"/>
        <v>Positivo</v>
      </c>
      <c r="Q42" s="15" t="str">
        <f>VLOOKUP(A:A, Ticker!A:B,2,0)</f>
        <v>Gerdau</v>
      </c>
      <c r="R42" s="15" t="str">
        <f>VLOOKUP(Q:Q,ChatGPT!A:C,2,0)</f>
        <v>Siderurgia</v>
      </c>
      <c r="S42" s="15">
        <f>VLOOKUP(Q:Q,ChatGPT!A:C,3,0)</f>
        <v>120</v>
      </c>
      <c r="T42" s="15" t="str">
        <f t="shared" si="5"/>
        <v>Mais que 100</v>
      </c>
    </row>
    <row r="43" ht="15.75" customHeight="1">
      <c r="A43" s="6" t="s">
        <v>102</v>
      </c>
      <c r="B43" s="7">
        <v>45317.0</v>
      </c>
      <c r="C43" s="8">
        <v>3.74</v>
      </c>
      <c r="D43" s="8">
        <v>0.26</v>
      </c>
      <c r="E43" s="9">
        <v>0.0</v>
      </c>
      <c r="F43" s="9">
        <v>-7.2</v>
      </c>
      <c r="G43" s="9">
        <v>-7.2</v>
      </c>
      <c r="H43" s="9">
        <v>15.46</v>
      </c>
      <c r="I43" s="9">
        <v>3.71</v>
      </c>
      <c r="J43" s="9">
        <v>3.78</v>
      </c>
      <c r="K43" s="6" t="s">
        <v>103</v>
      </c>
      <c r="L43" s="10">
        <f t="shared" si="1"/>
        <v>0.0026</v>
      </c>
      <c r="M43" s="11">
        <f t="shared" si="2"/>
        <v>3.730301217</v>
      </c>
      <c r="N43" s="12">
        <f>VLOOKUP(A43,Stocks!A:B,2,0)</f>
        <v>1193047233</v>
      </c>
      <c r="O43" s="13">
        <f t="shared" si="3"/>
        <v>11571106.42</v>
      </c>
      <c r="P43" s="14" t="str">
        <f t="shared" si="4"/>
        <v>Positivo</v>
      </c>
      <c r="Q43" s="15" t="str">
        <f>VLOOKUP(A:A, Ticker!A:B,2,0)</f>
        <v>Raízen</v>
      </c>
      <c r="R43" s="15" t="str">
        <f>VLOOKUP(Q:Q,ChatGPT!A:C,2,0)</f>
        <v>Energia</v>
      </c>
      <c r="S43" s="15">
        <f>VLOOKUP(Q:Q,ChatGPT!A:C,3,0)</f>
        <v>8</v>
      </c>
      <c r="T43" s="15" t="str">
        <f t="shared" si="5"/>
        <v>Menor que 50</v>
      </c>
    </row>
    <row r="44" ht="15.75" customHeight="1">
      <c r="A44" s="6" t="s">
        <v>104</v>
      </c>
      <c r="B44" s="7">
        <v>45317.0</v>
      </c>
      <c r="C44" s="8">
        <v>10.07</v>
      </c>
      <c r="D44" s="8">
        <v>0.19</v>
      </c>
      <c r="E44" s="9">
        <v>0.9</v>
      </c>
      <c r="F44" s="9">
        <v>-2.8</v>
      </c>
      <c r="G44" s="9">
        <v>-2.8</v>
      </c>
      <c r="H44" s="9">
        <v>32.08</v>
      </c>
      <c r="I44" s="9">
        <v>9.96</v>
      </c>
      <c r="J44" s="9">
        <v>10.13</v>
      </c>
      <c r="K44" s="6" t="s">
        <v>105</v>
      </c>
      <c r="L44" s="10">
        <f t="shared" si="1"/>
        <v>0.0019</v>
      </c>
      <c r="M44" s="11">
        <f t="shared" si="2"/>
        <v>10.05090328</v>
      </c>
      <c r="N44" s="12">
        <f>VLOOKUP(A44,Stocks!A:B,2,0)</f>
        <v>1679335290</v>
      </c>
      <c r="O44" s="13">
        <f t="shared" si="3"/>
        <v>32069789.5</v>
      </c>
      <c r="P44" s="14" t="str">
        <f t="shared" si="4"/>
        <v>Positivo</v>
      </c>
      <c r="Q44" s="15" t="str">
        <f>VLOOKUP(A:A, Ticker!A:B,2,0)</f>
        <v>Copel</v>
      </c>
      <c r="R44" s="15" t="str">
        <f>VLOOKUP(Q:Q,ChatGPT!A:C,2,0)</f>
        <v>Energia</v>
      </c>
      <c r="S44" s="15">
        <f>VLOOKUP(Q:Q,ChatGPT!A:C,3,0)</f>
        <v>68</v>
      </c>
      <c r="T44" s="15" t="str">
        <f t="shared" si="5"/>
        <v>Entre 50 e 100</v>
      </c>
    </row>
    <row r="45" ht="15.75" customHeight="1">
      <c r="A45" s="6" t="s">
        <v>106</v>
      </c>
      <c r="B45" s="7">
        <v>45317.0</v>
      </c>
      <c r="C45" s="8">
        <v>8.18</v>
      </c>
      <c r="D45" s="8">
        <v>0.12</v>
      </c>
      <c r="E45" s="9">
        <v>-3.76</v>
      </c>
      <c r="F45" s="9">
        <v>-18.77</v>
      </c>
      <c r="G45" s="9">
        <v>-18.77</v>
      </c>
      <c r="H45" s="9">
        <v>-40.74</v>
      </c>
      <c r="I45" s="9">
        <v>8.11</v>
      </c>
      <c r="J45" s="9">
        <v>8.27</v>
      </c>
      <c r="K45" s="6" t="s">
        <v>107</v>
      </c>
      <c r="L45" s="10">
        <f t="shared" si="1"/>
        <v>0.0012</v>
      </c>
      <c r="M45" s="11">
        <f t="shared" si="2"/>
        <v>8.170195765</v>
      </c>
      <c r="N45" s="12">
        <f>VLOOKUP(A45,Stocks!A:B,2,0)</f>
        <v>421383330</v>
      </c>
      <c r="O45" s="13">
        <f t="shared" si="3"/>
        <v>4131341.158</v>
      </c>
      <c r="P45" s="14" t="str">
        <f t="shared" si="4"/>
        <v>Positivo</v>
      </c>
      <c r="Q45" s="15" t="str">
        <f>VLOOKUP(A:A, Ticker!A:B,2,0)</f>
        <v>Grupo Vamos</v>
      </c>
      <c r="R45" s="15" t="str">
        <f>VLOOKUP(Q:Q,ChatGPT!A:C,2,0)</f>
        <v>Logística</v>
      </c>
      <c r="S45" s="15">
        <f>VLOOKUP(Q:Q,ChatGPT!A:C,3,0)</f>
        <v>9</v>
      </c>
      <c r="T45" s="15" t="str">
        <f t="shared" si="5"/>
        <v>Menor que 50</v>
      </c>
    </row>
    <row r="46" ht="15.75" customHeight="1">
      <c r="A46" s="6" t="s">
        <v>108</v>
      </c>
      <c r="B46" s="7">
        <v>45317.0</v>
      </c>
      <c r="C46" s="8">
        <v>9.74</v>
      </c>
      <c r="D46" s="8">
        <v>0.0</v>
      </c>
      <c r="E46" s="9">
        <v>5.3</v>
      </c>
      <c r="F46" s="9">
        <v>0.41</v>
      </c>
      <c r="G46" s="9">
        <v>0.41</v>
      </c>
      <c r="H46" s="9">
        <v>17.99</v>
      </c>
      <c r="I46" s="9">
        <v>9.61</v>
      </c>
      <c r="J46" s="9">
        <v>9.86</v>
      </c>
      <c r="K46" s="6" t="s">
        <v>109</v>
      </c>
      <c r="L46" s="10">
        <f t="shared" si="1"/>
        <v>0</v>
      </c>
      <c r="M46" s="11">
        <f t="shared" si="2"/>
        <v>9.74</v>
      </c>
      <c r="N46" s="12">
        <f>VLOOKUP(A46,Stocks!A:B,2,0)</f>
        <v>331799687</v>
      </c>
      <c r="O46" s="13">
        <f t="shared" si="3"/>
        <v>0</v>
      </c>
      <c r="P46" s="14" t="str">
        <f t="shared" si="4"/>
        <v>Estável</v>
      </c>
      <c r="Q46" s="15" t="str">
        <f>VLOOKUP(A:A, Ticker!A:B,2,0)</f>
        <v>Marfrig</v>
      </c>
      <c r="R46" s="15" t="str">
        <f>VLOOKUP(Q:Q,ChatGPT!A:C,2,0)</f>
        <v>Alimentos</v>
      </c>
      <c r="S46" s="15">
        <f>VLOOKUP(Q:Q,ChatGPT!A:C,3,0)</f>
        <v>14</v>
      </c>
      <c r="T46" s="15" t="str">
        <f t="shared" si="5"/>
        <v>Menor que 50</v>
      </c>
    </row>
    <row r="47" ht="15.75" customHeight="1">
      <c r="A47" s="6" t="s">
        <v>110</v>
      </c>
      <c r="B47" s="7">
        <v>45317.0</v>
      </c>
      <c r="C47" s="8">
        <v>13.2</v>
      </c>
      <c r="D47" s="8">
        <v>0.0</v>
      </c>
      <c r="E47" s="9">
        <v>-1.12</v>
      </c>
      <c r="F47" s="9">
        <v>-3.86</v>
      </c>
      <c r="G47" s="9">
        <v>-3.86</v>
      </c>
      <c r="H47" s="9">
        <v>0.3</v>
      </c>
      <c r="I47" s="9">
        <v>13.15</v>
      </c>
      <c r="J47" s="9">
        <v>13.29</v>
      </c>
      <c r="K47" s="6" t="s">
        <v>111</v>
      </c>
      <c r="L47" s="10">
        <f t="shared" si="1"/>
        <v>0</v>
      </c>
      <c r="M47" s="11">
        <f t="shared" si="2"/>
        <v>13.2</v>
      </c>
      <c r="N47" s="12">
        <f>VLOOKUP(A47,Stocks!A:B,2,0)</f>
        <v>4394245879</v>
      </c>
      <c r="O47" s="13">
        <f t="shared" si="3"/>
        <v>0</v>
      </c>
      <c r="P47" s="14" t="str">
        <f t="shared" si="4"/>
        <v>Estável</v>
      </c>
      <c r="Q47" s="15" t="str">
        <f>VLOOKUP(A:A, Ticker!A:B,2,0)</f>
        <v>Ambev</v>
      </c>
      <c r="R47" s="15" t="str">
        <f>VLOOKUP(Q:Q,ChatGPT!A:C,2,0)</f>
        <v>Bebidas</v>
      </c>
      <c r="S47" s="15">
        <f>VLOOKUP(Q:Q,ChatGPT!A:C,3,0)</f>
        <v>27</v>
      </c>
      <c r="T47" s="15" t="str">
        <f t="shared" si="5"/>
        <v>Menor que 50</v>
      </c>
    </row>
    <row r="48" ht="15.75" customHeight="1">
      <c r="A48" s="6" t="s">
        <v>112</v>
      </c>
      <c r="B48" s="7">
        <v>45317.0</v>
      </c>
      <c r="C48" s="8">
        <v>33.73</v>
      </c>
      <c r="D48" s="8">
        <v>-0.02</v>
      </c>
      <c r="E48" s="9">
        <v>-2.37</v>
      </c>
      <c r="F48" s="9">
        <v>0.24</v>
      </c>
      <c r="G48" s="9">
        <v>0.24</v>
      </c>
      <c r="H48" s="9">
        <v>0.91</v>
      </c>
      <c r="I48" s="9">
        <v>33.73</v>
      </c>
      <c r="J48" s="9">
        <v>34.03</v>
      </c>
      <c r="K48" s="6" t="s">
        <v>113</v>
      </c>
      <c r="L48" s="10">
        <f t="shared" si="1"/>
        <v>-0.0002</v>
      </c>
      <c r="M48" s="11">
        <f t="shared" si="2"/>
        <v>33.73674735</v>
      </c>
      <c r="N48" s="12">
        <f>VLOOKUP(A48,Stocks!A:B,2,0)</f>
        <v>671750768</v>
      </c>
      <c r="O48" s="13">
        <f t="shared" si="3"/>
        <v>-4532537.188</v>
      </c>
      <c r="P48" s="14" t="str">
        <f t="shared" si="4"/>
        <v>Negativo</v>
      </c>
      <c r="Q48" s="15" t="str">
        <f>VLOOKUP(A:A, Ticker!A:B,2,0)</f>
        <v>BB Seguridade</v>
      </c>
      <c r="R48" s="15" t="str">
        <f>VLOOKUP(Q:Q,ChatGPT!A:C,2,0)</f>
        <v>Seguros</v>
      </c>
      <c r="S48" s="15">
        <f>VLOOKUP(Q:Q,ChatGPT!A:C,3,0)</f>
        <v>9</v>
      </c>
      <c r="T48" s="15" t="str">
        <f t="shared" si="5"/>
        <v>Menor que 50</v>
      </c>
    </row>
    <row r="49" ht="15.75" customHeight="1">
      <c r="A49" s="6" t="s">
        <v>114</v>
      </c>
      <c r="B49" s="7">
        <v>45317.0</v>
      </c>
      <c r="C49" s="8">
        <v>77.04</v>
      </c>
      <c r="D49" s="8">
        <v>-0.06</v>
      </c>
      <c r="E49" s="9">
        <v>1.37</v>
      </c>
      <c r="F49" s="9">
        <v>2.22</v>
      </c>
      <c r="G49" s="9">
        <v>2.22</v>
      </c>
      <c r="H49" s="9">
        <v>45.92</v>
      </c>
      <c r="I49" s="9">
        <v>76.52</v>
      </c>
      <c r="J49" s="9">
        <v>77.69</v>
      </c>
      <c r="K49" s="6" t="s">
        <v>115</v>
      </c>
      <c r="L49" s="10">
        <f t="shared" si="1"/>
        <v>-0.0006</v>
      </c>
      <c r="M49" s="11">
        <f t="shared" si="2"/>
        <v>77.08625175</v>
      </c>
      <c r="N49" s="12">
        <f>VLOOKUP(A49,Stocks!A:B,2,0)</f>
        <v>340001799</v>
      </c>
      <c r="O49" s="13">
        <f t="shared" si="3"/>
        <v>-15725678.56</v>
      </c>
      <c r="P49" s="14" t="str">
        <f t="shared" si="4"/>
        <v>Negativo</v>
      </c>
      <c r="Q49" s="15" t="str">
        <f>VLOOKUP(A:A, Ticker!A:B,2,0)</f>
        <v>Sabesp</v>
      </c>
      <c r="R49" s="15" t="str">
        <f>VLOOKUP(Q:Q,ChatGPT!A:C,2,0)</f>
        <v>Saneamento</v>
      </c>
      <c r="S49" s="15">
        <f>VLOOKUP(Q:Q,ChatGPT!A:C,3,0)</f>
        <v>47</v>
      </c>
      <c r="T49" s="15" t="str">
        <f t="shared" si="5"/>
        <v>Menor que 50</v>
      </c>
    </row>
    <row r="50" ht="15.75" customHeight="1">
      <c r="A50" s="6" t="s">
        <v>116</v>
      </c>
      <c r="B50" s="7">
        <v>45317.0</v>
      </c>
      <c r="C50" s="8">
        <v>30.88</v>
      </c>
      <c r="D50" s="8">
        <v>-0.06</v>
      </c>
      <c r="E50" s="9">
        <v>-2.65</v>
      </c>
      <c r="F50" s="9">
        <v>-8.34</v>
      </c>
      <c r="G50" s="9">
        <v>-8.34</v>
      </c>
      <c r="H50" s="9">
        <v>5.89</v>
      </c>
      <c r="I50" s="9">
        <v>30.65</v>
      </c>
      <c r="J50" s="9">
        <v>31.34</v>
      </c>
      <c r="K50" s="6" t="s">
        <v>117</v>
      </c>
      <c r="L50" s="10">
        <f t="shared" si="1"/>
        <v>-0.0006</v>
      </c>
      <c r="M50" s="11">
        <f t="shared" si="2"/>
        <v>30.89853912</v>
      </c>
      <c r="N50" s="12">
        <f>VLOOKUP(A50,Stocks!A:B,2,0)</f>
        <v>514122351</v>
      </c>
      <c r="O50" s="13">
        <f t="shared" si="3"/>
        <v>-9531377.746</v>
      </c>
      <c r="P50" s="14" t="str">
        <f t="shared" si="4"/>
        <v>Negativo</v>
      </c>
      <c r="Q50" s="15" t="str">
        <f>VLOOKUP(A:A, Ticker!A:B,2,0)</f>
        <v>Totvs</v>
      </c>
      <c r="R50" s="15" t="str">
        <f>VLOOKUP(Q:Q,ChatGPT!A:C,2,0)</f>
        <v>Tecnologia</v>
      </c>
      <c r="S50" s="15">
        <f>VLOOKUP(Q:Q,ChatGPT!A:C,3,0)</f>
        <v>58</v>
      </c>
      <c r="T50" s="15" t="str">
        <f t="shared" si="5"/>
        <v>Entre 50 e 100</v>
      </c>
    </row>
    <row r="51" ht="15.75" customHeight="1">
      <c r="A51" s="6" t="s">
        <v>118</v>
      </c>
      <c r="B51" s="7">
        <v>45317.0</v>
      </c>
      <c r="C51" s="8">
        <v>11.64</v>
      </c>
      <c r="D51" s="8">
        <v>-0.17</v>
      </c>
      <c r="E51" s="9">
        <v>0.95</v>
      </c>
      <c r="F51" s="9">
        <v>1.39</v>
      </c>
      <c r="G51" s="9">
        <v>1.39</v>
      </c>
      <c r="H51" s="9">
        <v>12.26</v>
      </c>
      <c r="I51" s="9">
        <v>11.64</v>
      </c>
      <c r="J51" s="9">
        <v>11.8</v>
      </c>
      <c r="K51" s="6" t="s">
        <v>119</v>
      </c>
      <c r="L51" s="10">
        <f t="shared" si="1"/>
        <v>-0.0017</v>
      </c>
      <c r="M51" s="11">
        <f t="shared" si="2"/>
        <v>11.6598217</v>
      </c>
      <c r="N51" s="12">
        <f>VLOOKUP(A51,Stocks!A:B,2,0)</f>
        <v>1437415777</v>
      </c>
      <c r="O51" s="13">
        <f t="shared" si="3"/>
        <v>-28492019.83</v>
      </c>
      <c r="P51" s="14" t="str">
        <f t="shared" si="4"/>
        <v>Negativo</v>
      </c>
      <c r="Q51" s="15" t="str">
        <f>VLOOKUP(A:A, Ticker!A:B,2,0)</f>
        <v>CEMIG</v>
      </c>
      <c r="R51" s="15" t="str">
        <f>VLOOKUP(Q:Q,ChatGPT!A:C,2,0)</f>
        <v>Energia</v>
      </c>
      <c r="S51" s="15">
        <f>VLOOKUP(Q:Q,ChatGPT!A:C,3,0)</f>
        <v>69</v>
      </c>
      <c r="T51" s="15" t="str">
        <f t="shared" si="5"/>
        <v>Entre 50 e 100</v>
      </c>
    </row>
    <row r="52" ht="15.75" customHeight="1">
      <c r="A52" s="6" t="s">
        <v>120</v>
      </c>
      <c r="B52" s="7">
        <v>45317.0</v>
      </c>
      <c r="C52" s="8">
        <v>46.04</v>
      </c>
      <c r="D52" s="8">
        <v>-0.19</v>
      </c>
      <c r="E52" s="9">
        <v>-1.41</v>
      </c>
      <c r="F52" s="9">
        <v>-2.0</v>
      </c>
      <c r="G52" s="9">
        <v>-2.0</v>
      </c>
      <c r="H52" s="9">
        <v>7.43</v>
      </c>
      <c r="I52" s="9">
        <v>45.91</v>
      </c>
      <c r="J52" s="9">
        <v>46.42</v>
      </c>
      <c r="K52" s="6" t="s">
        <v>121</v>
      </c>
      <c r="L52" s="10">
        <f t="shared" si="1"/>
        <v>-0.0019</v>
      </c>
      <c r="M52" s="11">
        <f t="shared" si="2"/>
        <v>46.12764252</v>
      </c>
      <c r="N52" s="12">
        <f>VLOOKUP(A52,Stocks!A:B,2,0)</f>
        <v>268544014</v>
      </c>
      <c r="O52" s="13">
        <f t="shared" si="3"/>
        <v>-23535874.33</v>
      </c>
      <c r="P52" s="14" t="str">
        <f t="shared" si="4"/>
        <v>Negativo</v>
      </c>
      <c r="Q52" s="15" t="str">
        <f>VLOOKUP(A:A, Ticker!A:B,2,0)</f>
        <v>Eletrobras</v>
      </c>
      <c r="R52" s="15" t="str">
        <f>VLOOKUP(Q:Q,ChatGPT!A:C,2,0)</f>
        <v>Energia</v>
      </c>
      <c r="S52" s="15">
        <f>VLOOKUP(Q:Q,ChatGPT!A:C,3,0)</f>
        <v>59</v>
      </c>
      <c r="T52" s="15" t="str">
        <f t="shared" si="5"/>
        <v>Entre 50 e 100</v>
      </c>
    </row>
    <row r="53" ht="15.75" customHeight="1">
      <c r="A53" s="6" t="s">
        <v>122</v>
      </c>
      <c r="B53" s="7">
        <v>45317.0</v>
      </c>
      <c r="C53" s="8">
        <v>12.87</v>
      </c>
      <c r="D53" s="8">
        <v>-0.23</v>
      </c>
      <c r="E53" s="9">
        <v>1.42</v>
      </c>
      <c r="F53" s="9">
        <v>-5.44</v>
      </c>
      <c r="G53" s="9">
        <v>-5.44</v>
      </c>
      <c r="H53" s="9">
        <v>6.36</v>
      </c>
      <c r="I53" s="9">
        <v>12.84</v>
      </c>
      <c r="J53" s="9">
        <v>13.09</v>
      </c>
      <c r="K53" s="6" t="s">
        <v>123</v>
      </c>
      <c r="L53" s="10">
        <f t="shared" si="1"/>
        <v>-0.0023</v>
      </c>
      <c r="M53" s="11">
        <f t="shared" si="2"/>
        <v>12.89966924</v>
      </c>
      <c r="N53" s="12">
        <f>VLOOKUP(A53,Stocks!A:B,2,0)</f>
        <v>1579130168</v>
      </c>
      <c r="O53" s="13">
        <f t="shared" si="3"/>
        <v>-46851590.76</v>
      </c>
      <c r="P53" s="14" t="str">
        <f t="shared" si="4"/>
        <v>Negativo</v>
      </c>
      <c r="Q53" s="15" t="str">
        <f>VLOOKUP(A:A, Ticker!A:B,2,0)</f>
        <v>Eneva</v>
      </c>
      <c r="R53" s="15" t="str">
        <f>VLOOKUP(Q:Q,ChatGPT!A:C,2,0)</f>
        <v>Energia</v>
      </c>
      <c r="S53" s="15">
        <f>VLOOKUP(Q:Q,ChatGPT!A:C,3,0)</f>
        <v>12</v>
      </c>
      <c r="T53" s="15" t="str">
        <f t="shared" si="5"/>
        <v>Menor que 50</v>
      </c>
    </row>
    <row r="54" ht="15.75" customHeight="1">
      <c r="A54" s="6" t="s">
        <v>124</v>
      </c>
      <c r="B54" s="7">
        <v>45317.0</v>
      </c>
      <c r="C54" s="8">
        <v>33.17</v>
      </c>
      <c r="D54" s="8">
        <v>-0.24</v>
      </c>
      <c r="E54" s="9">
        <v>-0.93</v>
      </c>
      <c r="F54" s="9">
        <v>-10.13</v>
      </c>
      <c r="G54" s="9">
        <v>-10.13</v>
      </c>
      <c r="H54" s="9">
        <v>-11.84</v>
      </c>
      <c r="I54" s="9">
        <v>33.04</v>
      </c>
      <c r="J54" s="9">
        <v>33.5</v>
      </c>
      <c r="K54" s="6" t="s">
        <v>125</v>
      </c>
      <c r="L54" s="10">
        <f t="shared" si="1"/>
        <v>-0.0024</v>
      </c>
      <c r="M54" s="11">
        <f t="shared" si="2"/>
        <v>33.24979952</v>
      </c>
      <c r="N54" s="12">
        <f>VLOOKUP(A54,Stocks!A:B,2,0)</f>
        <v>1481593024</v>
      </c>
      <c r="O54" s="13">
        <f t="shared" si="3"/>
        <v>-118230410.4</v>
      </c>
      <c r="P54" s="14" t="str">
        <f t="shared" si="4"/>
        <v>Negativo</v>
      </c>
      <c r="Q54" s="15" t="str">
        <f>VLOOKUP(A:A, Ticker!A:B,2,0)</f>
        <v>WEG</v>
      </c>
      <c r="R54" s="15" t="str">
        <f>VLOOKUP(Q:Q,ChatGPT!A:C,2,0)</f>
        <v>Tecnologia</v>
      </c>
      <c r="S54" s="15">
        <f>VLOOKUP(Q:Q,ChatGPT!A:C,3,0)</f>
        <v>62</v>
      </c>
      <c r="T54" s="15" t="str">
        <f t="shared" si="5"/>
        <v>Entre 50 e 100</v>
      </c>
    </row>
    <row r="55" ht="15.75" customHeight="1">
      <c r="A55" s="6" t="s">
        <v>126</v>
      </c>
      <c r="B55" s="7">
        <v>45317.0</v>
      </c>
      <c r="C55" s="8">
        <v>19.3</v>
      </c>
      <c r="D55" s="8">
        <v>-0.25</v>
      </c>
      <c r="E55" s="9">
        <v>2.01</v>
      </c>
      <c r="F55" s="9">
        <v>2.55</v>
      </c>
      <c r="G55" s="9">
        <v>2.55</v>
      </c>
      <c r="H55" s="9">
        <v>-10.11</v>
      </c>
      <c r="I55" s="9">
        <v>19.1</v>
      </c>
      <c r="J55" s="9">
        <v>19.51</v>
      </c>
      <c r="K55" s="6" t="s">
        <v>127</v>
      </c>
      <c r="L55" s="10">
        <f t="shared" si="1"/>
        <v>-0.0025</v>
      </c>
      <c r="M55" s="11">
        <f t="shared" si="2"/>
        <v>19.34837093</v>
      </c>
      <c r="N55" s="12">
        <f>VLOOKUP(A55,Stocks!A:B,2,0)</f>
        <v>195751130</v>
      </c>
      <c r="O55" s="13">
        <f t="shared" si="3"/>
        <v>-9468663.682</v>
      </c>
      <c r="P55" s="14" t="str">
        <f t="shared" si="4"/>
        <v>Negativo</v>
      </c>
      <c r="Q55" s="15" t="str">
        <f>VLOOKUP(A:A, Ticker!A:B,2,0)</f>
        <v>SLC Agrícola</v>
      </c>
      <c r="R55" s="15" t="str">
        <f>VLOOKUP(Q:Q,ChatGPT!A:C,2,0)</f>
        <v>Agricultura</v>
      </c>
      <c r="S55" s="15">
        <f>VLOOKUP(Q:Q,ChatGPT!A:C,3,0)</f>
        <v>43</v>
      </c>
      <c r="T55" s="15" t="str">
        <f t="shared" si="5"/>
        <v>Menor que 50</v>
      </c>
    </row>
    <row r="56" ht="15.75" customHeight="1">
      <c r="A56" s="6" t="s">
        <v>128</v>
      </c>
      <c r="B56" s="7">
        <v>45317.0</v>
      </c>
      <c r="C56" s="8">
        <v>24.62</v>
      </c>
      <c r="D56" s="8">
        <v>-0.28</v>
      </c>
      <c r="E56" s="9">
        <v>0.53</v>
      </c>
      <c r="F56" s="9">
        <v>-7.27</v>
      </c>
      <c r="G56" s="9">
        <v>-7.27</v>
      </c>
      <c r="H56" s="9">
        <v>39.82</v>
      </c>
      <c r="I56" s="9">
        <v>24.53</v>
      </c>
      <c r="J56" s="9">
        <v>24.92</v>
      </c>
      <c r="K56" s="6" t="s">
        <v>129</v>
      </c>
      <c r="L56" s="10">
        <f t="shared" si="1"/>
        <v>-0.0028</v>
      </c>
      <c r="M56" s="11">
        <f t="shared" si="2"/>
        <v>24.68912956</v>
      </c>
      <c r="N56" s="12">
        <f>VLOOKUP(A56,Stocks!A:B,2,0)</f>
        <v>532616595</v>
      </c>
      <c r="O56" s="13">
        <f t="shared" si="3"/>
        <v>-36819552.34</v>
      </c>
      <c r="P56" s="14" t="str">
        <f t="shared" si="4"/>
        <v>Negativo</v>
      </c>
      <c r="Q56" s="15" t="str">
        <f>VLOOKUP(A:A, Ticker!A:B,2,0)</f>
        <v>ALOS3</v>
      </c>
      <c r="R56" s="15" t="str">
        <f>VLOOKUP(Q:Q,ChatGPT!A:C,2,0)</f>
        <v>Energia</v>
      </c>
      <c r="S56" s="15">
        <f>VLOOKUP(Q:Q,ChatGPT!A:C,3,0)</f>
        <v>6</v>
      </c>
      <c r="T56" s="15" t="str">
        <f t="shared" si="5"/>
        <v>Menor que 50</v>
      </c>
    </row>
    <row r="57" ht="15.75" customHeight="1">
      <c r="A57" s="6" t="s">
        <v>130</v>
      </c>
      <c r="B57" s="7">
        <v>45317.0</v>
      </c>
      <c r="C57" s="8">
        <v>13.27</v>
      </c>
      <c r="D57" s="8">
        <v>-0.3</v>
      </c>
      <c r="E57" s="9">
        <v>-1.78</v>
      </c>
      <c r="F57" s="9">
        <v>-6.42</v>
      </c>
      <c r="G57" s="9">
        <v>-6.42</v>
      </c>
      <c r="H57" s="9">
        <v>13.59</v>
      </c>
      <c r="I57" s="9">
        <v>13.23</v>
      </c>
      <c r="J57" s="9">
        <v>13.41</v>
      </c>
      <c r="K57" s="6" t="s">
        <v>131</v>
      </c>
      <c r="L57" s="10">
        <f t="shared" si="1"/>
        <v>-0.003</v>
      </c>
      <c r="M57" s="11">
        <f t="shared" si="2"/>
        <v>13.30992979</v>
      </c>
      <c r="N57" s="12">
        <f>VLOOKUP(A57,Stocks!A:B,2,0)</f>
        <v>995335937</v>
      </c>
      <c r="O57" s="13">
        <f t="shared" si="3"/>
        <v>-39743554.31</v>
      </c>
      <c r="P57" s="14" t="str">
        <f t="shared" si="4"/>
        <v>Negativo</v>
      </c>
      <c r="Q57" s="15" t="str">
        <f>VLOOKUP(A:A, Ticker!A:B,2,0)</f>
        <v>Grupo CCR</v>
      </c>
      <c r="R57" s="15" t="str">
        <f>VLOOKUP(Q:Q,ChatGPT!A:C,2,0)</f>
        <v>Infraestrutura</v>
      </c>
      <c r="S57" s="15">
        <f>VLOOKUP(Q:Q,ChatGPT!A:C,3,0)</f>
        <v>22</v>
      </c>
      <c r="T57" s="15" t="str">
        <f t="shared" si="5"/>
        <v>Menor que 50</v>
      </c>
    </row>
    <row r="58" ht="15.75" customHeight="1">
      <c r="A58" s="6" t="s">
        <v>132</v>
      </c>
      <c r="B58" s="7">
        <v>45317.0</v>
      </c>
      <c r="C58" s="8">
        <v>3.03</v>
      </c>
      <c r="D58" s="8">
        <v>-0.32</v>
      </c>
      <c r="E58" s="9">
        <v>-5.02</v>
      </c>
      <c r="F58" s="9">
        <v>-13.18</v>
      </c>
      <c r="G58" s="9">
        <v>-13.18</v>
      </c>
      <c r="H58" s="9">
        <v>37.73</v>
      </c>
      <c r="I58" s="9">
        <v>2.97</v>
      </c>
      <c r="J58" s="9">
        <v>3.06</v>
      </c>
      <c r="K58" s="6" t="s">
        <v>133</v>
      </c>
      <c r="L58" s="10">
        <f t="shared" si="1"/>
        <v>-0.0032</v>
      </c>
      <c r="M58" s="11">
        <f t="shared" si="2"/>
        <v>3.039727127</v>
      </c>
      <c r="N58" s="12">
        <f>VLOOKUP(A58,Stocks!A:B,2,0)</f>
        <v>1814920980</v>
      </c>
      <c r="O58" s="13">
        <f t="shared" si="3"/>
        <v>-17653966.51</v>
      </c>
      <c r="P58" s="14" t="str">
        <f t="shared" si="4"/>
        <v>Negativo</v>
      </c>
      <c r="Q58" s="15" t="str">
        <f>VLOOKUP(A:A, Ticker!A:B,2,0)</f>
        <v>Cogna</v>
      </c>
      <c r="R58" s="15" t="str">
        <f>VLOOKUP(Q:Q,ChatGPT!A:C,2,0)</f>
        <v>Educação</v>
      </c>
      <c r="S58" s="15">
        <f>VLOOKUP(Q:Q,ChatGPT!A:C,3,0)</f>
        <v>53</v>
      </c>
      <c r="T58" s="15" t="str">
        <f t="shared" si="5"/>
        <v>Entre 50 e 100</v>
      </c>
    </row>
    <row r="59" ht="15.75" customHeight="1">
      <c r="A59" s="6" t="s">
        <v>134</v>
      </c>
      <c r="B59" s="7">
        <v>45317.0</v>
      </c>
      <c r="C59" s="8">
        <v>26.12</v>
      </c>
      <c r="D59" s="8">
        <v>-0.41</v>
      </c>
      <c r="E59" s="9">
        <v>-1.25</v>
      </c>
      <c r="F59" s="9">
        <v>-1.43</v>
      </c>
      <c r="G59" s="9">
        <v>-1.43</v>
      </c>
      <c r="H59" s="9">
        <v>22.81</v>
      </c>
      <c r="I59" s="9">
        <v>26.09</v>
      </c>
      <c r="J59" s="9">
        <v>26.4</v>
      </c>
      <c r="K59" s="6" t="s">
        <v>135</v>
      </c>
      <c r="L59" s="10">
        <f t="shared" si="1"/>
        <v>-0.0041</v>
      </c>
      <c r="M59" s="11">
        <f t="shared" si="2"/>
        <v>26.22753288</v>
      </c>
      <c r="N59" s="12">
        <f>VLOOKUP(A59,Stocks!A:B,2,0)</f>
        <v>395801044</v>
      </c>
      <c r="O59" s="13">
        <f t="shared" si="3"/>
        <v>-42561628.08</v>
      </c>
      <c r="P59" s="14" t="str">
        <f t="shared" si="4"/>
        <v>Negativo</v>
      </c>
      <c r="Q59" s="15" t="str">
        <f>VLOOKUP(A:A, Ticker!A:B,2,0)</f>
        <v>Transmissão Paulista</v>
      </c>
      <c r="R59" s="15" t="str">
        <f>VLOOKUP(Q:Q,ChatGPT!A:C,2,0)</f>
        <v>Energia</v>
      </c>
      <c r="S59" s="15">
        <f>VLOOKUP(Q:Q,ChatGPT!A:C,3,0)</f>
        <v>23</v>
      </c>
      <c r="T59" s="15" t="str">
        <f t="shared" si="5"/>
        <v>Menor que 50</v>
      </c>
    </row>
    <row r="60" ht="15.75" customHeight="1">
      <c r="A60" s="6" t="s">
        <v>136</v>
      </c>
      <c r="B60" s="7">
        <v>45317.0</v>
      </c>
      <c r="C60" s="8">
        <v>41.04</v>
      </c>
      <c r="D60" s="8">
        <v>-0.46</v>
      </c>
      <c r="E60" s="9">
        <v>0.56</v>
      </c>
      <c r="F60" s="9">
        <v>-9.46</v>
      </c>
      <c r="G60" s="9">
        <v>-9.46</v>
      </c>
      <c r="H60" s="9">
        <v>13.41</v>
      </c>
      <c r="I60" s="9">
        <v>40.92</v>
      </c>
      <c r="J60" s="9">
        <v>41.59</v>
      </c>
      <c r="K60" s="6" t="s">
        <v>137</v>
      </c>
      <c r="L60" s="10">
        <f t="shared" si="1"/>
        <v>-0.0046</v>
      </c>
      <c r="M60" s="11">
        <f t="shared" si="2"/>
        <v>41.22965642</v>
      </c>
      <c r="N60" s="12">
        <f>VLOOKUP(A60,Stocks!A:B,2,0)</f>
        <v>255236961</v>
      </c>
      <c r="O60" s="13">
        <f t="shared" si="3"/>
        <v>-48407328.15</v>
      </c>
      <c r="P60" s="14" t="str">
        <f t="shared" si="4"/>
        <v>Negativo</v>
      </c>
      <c r="Q60" s="15" t="str">
        <f>VLOOKUP(A:A, Ticker!A:B,2,0)</f>
        <v>Engie</v>
      </c>
      <c r="R60" s="15" t="str">
        <f>VLOOKUP(Q:Q,ChatGPT!A:C,2,0)</f>
        <v>Energia</v>
      </c>
      <c r="S60" s="15">
        <f>VLOOKUP(Q:Q,ChatGPT!A:C,3,0)</f>
        <v>29</v>
      </c>
      <c r="T60" s="15" t="str">
        <f t="shared" si="5"/>
        <v>Menor que 50</v>
      </c>
    </row>
    <row r="61" ht="15.75" customHeight="1">
      <c r="A61" s="6" t="s">
        <v>138</v>
      </c>
      <c r="B61" s="7">
        <v>45317.0</v>
      </c>
      <c r="C61" s="8">
        <v>23.23</v>
      </c>
      <c r="D61" s="8">
        <v>-0.47</v>
      </c>
      <c r="E61" s="9">
        <v>2.43</v>
      </c>
      <c r="F61" s="9">
        <v>2.07</v>
      </c>
      <c r="G61" s="9">
        <v>2.07</v>
      </c>
      <c r="H61" s="9">
        <v>50.65</v>
      </c>
      <c r="I61" s="9">
        <v>22.97</v>
      </c>
      <c r="J61" s="9">
        <v>23.4</v>
      </c>
      <c r="K61" s="6" t="s">
        <v>139</v>
      </c>
      <c r="L61" s="10">
        <f t="shared" si="1"/>
        <v>-0.0047</v>
      </c>
      <c r="M61" s="11">
        <f t="shared" si="2"/>
        <v>23.33969657</v>
      </c>
      <c r="N61" s="12">
        <f>VLOOKUP(A61,Stocks!A:B,2,0)</f>
        <v>1114412532</v>
      </c>
      <c r="O61" s="13">
        <f t="shared" si="3"/>
        <v>-122247236.7</v>
      </c>
      <c r="P61" s="14" t="str">
        <f t="shared" si="4"/>
        <v>Negativo</v>
      </c>
      <c r="Q61" s="15" t="str">
        <f>VLOOKUP(A:A, Ticker!A:B,2,0)</f>
        <v>Vibra Energia</v>
      </c>
      <c r="R61" s="15" t="str">
        <f>VLOOKUP(Q:Q,ChatGPT!A:C,2,0)</f>
        <v>Energia</v>
      </c>
      <c r="S61" s="15">
        <f>VLOOKUP(Q:Q,ChatGPT!A:C,3,0)</f>
        <v>10</v>
      </c>
      <c r="T61" s="15" t="str">
        <f t="shared" si="5"/>
        <v>Menor que 50</v>
      </c>
    </row>
    <row r="62" ht="15.75" customHeight="1">
      <c r="A62" s="6" t="s">
        <v>140</v>
      </c>
      <c r="B62" s="7">
        <v>45317.0</v>
      </c>
      <c r="C62" s="8">
        <v>40.65</v>
      </c>
      <c r="D62" s="8">
        <v>-0.65</v>
      </c>
      <c r="E62" s="9">
        <v>5.45</v>
      </c>
      <c r="F62" s="9">
        <v>-8.24</v>
      </c>
      <c r="G62" s="9">
        <v>-8.24</v>
      </c>
      <c r="H62" s="9">
        <v>73.5</v>
      </c>
      <c r="I62" s="9">
        <v>40.09</v>
      </c>
      <c r="J62" s="9">
        <v>41.4</v>
      </c>
      <c r="K62" s="6" t="s">
        <v>141</v>
      </c>
      <c r="L62" s="10">
        <f t="shared" si="1"/>
        <v>-0.0065</v>
      </c>
      <c r="M62" s="11">
        <f t="shared" si="2"/>
        <v>40.9159537</v>
      </c>
      <c r="N62" s="12">
        <f>VLOOKUP(A62,Stocks!A:B,2,0)</f>
        <v>81838843</v>
      </c>
      <c r="O62" s="13">
        <f t="shared" si="3"/>
        <v>-21765343.02</v>
      </c>
      <c r="P62" s="14" t="str">
        <f t="shared" si="4"/>
        <v>Negativo</v>
      </c>
      <c r="Q62" s="15" t="str">
        <f>VLOOKUP(A:A, Ticker!A:B,2,0)</f>
        <v>IRB Brasil RE</v>
      </c>
      <c r="R62" s="15" t="str">
        <f>VLOOKUP(Q:Q,ChatGPT!A:C,2,0)</f>
        <v>Seguros</v>
      </c>
      <c r="S62" s="15">
        <f>VLOOKUP(Q:Q,ChatGPT!A:C,3,0)</f>
        <v>83</v>
      </c>
      <c r="T62" s="15" t="str">
        <f t="shared" si="5"/>
        <v>Entre 50 e 100</v>
      </c>
    </row>
    <row r="63" ht="15.75" customHeight="1">
      <c r="A63" s="6" t="s">
        <v>142</v>
      </c>
      <c r="B63" s="7">
        <v>45317.0</v>
      </c>
      <c r="C63" s="8">
        <v>40.86</v>
      </c>
      <c r="D63" s="8">
        <v>-0.65</v>
      </c>
      <c r="E63" s="9">
        <v>-2.04</v>
      </c>
      <c r="F63" s="9">
        <v>-3.7</v>
      </c>
      <c r="G63" s="9">
        <v>-3.7</v>
      </c>
      <c r="H63" s="9">
        <v>-3.64</v>
      </c>
      <c r="I63" s="9">
        <v>40.86</v>
      </c>
      <c r="J63" s="9">
        <v>41.44</v>
      </c>
      <c r="K63" s="6" t="s">
        <v>143</v>
      </c>
      <c r="L63" s="10">
        <f t="shared" si="1"/>
        <v>-0.0065</v>
      </c>
      <c r="M63" s="11">
        <f t="shared" si="2"/>
        <v>41.12732763</v>
      </c>
      <c r="N63" s="12">
        <f>VLOOKUP(A63,Stocks!A:B,2,0)</f>
        <v>1980568384</v>
      </c>
      <c r="O63" s="13">
        <f t="shared" si="3"/>
        <v>-529460651.3</v>
      </c>
      <c r="P63" s="14" t="str">
        <f t="shared" si="4"/>
        <v>Negativo</v>
      </c>
      <c r="Q63" s="15" t="str">
        <f>VLOOKUP(A:A, Ticker!A:B,2,0)</f>
        <v>Eletrobras</v>
      </c>
      <c r="R63" s="15" t="str">
        <f>VLOOKUP(Q:Q,ChatGPT!A:C,2,0)</f>
        <v>Energia</v>
      </c>
      <c r="S63" s="15">
        <f>VLOOKUP(Q:Q,ChatGPT!A:C,3,0)</f>
        <v>59</v>
      </c>
      <c r="T63" s="15" t="str">
        <f t="shared" si="5"/>
        <v>Entre 50 e 100</v>
      </c>
    </row>
    <row r="64" ht="15.75" customHeight="1">
      <c r="A64" s="6" t="s">
        <v>144</v>
      </c>
      <c r="B64" s="7">
        <v>45317.0</v>
      </c>
      <c r="C64" s="8">
        <v>3.4</v>
      </c>
      <c r="D64" s="8">
        <v>-0.87</v>
      </c>
      <c r="E64" s="9">
        <v>-4.23</v>
      </c>
      <c r="F64" s="9">
        <v>-13.92</v>
      </c>
      <c r="G64" s="9">
        <v>-13.92</v>
      </c>
      <c r="H64" s="9">
        <v>-46.63</v>
      </c>
      <c r="I64" s="9">
        <v>3.35</v>
      </c>
      <c r="J64" s="9">
        <v>3.47</v>
      </c>
      <c r="K64" s="6" t="s">
        <v>145</v>
      </c>
      <c r="L64" s="10">
        <f t="shared" si="1"/>
        <v>-0.0087</v>
      </c>
      <c r="M64" s="11">
        <f t="shared" si="2"/>
        <v>3.429839605</v>
      </c>
      <c r="N64" s="12">
        <f>VLOOKUP(A64,Stocks!A:B,2,0)</f>
        <v>309729428</v>
      </c>
      <c r="O64" s="13">
        <f t="shared" si="3"/>
        <v>-9242203.652</v>
      </c>
      <c r="P64" s="14" t="str">
        <f t="shared" si="4"/>
        <v>Negativo</v>
      </c>
      <c r="Q64" s="15" t="str">
        <f>VLOOKUP(A:A, Ticker!A:B,2,0)</f>
        <v>Petz</v>
      </c>
      <c r="R64" s="15" t="str">
        <f>VLOOKUP(Q:Q,ChatGPT!A:C,2,0)</f>
        <v>Varejo</v>
      </c>
      <c r="S64" s="15">
        <f>VLOOKUP(Q:Q,ChatGPT!A:C,3,0)</f>
        <v>6</v>
      </c>
      <c r="T64" s="15" t="str">
        <f t="shared" si="5"/>
        <v>Menor que 50</v>
      </c>
    </row>
    <row r="65" ht="15.75" customHeight="1">
      <c r="A65" s="6" t="s">
        <v>146</v>
      </c>
      <c r="B65" s="7">
        <v>45317.0</v>
      </c>
      <c r="C65" s="8">
        <v>15.91</v>
      </c>
      <c r="D65" s="8">
        <v>-0.93</v>
      </c>
      <c r="E65" s="9">
        <v>-2.39</v>
      </c>
      <c r="F65" s="9">
        <v>-14.92</v>
      </c>
      <c r="G65" s="9">
        <v>-14.92</v>
      </c>
      <c r="H65" s="9">
        <v>8.93</v>
      </c>
      <c r="I65" s="9">
        <v>15.85</v>
      </c>
      <c r="J65" s="9">
        <v>16.31</v>
      </c>
      <c r="K65" s="6" t="s">
        <v>147</v>
      </c>
      <c r="L65" s="10">
        <f t="shared" si="1"/>
        <v>-0.0093</v>
      </c>
      <c r="M65" s="11">
        <f t="shared" si="2"/>
        <v>16.05935197</v>
      </c>
      <c r="N65" s="12">
        <f>VLOOKUP(A65,Stocks!A:B,2,0)</f>
        <v>91514307</v>
      </c>
      <c r="O65" s="13">
        <f t="shared" si="3"/>
        <v>-13667842.34</v>
      </c>
      <c r="P65" s="14" t="str">
        <f t="shared" si="4"/>
        <v>Negativo</v>
      </c>
      <c r="Q65" s="15" t="str">
        <f>VLOOKUP(A:A, Ticker!A:B,2,0)</f>
        <v>EZTEC</v>
      </c>
      <c r="R65" s="15" t="str">
        <f>VLOOKUP(Q:Q,ChatGPT!A:C,2,0)</f>
        <v>Construção Civil</v>
      </c>
      <c r="S65" s="15">
        <f>VLOOKUP(Q:Q,ChatGPT!A:C,3,0)</f>
        <v>43</v>
      </c>
      <c r="T65" s="15" t="str">
        <f t="shared" si="5"/>
        <v>Menor que 50</v>
      </c>
    </row>
    <row r="66" ht="15.75" customHeight="1">
      <c r="A66" s="6" t="s">
        <v>148</v>
      </c>
      <c r="B66" s="7">
        <v>45317.0</v>
      </c>
      <c r="C66" s="8">
        <v>16.49</v>
      </c>
      <c r="D66" s="8">
        <v>-1.07</v>
      </c>
      <c r="E66" s="9">
        <v>1.04</v>
      </c>
      <c r="F66" s="9">
        <v>-8.59</v>
      </c>
      <c r="G66" s="9">
        <v>-8.59</v>
      </c>
      <c r="H66" s="9">
        <v>17.16</v>
      </c>
      <c r="I66" s="9">
        <v>16.4</v>
      </c>
      <c r="J66" s="9">
        <v>16.71</v>
      </c>
      <c r="K66" s="6" t="s">
        <v>91</v>
      </c>
      <c r="L66" s="10">
        <f t="shared" si="1"/>
        <v>-0.0107</v>
      </c>
      <c r="M66" s="11">
        <f t="shared" si="2"/>
        <v>16.66835136</v>
      </c>
      <c r="N66" s="12">
        <f>VLOOKUP(A66,Stocks!A:B,2,0)</f>
        <v>240822651</v>
      </c>
      <c r="O66" s="13">
        <f t="shared" si="3"/>
        <v>-42951047.22</v>
      </c>
      <c r="P66" s="14" t="str">
        <f t="shared" si="4"/>
        <v>Negativo</v>
      </c>
      <c r="Q66" s="15" t="str">
        <f>VLOOKUP(A:A, Ticker!A:B,2,0)</f>
        <v>Fleury</v>
      </c>
      <c r="R66" s="15" t="str">
        <f>VLOOKUP(Q:Q,ChatGPT!A:C,2,0)</f>
        <v>Saúde</v>
      </c>
      <c r="S66" s="15">
        <f>VLOOKUP(Q:Q,ChatGPT!A:C,3,0)</f>
        <v>94</v>
      </c>
      <c r="T66" s="15" t="str">
        <f t="shared" si="5"/>
        <v>Entre 50 e 100</v>
      </c>
    </row>
    <row r="67" ht="15.75" customHeight="1">
      <c r="A67" s="6" t="s">
        <v>149</v>
      </c>
      <c r="B67" s="7">
        <v>45317.0</v>
      </c>
      <c r="C67" s="8">
        <v>6.95</v>
      </c>
      <c r="D67" s="8">
        <v>-1.27</v>
      </c>
      <c r="E67" s="9">
        <v>-0.43</v>
      </c>
      <c r="F67" s="9">
        <v>-6.71</v>
      </c>
      <c r="G67" s="9">
        <v>-6.71</v>
      </c>
      <c r="H67" s="9">
        <v>-30.01</v>
      </c>
      <c r="I67" s="9">
        <v>6.87</v>
      </c>
      <c r="J67" s="9">
        <v>7.14</v>
      </c>
      <c r="K67" s="6" t="s">
        <v>150</v>
      </c>
      <c r="L67" s="10">
        <f t="shared" si="1"/>
        <v>-0.0127</v>
      </c>
      <c r="M67" s="11">
        <f t="shared" si="2"/>
        <v>7.039400385</v>
      </c>
      <c r="N67" s="12">
        <f>VLOOKUP(A67,Stocks!A:B,2,0)</f>
        <v>496029967</v>
      </c>
      <c r="O67" s="13">
        <f t="shared" si="3"/>
        <v>-44345269.97</v>
      </c>
      <c r="P67" s="14" t="str">
        <f t="shared" si="4"/>
        <v>Negativo</v>
      </c>
      <c r="Q67" s="15" t="str">
        <f>VLOOKUP(A:A, Ticker!A:B,2,0)</f>
        <v>Grupo Soma</v>
      </c>
      <c r="R67" s="15" t="str">
        <f>VLOOKUP(Q:Q,ChatGPT!A:C,2,0)</f>
        <v>Moda e Calçados</v>
      </c>
      <c r="S67" s="15">
        <f>VLOOKUP(Q:Q,ChatGPT!A:C,3,0)</f>
        <v>4</v>
      </c>
      <c r="T67" s="15" t="str">
        <f t="shared" si="5"/>
        <v>Menor que 50</v>
      </c>
    </row>
    <row r="68" ht="15.75" customHeight="1">
      <c r="A68" s="6" t="s">
        <v>151</v>
      </c>
      <c r="B68" s="7">
        <v>45317.0</v>
      </c>
      <c r="C68" s="8">
        <v>8.67</v>
      </c>
      <c r="D68" s="8">
        <v>-1.36</v>
      </c>
      <c r="E68" s="9">
        <v>4.08</v>
      </c>
      <c r="F68" s="9">
        <v>-14.33</v>
      </c>
      <c r="G68" s="9">
        <v>-14.33</v>
      </c>
      <c r="H68" s="9">
        <v>-34.52</v>
      </c>
      <c r="I68" s="9">
        <v>8.62</v>
      </c>
      <c r="J68" s="9">
        <v>8.8</v>
      </c>
      <c r="K68" s="6" t="s">
        <v>152</v>
      </c>
      <c r="L68" s="10">
        <f t="shared" si="1"/>
        <v>-0.0136</v>
      </c>
      <c r="M68" s="11">
        <f t="shared" si="2"/>
        <v>8.789537713</v>
      </c>
      <c r="N68" s="12">
        <f>VLOOKUP(A68,Stocks!A:B,2,0)</f>
        <v>176733968</v>
      </c>
      <c r="O68" s="13">
        <f t="shared" si="3"/>
        <v>-21126374.33</v>
      </c>
      <c r="P68" s="14" t="str">
        <f t="shared" si="4"/>
        <v>Negativo</v>
      </c>
      <c r="Q68" s="15" t="str">
        <f>VLOOKUP(A:A, Ticker!A:B,2,0)</f>
        <v>Alpargatas</v>
      </c>
      <c r="R68" s="15" t="str">
        <f>VLOOKUP(Q:Q,ChatGPT!A:C,2,0)</f>
        <v>Moda e Calçados</v>
      </c>
      <c r="S68" s="15">
        <f>VLOOKUP(Q:Q,ChatGPT!A:C,3,0)</f>
        <v>113</v>
      </c>
      <c r="T68" s="15" t="str">
        <f t="shared" si="5"/>
        <v>Mais que 100</v>
      </c>
    </row>
    <row r="69" ht="15.75" customHeight="1">
      <c r="A69" s="6" t="s">
        <v>153</v>
      </c>
      <c r="B69" s="7">
        <v>45317.0</v>
      </c>
      <c r="C69" s="8">
        <v>22.84</v>
      </c>
      <c r="D69" s="8">
        <v>-1.38</v>
      </c>
      <c r="E69" s="9">
        <v>2.38</v>
      </c>
      <c r="F69" s="9">
        <v>-5.15</v>
      </c>
      <c r="G69" s="9">
        <v>-5.15</v>
      </c>
      <c r="H69" s="9">
        <v>60.09</v>
      </c>
      <c r="I69" s="9">
        <v>22.62</v>
      </c>
      <c r="J69" s="9">
        <v>23.34</v>
      </c>
      <c r="K69" s="6" t="s">
        <v>154</v>
      </c>
      <c r="L69" s="10">
        <f t="shared" si="1"/>
        <v>-0.0138</v>
      </c>
      <c r="M69" s="11">
        <f t="shared" si="2"/>
        <v>23.15960251</v>
      </c>
      <c r="N69" s="12">
        <f>VLOOKUP(A69,Stocks!A:B,2,0)</f>
        <v>265784616</v>
      </c>
      <c r="O69" s="13">
        <f t="shared" si="3"/>
        <v>-84945431.64</v>
      </c>
      <c r="P69" s="14" t="str">
        <f t="shared" si="4"/>
        <v>Negativo</v>
      </c>
      <c r="Q69" s="15" t="str">
        <f>VLOOKUP(A:A, Ticker!A:B,2,0)</f>
        <v>Cyrela</v>
      </c>
      <c r="R69" s="15" t="str">
        <f>VLOOKUP(Q:Q,ChatGPT!A:C,2,0)</f>
        <v>Construção Civil</v>
      </c>
      <c r="S69" s="15">
        <f>VLOOKUP(Q:Q,ChatGPT!A:C,3,0)</f>
        <v>58</v>
      </c>
      <c r="T69" s="15" t="str">
        <f t="shared" si="5"/>
        <v>Entre 50 e 100</v>
      </c>
    </row>
    <row r="70" ht="15.75" customHeight="1">
      <c r="A70" s="6" t="s">
        <v>155</v>
      </c>
      <c r="B70" s="7">
        <v>45317.0</v>
      </c>
      <c r="C70" s="8">
        <v>22.4</v>
      </c>
      <c r="D70" s="8">
        <v>-1.4</v>
      </c>
      <c r="E70" s="9">
        <v>5.02</v>
      </c>
      <c r="F70" s="9">
        <v>0.04</v>
      </c>
      <c r="G70" s="9">
        <v>0.04</v>
      </c>
      <c r="H70" s="9">
        <v>34.29</v>
      </c>
      <c r="I70" s="9">
        <v>22.26</v>
      </c>
      <c r="J70" s="9">
        <v>22.92</v>
      </c>
      <c r="K70" s="6" t="s">
        <v>156</v>
      </c>
      <c r="L70" s="10">
        <f t="shared" si="1"/>
        <v>-0.014</v>
      </c>
      <c r="M70" s="11">
        <f t="shared" si="2"/>
        <v>22.71805274</v>
      </c>
      <c r="N70" s="12">
        <f>VLOOKUP(A70,Stocks!A:B,2,0)</f>
        <v>734632705</v>
      </c>
      <c r="O70" s="13">
        <f t="shared" si="3"/>
        <v>-233651943.5</v>
      </c>
      <c r="P70" s="14" t="str">
        <f t="shared" si="4"/>
        <v>Negativo</v>
      </c>
      <c r="Q70" s="15" t="str">
        <f>VLOOKUP(A:A, Ticker!A:B,2,0)</f>
        <v>Embraer</v>
      </c>
      <c r="R70" s="15" t="str">
        <f>VLOOKUP(Q:Q,ChatGPT!A:C,2,0)</f>
        <v>Aeroespacial</v>
      </c>
      <c r="S70" s="15">
        <f>VLOOKUP(Q:Q,ChatGPT!A:C,3,0)</f>
        <v>54</v>
      </c>
      <c r="T70" s="15" t="str">
        <f t="shared" si="5"/>
        <v>Entre 50 e 100</v>
      </c>
    </row>
    <row r="71" ht="15.75" customHeight="1">
      <c r="A71" s="6" t="s">
        <v>157</v>
      </c>
      <c r="B71" s="7">
        <v>45317.0</v>
      </c>
      <c r="C71" s="8">
        <v>15.97</v>
      </c>
      <c r="D71" s="8">
        <v>-1.41</v>
      </c>
      <c r="E71" s="9">
        <v>-7.37</v>
      </c>
      <c r="F71" s="9">
        <v>-5.45</v>
      </c>
      <c r="G71" s="9">
        <v>-5.45</v>
      </c>
      <c r="H71" s="9">
        <v>23.51</v>
      </c>
      <c r="I71" s="9">
        <v>15.84</v>
      </c>
      <c r="J71" s="9">
        <v>16.43</v>
      </c>
      <c r="K71" s="6" t="s">
        <v>158</v>
      </c>
      <c r="L71" s="10">
        <f t="shared" si="1"/>
        <v>-0.0141</v>
      </c>
      <c r="M71" s="11">
        <f t="shared" si="2"/>
        <v>16.1983974</v>
      </c>
      <c r="N71" s="12">
        <f>VLOOKUP(A71,Stocks!A:B,2,0)</f>
        <v>846244302</v>
      </c>
      <c r="O71" s="13">
        <f t="shared" si="3"/>
        <v>-193280001.2</v>
      </c>
      <c r="P71" s="14" t="str">
        <f t="shared" si="4"/>
        <v>Negativo</v>
      </c>
      <c r="Q71" s="15" t="str">
        <f>VLOOKUP(A:A, Ticker!A:B,2,0)</f>
        <v>Natura</v>
      </c>
      <c r="R71" s="15" t="str">
        <f>VLOOKUP(Q:Q,ChatGPT!A:C,2,0)</f>
        <v>Beleza</v>
      </c>
      <c r="S71" s="15">
        <f>VLOOKUP(Q:Q,ChatGPT!A:C,3,0)</f>
        <v>54</v>
      </c>
      <c r="T71" s="15" t="str">
        <f t="shared" si="5"/>
        <v>Entre 50 e 100</v>
      </c>
    </row>
    <row r="72" ht="15.75" customHeight="1">
      <c r="A72" s="6" t="s">
        <v>159</v>
      </c>
      <c r="B72" s="7">
        <v>45317.0</v>
      </c>
      <c r="C72" s="8">
        <v>13.8</v>
      </c>
      <c r="D72" s="8">
        <v>-1.42</v>
      </c>
      <c r="E72" s="9">
        <v>-3.5</v>
      </c>
      <c r="F72" s="9">
        <v>2.0</v>
      </c>
      <c r="G72" s="9">
        <v>2.0</v>
      </c>
      <c r="H72" s="9">
        <v>-34.02</v>
      </c>
      <c r="I72" s="9">
        <v>13.63</v>
      </c>
      <c r="J72" s="9">
        <v>14.0</v>
      </c>
      <c r="K72" s="6" t="s">
        <v>160</v>
      </c>
      <c r="L72" s="10">
        <f t="shared" si="1"/>
        <v>-0.0142</v>
      </c>
      <c r="M72" s="11">
        <f t="shared" si="2"/>
        <v>13.99878271</v>
      </c>
      <c r="N72" s="12">
        <f>VLOOKUP(A72,Stocks!A:B,2,0)</f>
        <v>1349217892</v>
      </c>
      <c r="O72" s="13">
        <f t="shared" si="3"/>
        <v>-268201195.1</v>
      </c>
      <c r="P72" s="14" t="str">
        <f t="shared" si="4"/>
        <v>Negativo</v>
      </c>
      <c r="Q72" s="15" t="str">
        <f>VLOOKUP(A:A, Ticker!A:B,2,0)</f>
        <v>Assaí</v>
      </c>
      <c r="R72" s="15" t="str">
        <f>VLOOKUP(Q:Q,ChatGPT!A:C,2,0)</f>
        <v>Varejo</v>
      </c>
      <c r="S72" s="15">
        <f>VLOOKUP(Q:Q,ChatGPT!A:C,3,0)</f>
        <v>11</v>
      </c>
      <c r="T72" s="15" t="str">
        <f t="shared" si="5"/>
        <v>Menor que 50</v>
      </c>
    </row>
    <row r="73" ht="15.75" customHeight="1">
      <c r="A73" s="6" t="s">
        <v>161</v>
      </c>
      <c r="B73" s="7">
        <v>45317.0</v>
      </c>
      <c r="C73" s="8">
        <v>13.22</v>
      </c>
      <c r="D73" s="8">
        <v>-1.56</v>
      </c>
      <c r="E73" s="9">
        <v>-4.13</v>
      </c>
      <c r="F73" s="9">
        <v>-8.58</v>
      </c>
      <c r="G73" s="9">
        <v>-8.58</v>
      </c>
      <c r="H73" s="9">
        <v>3.88</v>
      </c>
      <c r="I73" s="9">
        <v>13.18</v>
      </c>
      <c r="J73" s="9">
        <v>13.42</v>
      </c>
      <c r="K73" s="6" t="s">
        <v>162</v>
      </c>
      <c r="L73" s="10">
        <f t="shared" si="1"/>
        <v>-0.0156</v>
      </c>
      <c r="M73" s="11">
        <f t="shared" si="2"/>
        <v>13.4295002</v>
      </c>
      <c r="N73" s="12">
        <f>VLOOKUP(A73,Stocks!A:B,2,0)</f>
        <v>5602790110</v>
      </c>
      <c r="O73" s="13">
        <f t="shared" si="3"/>
        <v>-1173785666</v>
      </c>
      <c r="P73" s="14" t="str">
        <f t="shared" si="4"/>
        <v>Negativo</v>
      </c>
      <c r="Q73" s="15" t="str">
        <f>VLOOKUP(A:A, Ticker!A:B,2,0)</f>
        <v>B3</v>
      </c>
      <c r="R73" s="15" t="str">
        <f>VLOOKUP(Q:Q,ChatGPT!A:C,2,0)</f>
        <v>Serviços Financeiros</v>
      </c>
      <c r="S73" s="15">
        <f>VLOOKUP(Q:Q,ChatGPT!A:C,3,0)</f>
        <v>125</v>
      </c>
      <c r="T73" s="15" t="str">
        <f t="shared" si="5"/>
        <v>Mais que 100</v>
      </c>
    </row>
    <row r="74" ht="15.75" customHeight="1">
      <c r="A74" s="6" t="s">
        <v>163</v>
      </c>
      <c r="B74" s="7">
        <v>45317.0</v>
      </c>
      <c r="C74" s="8">
        <v>31.08</v>
      </c>
      <c r="D74" s="8">
        <v>-1.61</v>
      </c>
      <c r="E74" s="9">
        <v>-5.27</v>
      </c>
      <c r="F74" s="9">
        <v>-13.06</v>
      </c>
      <c r="G74" s="9">
        <v>-13.06</v>
      </c>
      <c r="H74" s="9">
        <v>-27.52</v>
      </c>
      <c r="I74" s="9">
        <v>30.91</v>
      </c>
      <c r="J74" s="9">
        <v>31.72</v>
      </c>
      <c r="K74" s="6" t="s">
        <v>164</v>
      </c>
      <c r="L74" s="10">
        <f t="shared" si="1"/>
        <v>-0.0161</v>
      </c>
      <c r="M74" s="11">
        <f t="shared" si="2"/>
        <v>31.58857607</v>
      </c>
      <c r="N74" s="12">
        <f>VLOOKUP(A74,Stocks!A:B,2,0)</f>
        <v>409490388</v>
      </c>
      <c r="O74" s="13">
        <f t="shared" si="3"/>
        <v>-208257014.2</v>
      </c>
      <c r="P74" s="14" t="str">
        <f t="shared" si="4"/>
        <v>Negativo</v>
      </c>
      <c r="Q74" s="15" t="str">
        <f>VLOOKUP(A:A, Ticker!A:B,2,0)</f>
        <v>Hypera</v>
      </c>
      <c r="R74" s="15" t="str">
        <f>VLOOKUP(Q:Q,ChatGPT!A:C,2,0)</f>
        <v>Farmacêutica</v>
      </c>
      <c r="S74" s="15">
        <f>VLOOKUP(Q:Q,ChatGPT!A:C,3,0)</f>
        <v>20</v>
      </c>
      <c r="T74" s="15" t="str">
        <f t="shared" si="5"/>
        <v>Menor que 50</v>
      </c>
    </row>
    <row r="75" ht="15.75" customHeight="1">
      <c r="A75" s="6" t="s">
        <v>165</v>
      </c>
      <c r="B75" s="7">
        <v>45317.0</v>
      </c>
      <c r="C75" s="8">
        <v>28.2</v>
      </c>
      <c r="D75" s="8">
        <v>-1.94</v>
      </c>
      <c r="E75" s="9">
        <v>0.36</v>
      </c>
      <c r="F75" s="9">
        <v>-3.79</v>
      </c>
      <c r="G75" s="9">
        <v>-3.79</v>
      </c>
      <c r="H75" s="9">
        <v>17.1</v>
      </c>
      <c r="I75" s="9">
        <v>28.13</v>
      </c>
      <c r="J75" s="9">
        <v>28.97</v>
      </c>
      <c r="K75" s="6" t="s">
        <v>166</v>
      </c>
      <c r="L75" s="10">
        <f t="shared" si="1"/>
        <v>-0.0194</v>
      </c>
      <c r="M75" s="11">
        <f t="shared" si="2"/>
        <v>28.75790332</v>
      </c>
      <c r="N75" s="12">
        <f>VLOOKUP(A75,Stocks!A:B,2,0)</f>
        <v>142377330</v>
      </c>
      <c r="O75" s="13">
        <f t="shared" si="3"/>
        <v>-79432785.74</v>
      </c>
      <c r="P75" s="14" t="str">
        <f t="shared" si="4"/>
        <v>Negativo</v>
      </c>
      <c r="Q75" s="15" t="str">
        <f>VLOOKUP(A:A, Ticker!A:B,2,0)</f>
        <v>São Martinho</v>
      </c>
      <c r="R75" s="15" t="str">
        <f>VLOOKUP(Q:Q,ChatGPT!A:C,2,0)</f>
        <v>Agronegócio</v>
      </c>
      <c r="S75" s="15">
        <f>VLOOKUP(Q:Q,ChatGPT!A:C,3,0)</f>
        <v>82</v>
      </c>
      <c r="T75" s="15" t="str">
        <f t="shared" si="5"/>
        <v>Entre 50 e 100</v>
      </c>
    </row>
    <row r="76" ht="15.75" customHeight="1">
      <c r="A76" s="6" t="s">
        <v>167</v>
      </c>
      <c r="B76" s="7">
        <v>45317.0</v>
      </c>
      <c r="C76" s="8">
        <v>3.93</v>
      </c>
      <c r="D76" s="8">
        <v>-1.99</v>
      </c>
      <c r="E76" s="9">
        <v>-2.24</v>
      </c>
      <c r="F76" s="9">
        <v>-11.69</v>
      </c>
      <c r="G76" s="9">
        <v>-11.69</v>
      </c>
      <c r="H76" s="9">
        <v>-11.49</v>
      </c>
      <c r="I76" s="9">
        <v>3.89</v>
      </c>
      <c r="J76" s="9">
        <v>4.06</v>
      </c>
      <c r="K76" s="6" t="s">
        <v>168</v>
      </c>
      <c r="L76" s="10">
        <f t="shared" si="1"/>
        <v>-0.0199</v>
      </c>
      <c r="M76" s="11">
        <f t="shared" si="2"/>
        <v>4.009794919</v>
      </c>
      <c r="N76" s="12">
        <f>VLOOKUP(A76,Stocks!A:B,2,0)</f>
        <v>4394332306</v>
      </c>
      <c r="O76" s="13">
        <f t="shared" si="3"/>
        <v>-350645389.9</v>
      </c>
      <c r="P76" s="14" t="str">
        <f t="shared" si="4"/>
        <v>Negativo</v>
      </c>
      <c r="Q76" s="15" t="str">
        <f>VLOOKUP(A:A, Ticker!A:B,2,0)</f>
        <v>Hapvida</v>
      </c>
      <c r="R76" s="15" t="str">
        <f>VLOOKUP(Q:Q,ChatGPT!A:C,2,0)</f>
        <v>Saúde</v>
      </c>
      <c r="S76" s="15">
        <f>VLOOKUP(Q:Q,ChatGPT!A:C,3,0)</f>
        <v>48</v>
      </c>
      <c r="T76" s="15" t="str">
        <f t="shared" si="5"/>
        <v>Menor que 50</v>
      </c>
    </row>
    <row r="77" ht="15.75" customHeight="1">
      <c r="A77" s="6" t="s">
        <v>169</v>
      </c>
      <c r="B77" s="7">
        <v>45317.0</v>
      </c>
      <c r="C77" s="8">
        <v>15.78</v>
      </c>
      <c r="D77" s="8">
        <v>-2.29</v>
      </c>
      <c r="E77" s="9">
        <v>-5.62</v>
      </c>
      <c r="F77" s="9">
        <v>-9.41</v>
      </c>
      <c r="G77" s="9">
        <v>-9.41</v>
      </c>
      <c r="H77" s="9">
        <v>-24.94</v>
      </c>
      <c r="I77" s="9">
        <v>15.7</v>
      </c>
      <c r="J77" s="9">
        <v>16.23</v>
      </c>
      <c r="K77" s="6" t="s">
        <v>170</v>
      </c>
      <c r="L77" s="10">
        <f t="shared" si="1"/>
        <v>-0.0229</v>
      </c>
      <c r="M77" s="11">
        <f t="shared" si="2"/>
        <v>16.14983113</v>
      </c>
      <c r="N77" s="12">
        <f>VLOOKUP(A77,Stocks!A:B,2,0)</f>
        <v>951329770</v>
      </c>
      <c r="O77" s="13">
        <f t="shared" si="3"/>
        <v>-351831366.6</v>
      </c>
      <c r="P77" s="14" t="str">
        <f t="shared" si="4"/>
        <v>Negativo</v>
      </c>
      <c r="Q77" s="15" t="str">
        <f>VLOOKUP(A:A, Ticker!A:B,2,0)</f>
        <v>Lojas Renner</v>
      </c>
      <c r="R77" s="15" t="str">
        <f>VLOOKUP(Q:Q,ChatGPT!A:C,2,0)</f>
        <v>Moda e Calçados</v>
      </c>
      <c r="S77" s="15">
        <f>VLOOKUP(Q:Q,ChatGPT!A:C,3,0)</f>
        <v>59</v>
      </c>
      <c r="T77" s="15" t="str">
        <f t="shared" si="5"/>
        <v>Entre 50 e 100</v>
      </c>
    </row>
    <row r="78" ht="15.75" customHeight="1">
      <c r="A78" s="6" t="s">
        <v>171</v>
      </c>
      <c r="B78" s="7">
        <v>45317.0</v>
      </c>
      <c r="C78" s="8">
        <v>10.71</v>
      </c>
      <c r="D78" s="8">
        <v>-2.45</v>
      </c>
      <c r="E78" s="9">
        <v>-9.47</v>
      </c>
      <c r="F78" s="9">
        <v>-13.98</v>
      </c>
      <c r="G78" s="9">
        <v>-13.98</v>
      </c>
      <c r="H78" s="9">
        <v>-32.72</v>
      </c>
      <c r="I78" s="9">
        <v>10.7</v>
      </c>
      <c r="J78" s="9">
        <v>11.08</v>
      </c>
      <c r="K78" s="6" t="s">
        <v>172</v>
      </c>
      <c r="L78" s="10">
        <f t="shared" si="1"/>
        <v>-0.0245</v>
      </c>
      <c r="M78" s="11">
        <f t="shared" si="2"/>
        <v>10.97898514</v>
      </c>
      <c r="N78" s="12">
        <f>VLOOKUP(A78,Stocks!A:B,2,0)</f>
        <v>533990587</v>
      </c>
      <c r="O78" s="13">
        <f t="shared" si="3"/>
        <v>-143635530.6</v>
      </c>
      <c r="P78" s="14" t="str">
        <f t="shared" si="4"/>
        <v>Negativo</v>
      </c>
      <c r="Q78" s="15" t="str">
        <f>VLOOKUP(A:A, Ticker!A:B,2,0)</f>
        <v>Carrefour Brasil</v>
      </c>
      <c r="R78" s="15" t="str">
        <f>VLOOKUP(Q:Q,ChatGPT!A:C,2,0)</f>
        <v>Varejo</v>
      </c>
      <c r="S78" s="15">
        <f>VLOOKUP(Q:Q,ChatGPT!A:C,3,0)</f>
        <v>47</v>
      </c>
      <c r="T78" s="15" t="str">
        <f t="shared" si="5"/>
        <v>Menor que 50</v>
      </c>
    </row>
    <row r="79" ht="15.75" customHeight="1">
      <c r="A79" s="6" t="s">
        <v>173</v>
      </c>
      <c r="B79" s="7">
        <v>45317.0</v>
      </c>
      <c r="C79" s="8">
        <v>8.7</v>
      </c>
      <c r="D79" s="8">
        <v>-2.46</v>
      </c>
      <c r="E79" s="9">
        <v>-6.95</v>
      </c>
      <c r="F79" s="9">
        <v>-23.55</v>
      </c>
      <c r="G79" s="9">
        <v>-23.55</v>
      </c>
      <c r="H79" s="9">
        <v>-85.74</v>
      </c>
      <c r="I79" s="9">
        <v>8.67</v>
      </c>
      <c r="J79" s="9">
        <v>8.95</v>
      </c>
      <c r="K79" s="6" t="s">
        <v>174</v>
      </c>
      <c r="L79" s="10">
        <f t="shared" si="1"/>
        <v>-0.0246</v>
      </c>
      <c r="M79" s="11">
        <f t="shared" si="2"/>
        <v>8.919417675</v>
      </c>
      <c r="N79" s="12">
        <f>VLOOKUP(A79,Stocks!A:B,2,0)</f>
        <v>94843047</v>
      </c>
      <c r="O79" s="13">
        <f t="shared" si="3"/>
        <v>-20810240.84</v>
      </c>
      <c r="P79" s="14" t="str">
        <f t="shared" si="4"/>
        <v>Negativo</v>
      </c>
      <c r="Q79" s="15" t="str">
        <f>VLOOKUP(A:A, Ticker!A:B,2,0)</f>
        <v>Casas Bahia</v>
      </c>
      <c r="R79" s="15" t="str">
        <f>VLOOKUP(Q:Q,ChatGPT!A:C,2,0)</f>
        <v>Varejo</v>
      </c>
      <c r="S79" s="15">
        <f>VLOOKUP(Q:Q,ChatGPT!A:C,3,0)</f>
        <v>68</v>
      </c>
      <c r="T79" s="15" t="str">
        <f t="shared" si="5"/>
        <v>Entre 50 e 100</v>
      </c>
    </row>
    <row r="80" ht="15.75" customHeight="1">
      <c r="A80" s="6" t="s">
        <v>175</v>
      </c>
      <c r="B80" s="7">
        <v>45317.0</v>
      </c>
      <c r="C80" s="8">
        <v>56.24</v>
      </c>
      <c r="D80" s="8">
        <v>-3.63</v>
      </c>
      <c r="E80" s="9">
        <v>-6.41</v>
      </c>
      <c r="F80" s="9">
        <v>-11.57</v>
      </c>
      <c r="G80" s="9">
        <v>-11.57</v>
      </c>
      <c r="H80" s="9">
        <v>-2.77</v>
      </c>
      <c r="I80" s="9">
        <v>56.04</v>
      </c>
      <c r="J80" s="9">
        <v>58.9</v>
      </c>
      <c r="K80" s="6" t="s">
        <v>176</v>
      </c>
      <c r="L80" s="10">
        <f t="shared" si="1"/>
        <v>-0.0363</v>
      </c>
      <c r="M80" s="11">
        <f t="shared" si="2"/>
        <v>58.35841029</v>
      </c>
      <c r="N80" s="12">
        <f>VLOOKUP(A80,Stocks!A:B,2,0)</f>
        <v>853202347</v>
      </c>
      <c r="O80" s="13">
        <f t="shared" si="3"/>
        <v>-1807432634</v>
      </c>
      <c r="P80" s="14" t="str">
        <f t="shared" si="4"/>
        <v>Negativo</v>
      </c>
      <c r="Q80" s="15" t="str">
        <f>VLOOKUP(A:A, Ticker!A:B,2,0)</f>
        <v>Localiza</v>
      </c>
      <c r="R80" s="15" t="str">
        <f>VLOOKUP(Q:Q,ChatGPT!A:C,2,0)</f>
        <v>Aluguel de Carros</v>
      </c>
      <c r="S80" s="15">
        <f>VLOOKUP(Q:Q,ChatGPT!A:C,3,0)</f>
        <v>50</v>
      </c>
      <c r="T80" s="15" t="str">
        <f t="shared" si="5"/>
        <v>Entre 50 e 100</v>
      </c>
    </row>
    <row r="81" ht="15.75" customHeight="1">
      <c r="A81" s="6" t="s">
        <v>177</v>
      </c>
      <c r="B81" s="7">
        <v>45317.0</v>
      </c>
      <c r="C81" s="8">
        <v>3.07</v>
      </c>
      <c r="D81" s="8">
        <v>-4.36</v>
      </c>
      <c r="E81" s="9">
        <v>-5.54</v>
      </c>
      <c r="F81" s="9">
        <v>-12.29</v>
      </c>
      <c r="G81" s="9">
        <v>-12.29</v>
      </c>
      <c r="H81" s="9">
        <v>-36.83</v>
      </c>
      <c r="I81" s="9">
        <v>3.05</v>
      </c>
      <c r="J81" s="9">
        <v>3.23</v>
      </c>
      <c r="K81" s="6" t="s">
        <v>178</v>
      </c>
      <c r="L81" s="10">
        <f t="shared" si="1"/>
        <v>-0.0436</v>
      </c>
      <c r="M81" s="11">
        <f t="shared" si="2"/>
        <v>3.209953994</v>
      </c>
      <c r="N81" s="12">
        <f>VLOOKUP(A81,Stocks!A:B,2,0)</f>
        <v>525582771</v>
      </c>
      <c r="O81" s="13">
        <f t="shared" si="3"/>
        <v>-73557408.06</v>
      </c>
      <c r="P81" s="14" t="str">
        <f t="shared" si="4"/>
        <v>Negativo</v>
      </c>
      <c r="Q81" s="15" t="str">
        <f>VLOOKUP(A:A, Ticker!A:B,2,0)</f>
        <v>CVC</v>
      </c>
      <c r="R81" s="15" t="str">
        <f>VLOOKUP(Q:Q,ChatGPT!A:C,2,0)</f>
        <v>Turismo</v>
      </c>
      <c r="S81" s="15">
        <f>VLOOKUP(Q:Q,ChatGPT!A:C,3,0)</f>
        <v>49</v>
      </c>
      <c r="T81" s="15" t="str">
        <f t="shared" si="5"/>
        <v>Menor que 50</v>
      </c>
    </row>
    <row r="82" ht="15.75" customHeight="1">
      <c r="A82" s="6" t="s">
        <v>179</v>
      </c>
      <c r="B82" s="7">
        <v>45317.0</v>
      </c>
      <c r="C82" s="8">
        <v>5.92</v>
      </c>
      <c r="D82" s="8">
        <v>-8.07</v>
      </c>
      <c r="E82" s="9">
        <v>-15.91</v>
      </c>
      <c r="F82" s="9">
        <v>-34.0</v>
      </c>
      <c r="G82" s="9">
        <v>-34.0</v>
      </c>
      <c r="H82" s="9">
        <v>-25.44</v>
      </c>
      <c r="I82" s="9">
        <v>5.51</v>
      </c>
      <c r="J82" s="9">
        <v>6.02</v>
      </c>
      <c r="K82" s="6" t="s">
        <v>180</v>
      </c>
      <c r="L82" s="10">
        <f t="shared" si="1"/>
        <v>-0.0807</v>
      </c>
      <c r="M82" s="11">
        <f t="shared" si="2"/>
        <v>6.439682367</v>
      </c>
      <c r="N82" s="12">
        <f>VLOOKUP(A82,Stocks!A:B,2,0)</f>
        <v>198184909</v>
      </c>
      <c r="O82" s="13">
        <f t="shared" si="3"/>
        <v>-102993202.6</v>
      </c>
      <c r="P82" s="14" t="str">
        <f t="shared" si="4"/>
        <v>Negativo</v>
      </c>
      <c r="Q82" s="15" t="str">
        <f>VLOOKUP(A:A, Ticker!A:B,2,0)</f>
        <v>GOL</v>
      </c>
      <c r="R82" s="15" t="str">
        <f>VLOOKUP(Q:Q,ChatGPT!A:C,2,0)</f>
        <v>Transporte Aéreo</v>
      </c>
      <c r="S82" s="15">
        <f>VLOOKUP(Q:Q,ChatGPT!A:C,3,0)</f>
        <v>21</v>
      </c>
      <c r="T82" s="15" t="str">
        <f t="shared" si="5"/>
        <v>Menor que 50</v>
      </c>
    </row>
    <row r="83" ht="15.75" customHeight="1">
      <c r="C83" s="16"/>
      <c r="D83" s="16"/>
      <c r="L83" s="17"/>
      <c r="M83" s="16"/>
      <c r="O83" s="18"/>
    </row>
    <row r="84" ht="15.75" customHeight="1">
      <c r="C84" s="16"/>
      <c r="D84" s="16"/>
      <c r="L84" s="17"/>
      <c r="M84" s="16"/>
      <c r="O84" s="18"/>
    </row>
    <row r="85" ht="15.75" customHeight="1">
      <c r="C85" s="16"/>
      <c r="D85" s="16"/>
      <c r="L85" s="17"/>
      <c r="M85" s="16"/>
      <c r="O85" s="18"/>
    </row>
    <row r="86" ht="15.75" customHeight="1">
      <c r="C86" s="16"/>
      <c r="D86" s="16"/>
      <c r="L86" s="17"/>
      <c r="M86" s="16"/>
      <c r="O86" s="18"/>
    </row>
    <row r="87" ht="15.75" customHeight="1">
      <c r="C87" s="16"/>
      <c r="D87" s="16"/>
      <c r="L87" s="17"/>
      <c r="M87" s="16"/>
      <c r="O87" s="18"/>
    </row>
    <row r="88" ht="15.75" customHeight="1">
      <c r="C88" s="16"/>
      <c r="D88" s="16"/>
      <c r="L88" s="17"/>
      <c r="M88" s="16"/>
      <c r="O88" s="18"/>
    </row>
    <row r="89" ht="15.75" customHeight="1">
      <c r="C89" s="16"/>
      <c r="D89" s="16"/>
      <c r="L89" s="17"/>
      <c r="M89" s="16"/>
      <c r="O89" s="18"/>
    </row>
    <row r="90" ht="15.75" customHeight="1">
      <c r="C90" s="16"/>
      <c r="D90" s="16"/>
      <c r="L90" s="17"/>
      <c r="M90" s="16"/>
      <c r="O90" s="18"/>
    </row>
    <row r="91" ht="15.75" customHeight="1">
      <c r="C91" s="16"/>
      <c r="D91" s="16"/>
      <c r="L91" s="17"/>
      <c r="M91" s="16"/>
      <c r="O91" s="18"/>
    </row>
    <row r="92" ht="15.75" customHeight="1">
      <c r="C92" s="16"/>
      <c r="D92" s="16"/>
      <c r="L92" s="17"/>
      <c r="M92" s="16"/>
      <c r="O92" s="18"/>
    </row>
    <row r="93" ht="15.75" customHeight="1">
      <c r="C93" s="16"/>
      <c r="D93" s="16"/>
      <c r="L93" s="17"/>
      <c r="M93" s="16"/>
      <c r="O93" s="18"/>
    </row>
    <row r="94" ht="15.75" customHeight="1">
      <c r="C94" s="16"/>
      <c r="D94" s="16"/>
      <c r="L94" s="17"/>
      <c r="M94" s="16"/>
      <c r="O94" s="18"/>
    </row>
    <row r="95" ht="15.75" customHeight="1">
      <c r="C95" s="16"/>
      <c r="D95" s="16"/>
      <c r="L95" s="17"/>
      <c r="M95" s="16"/>
      <c r="O95" s="18"/>
    </row>
    <row r="96" ht="15.75" customHeight="1">
      <c r="C96" s="16"/>
      <c r="D96" s="16"/>
      <c r="L96" s="17"/>
      <c r="M96" s="16"/>
      <c r="O96" s="18"/>
    </row>
    <row r="97" ht="15.75" customHeight="1">
      <c r="C97" s="16"/>
      <c r="D97" s="16"/>
      <c r="L97" s="17"/>
      <c r="M97" s="16"/>
      <c r="O97" s="18"/>
    </row>
    <row r="98" ht="15.75" customHeight="1">
      <c r="C98" s="16"/>
      <c r="D98" s="16"/>
      <c r="L98" s="17"/>
      <c r="M98" s="16"/>
      <c r="O98" s="18"/>
    </row>
    <row r="99" ht="15.75" customHeight="1">
      <c r="C99" s="16"/>
      <c r="D99" s="16"/>
      <c r="L99" s="17"/>
      <c r="M99" s="16"/>
      <c r="O99" s="18"/>
    </row>
    <row r="100" ht="15.75" customHeight="1">
      <c r="C100" s="16"/>
      <c r="D100" s="16"/>
      <c r="L100" s="17"/>
      <c r="M100" s="16"/>
      <c r="O100" s="18"/>
    </row>
    <row r="101" ht="15.75" customHeight="1">
      <c r="C101" s="16"/>
      <c r="D101" s="16"/>
      <c r="L101" s="17"/>
      <c r="M101" s="16"/>
      <c r="O101" s="18"/>
    </row>
    <row r="102" ht="15.75" customHeight="1">
      <c r="C102" s="16"/>
      <c r="D102" s="16"/>
      <c r="L102" s="17"/>
      <c r="M102" s="16"/>
      <c r="O102" s="18"/>
    </row>
    <row r="103" ht="15.75" customHeight="1">
      <c r="C103" s="16"/>
      <c r="D103" s="16"/>
      <c r="L103" s="17"/>
      <c r="M103" s="16"/>
      <c r="O103" s="18"/>
    </row>
    <row r="104" ht="15.75" customHeight="1">
      <c r="C104" s="16"/>
      <c r="D104" s="16"/>
      <c r="L104" s="17"/>
      <c r="M104" s="16"/>
      <c r="O104" s="18"/>
    </row>
    <row r="105" ht="15.75" customHeight="1">
      <c r="C105" s="16"/>
      <c r="D105" s="16"/>
      <c r="L105" s="17"/>
      <c r="M105" s="16"/>
      <c r="O105" s="18"/>
    </row>
    <row r="106" ht="15.75" customHeight="1">
      <c r="C106" s="16"/>
      <c r="D106" s="16"/>
      <c r="L106" s="17"/>
      <c r="M106" s="16"/>
      <c r="O106" s="18"/>
    </row>
    <row r="107" ht="15.75" customHeight="1">
      <c r="C107" s="16"/>
      <c r="D107" s="16"/>
      <c r="L107" s="17"/>
      <c r="M107" s="16"/>
      <c r="O107" s="18"/>
    </row>
    <row r="108" ht="15.75" customHeight="1">
      <c r="C108" s="16"/>
      <c r="D108" s="16"/>
      <c r="L108" s="17"/>
      <c r="M108" s="16"/>
      <c r="O108" s="18"/>
    </row>
    <row r="109" ht="15.75" customHeight="1">
      <c r="C109" s="16"/>
      <c r="D109" s="16"/>
      <c r="L109" s="17"/>
      <c r="M109" s="16"/>
      <c r="O109" s="18"/>
    </row>
    <row r="110" ht="15.75" customHeight="1">
      <c r="C110" s="16"/>
      <c r="D110" s="16"/>
      <c r="L110" s="17"/>
      <c r="M110" s="16"/>
      <c r="O110" s="18"/>
    </row>
    <row r="111" ht="15.75" customHeight="1">
      <c r="C111" s="16"/>
      <c r="D111" s="16"/>
      <c r="L111" s="17"/>
      <c r="M111" s="16"/>
      <c r="O111" s="18"/>
    </row>
    <row r="112" ht="15.75" customHeight="1">
      <c r="C112" s="16"/>
      <c r="D112" s="16"/>
      <c r="L112" s="17"/>
      <c r="M112" s="16"/>
      <c r="O112" s="18"/>
    </row>
    <row r="113" ht="15.75" customHeight="1">
      <c r="C113" s="16"/>
      <c r="D113" s="16"/>
      <c r="L113" s="17"/>
      <c r="M113" s="16"/>
      <c r="O113" s="18"/>
    </row>
    <row r="114" ht="15.75" customHeight="1">
      <c r="C114" s="16"/>
      <c r="D114" s="16"/>
      <c r="L114" s="17"/>
      <c r="M114" s="16"/>
      <c r="O114" s="18"/>
    </row>
    <row r="115" ht="15.75" customHeight="1">
      <c r="C115" s="16"/>
      <c r="D115" s="16"/>
      <c r="L115" s="17"/>
      <c r="M115" s="16"/>
      <c r="O115" s="18"/>
    </row>
    <row r="116" ht="15.75" customHeight="1">
      <c r="C116" s="16"/>
      <c r="D116" s="16"/>
      <c r="L116" s="17"/>
      <c r="M116" s="16"/>
      <c r="O116" s="18"/>
    </row>
    <row r="117" ht="15.75" customHeight="1">
      <c r="C117" s="16"/>
      <c r="D117" s="16"/>
      <c r="L117" s="17"/>
      <c r="M117" s="16"/>
      <c r="O117" s="18"/>
    </row>
    <row r="118" ht="15.75" customHeight="1">
      <c r="C118" s="16"/>
      <c r="D118" s="16"/>
      <c r="L118" s="17"/>
      <c r="M118" s="16"/>
      <c r="O118" s="18"/>
    </row>
    <row r="119" ht="15.75" customHeight="1">
      <c r="C119" s="16"/>
      <c r="D119" s="16"/>
      <c r="L119" s="17"/>
      <c r="M119" s="16"/>
      <c r="O119" s="18"/>
    </row>
    <row r="120" ht="15.75" customHeight="1">
      <c r="C120" s="16"/>
      <c r="D120" s="16"/>
      <c r="L120" s="17"/>
      <c r="M120" s="16"/>
      <c r="O120" s="18"/>
    </row>
    <row r="121" ht="15.75" customHeight="1">
      <c r="C121" s="16"/>
      <c r="D121" s="16"/>
      <c r="L121" s="17"/>
      <c r="M121" s="16"/>
      <c r="O121" s="18"/>
    </row>
    <row r="122" ht="15.75" customHeight="1">
      <c r="C122" s="16"/>
      <c r="D122" s="16"/>
      <c r="L122" s="17"/>
      <c r="M122" s="16"/>
      <c r="O122" s="18"/>
    </row>
    <row r="123" ht="15.75" customHeight="1">
      <c r="C123" s="16"/>
      <c r="D123" s="16"/>
      <c r="L123" s="17"/>
      <c r="M123" s="16"/>
      <c r="O123" s="18"/>
    </row>
    <row r="124" ht="15.75" customHeight="1">
      <c r="C124" s="16"/>
      <c r="D124" s="16"/>
      <c r="L124" s="17"/>
      <c r="M124" s="16"/>
      <c r="O124" s="18"/>
    </row>
    <row r="125" ht="15.75" customHeight="1">
      <c r="C125" s="16"/>
      <c r="D125" s="16"/>
      <c r="L125" s="17"/>
      <c r="M125" s="16"/>
      <c r="O125" s="18"/>
    </row>
    <row r="126" ht="15.75" customHeight="1">
      <c r="C126" s="16"/>
      <c r="D126" s="16"/>
      <c r="L126" s="17"/>
      <c r="M126" s="16"/>
      <c r="O126" s="18"/>
    </row>
    <row r="127" ht="15.75" customHeight="1">
      <c r="C127" s="16"/>
      <c r="D127" s="16"/>
      <c r="L127" s="17"/>
      <c r="M127" s="16"/>
      <c r="O127" s="18"/>
    </row>
    <row r="128" ht="15.75" customHeight="1">
      <c r="C128" s="16"/>
      <c r="D128" s="16"/>
      <c r="L128" s="17"/>
      <c r="M128" s="16"/>
      <c r="O128" s="18"/>
    </row>
    <row r="129" ht="15.75" customHeight="1">
      <c r="C129" s="16"/>
      <c r="D129" s="16"/>
      <c r="L129" s="17"/>
      <c r="M129" s="16"/>
      <c r="O129" s="18"/>
    </row>
    <row r="130" ht="15.75" customHeight="1">
      <c r="C130" s="16"/>
      <c r="D130" s="16"/>
      <c r="L130" s="17"/>
      <c r="M130" s="16"/>
      <c r="O130" s="18"/>
    </row>
    <row r="131" ht="15.75" customHeight="1">
      <c r="C131" s="16"/>
      <c r="D131" s="16"/>
      <c r="L131" s="17"/>
      <c r="M131" s="16"/>
      <c r="O131" s="18"/>
    </row>
    <row r="132" ht="15.75" customHeight="1">
      <c r="C132" s="16"/>
      <c r="D132" s="16"/>
      <c r="L132" s="17"/>
      <c r="M132" s="16"/>
      <c r="O132" s="18"/>
    </row>
    <row r="133" ht="15.75" customHeight="1">
      <c r="C133" s="16"/>
      <c r="D133" s="16"/>
      <c r="L133" s="17"/>
      <c r="M133" s="16"/>
      <c r="O133" s="18"/>
    </row>
    <row r="134" ht="15.75" customHeight="1">
      <c r="C134" s="16"/>
      <c r="D134" s="16"/>
      <c r="L134" s="17"/>
      <c r="M134" s="16"/>
      <c r="O134" s="18"/>
    </row>
    <row r="135" ht="15.75" customHeight="1">
      <c r="C135" s="16"/>
      <c r="D135" s="16"/>
      <c r="L135" s="17"/>
      <c r="M135" s="16"/>
      <c r="O135" s="18"/>
    </row>
    <row r="136" ht="15.75" customHeight="1">
      <c r="C136" s="16"/>
      <c r="D136" s="16"/>
      <c r="L136" s="17"/>
      <c r="M136" s="16"/>
      <c r="O136" s="18"/>
    </row>
    <row r="137" ht="15.75" customHeight="1">
      <c r="C137" s="16"/>
      <c r="D137" s="16"/>
      <c r="L137" s="17"/>
      <c r="M137" s="16"/>
      <c r="O137" s="18"/>
    </row>
    <row r="138" ht="15.75" customHeight="1">
      <c r="C138" s="16"/>
      <c r="D138" s="16"/>
      <c r="L138" s="17"/>
      <c r="M138" s="16"/>
      <c r="O138" s="18"/>
    </row>
    <row r="139" ht="15.75" customHeight="1">
      <c r="C139" s="16"/>
      <c r="D139" s="16"/>
      <c r="L139" s="17"/>
      <c r="M139" s="16"/>
      <c r="O139" s="18"/>
    </row>
    <row r="140" ht="15.75" customHeight="1">
      <c r="C140" s="16"/>
      <c r="D140" s="16"/>
      <c r="L140" s="17"/>
      <c r="M140" s="16"/>
      <c r="O140" s="18"/>
    </row>
    <row r="141" ht="15.75" customHeight="1">
      <c r="C141" s="16"/>
      <c r="D141" s="16"/>
      <c r="L141" s="17"/>
      <c r="M141" s="16"/>
      <c r="O141" s="18"/>
    </row>
    <row r="142" ht="15.75" customHeight="1">
      <c r="C142" s="16"/>
      <c r="D142" s="16"/>
      <c r="L142" s="17"/>
      <c r="M142" s="16"/>
      <c r="O142" s="18"/>
    </row>
    <row r="143" ht="15.75" customHeight="1">
      <c r="C143" s="16"/>
      <c r="D143" s="16"/>
      <c r="L143" s="17"/>
      <c r="M143" s="16"/>
      <c r="O143" s="18"/>
    </row>
    <row r="144" ht="15.75" customHeight="1">
      <c r="C144" s="16"/>
      <c r="D144" s="16"/>
      <c r="L144" s="17"/>
      <c r="M144" s="16"/>
      <c r="O144" s="18"/>
    </row>
    <row r="145" ht="15.75" customHeight="1">
      <c r="C145" s="16"/>
      <c r="D145" s="16"/>
      <c r="L145" s="17"/>
      <c r="M145" s="16"/>
      <c r="O145" s="18"/>
    </row>
    <row r="146" ht="15.75" customHeight="1">
      <c r="C146" s="16"/>
      <c r="D146" s="16"/>
      <c r="L146" s="17"/>
      <c r="M146" s="16"/>
      <c r="O146" s="18"/>
    </row>
    <row r="147" ht="15.75" customHeight="1">
      <c r="C147" s="16"/>
      <c r="D147" s="16"/>
      <c r="L147" s="17"/>
      <c r="M147" s="16"/>
      <c r="O147" s="18"/>
    </row>
    <row r="148" ht="15.75" customHeight="1">
      <c r="C148" s="16"/>
      <c r="D148" s="16"/>
      <c r="L148" s="17"/>
      <c r="M148" s="16"/>
      <c r="O148" s="18"/>
    </row>
    <row r="149" ht="15.75" customHeight="1">
      <c r="C149" s="16"/>
      <c r="D149" s="16"/>
      <c r="L149" s="17"/>
      <c r="M149" s="16"/>
      <c r="O149" s="18"/>
    </row>
    <row r="150" ht="15.75" customHeight="1">
      <c r="C150" s="16"/>
      <c r="D150" s="16"/>
      <c r="L150" s="17"/>
      <c r="M150" s="16"/>
      <c r="O150" s="18"/>
    </row>
    <row r="151" ht="15.75" customHeight="1">
      <c r="C151" s="16"/>
      <c r="D151" s="16"/>
      <c r="L151" s="17"/>
      <c r="M151" s="16"/>
      <c r="O151" s="18"/>
    </row>
    <row r="152" ht="15.75" customHeight="1">
      <c r="C152" s="16"/>
      <c r="D152" s="16"/>
      <c r="L152" s="17"/>
      <c r="M152" s="16"/>
      <c r="O152" s="18"/>
    </row>
    <row r="153" ht="15.75" customHeight="1">
      <c r="C153" s="16"/>
      <c r="D153" s="16"/>
      <c r="L153" s="17"/>
      <c r="M153" s="16"/>
      <c r="O153" s="18"/>
    </row>
    <row r="154" ht="15.75" customHeight="1">
      <c r="C154" s="16"/>
      <c r="D154" s="16"/>
      <c r="L154" s="17"/>
      <c r="M154" s="16"/>
      <c r="O154" s="18"/>
    </row>
    <row r="155" ht="15.75" customHeight="1">
      <c r="C155" s="16"/>
      <c r="D155" s="16"/>
      <c r="L155" s="17"/>
      <c r="M155" s="16"/>
      <c r="O155" s="18"/>
    </row>
    <row r="156" ht="15.75" customHeight="1">
      <c r="C156" s="16"/>
      <c r="D156" s="16"/>
      <c r="L156" s="17"/>
      <c r="M156" s="16"/>
      <c r="O156" s="18"/>
    </row>
    <row r="157" ht="15.75" customHeight="1">
      <c r="C157" s="16"/>
      <c r="D157" s="16"/>
      <c r="L157" s="17"/>
      <c r="M157" s="16"/>
      <c r="O157" s="18"/>
    </row>
    <row r="158" ht="15.75" customHeight="1">
      <c r="C158" s="16"/>
      <c r="D158" s="16"/>
      <c r="L158" s="17"/>
      <c r="M158" s="16"/>
      <c r="O158" s="18"/>
    </row>
    <row r="159" ht="15.75" customHeight="1">
      <c r="C159" s="16"/>
      <c r="D159" s="16"/>
      <c r="L159" s="17"/>
      <c r="M159" s="16"/>
      <c r="O159" s="18"/>
    </row>
    <row r="160" ht="15.75" customHeight="1">
      <c r="C160" s="16"/>
      <c r="D160" s="16"/>
      <c r="L160" s="17"/>
      <c r="M160" s="16"/>
      <c r="O160" s="18"/>
    </row>
    <row r="161" ht="15.75" customHeight="1">
      <c r="C161" s="16"/>
      <c r="D161" s="16"/>
      <c r="L161" s="17"/>
      <c r="M161" s="16"/>
      <c r="O161" s="18"/>
    </row>
    <row r="162" ht="15.75" customHeight="1">
      <c r="C162" s="16"/>
      <c r="D162" s="16"/>
      <c r="L162" s="17"/>
      <c r="M162" s="16"/>
      <c r="O162" s="18"/>
    </row>
    <row r="163" ht="15.75" customHeight="1">
      <c r="C163" s="16"/>
      <c r="D163" s="16"/>
      <c r="L163" s="17"/>
      <c r="M163" s="16"/>
      <c r="O163" s="18"/>
    </row>
    <row r="164" ht="15.75" customHeight="1">
      <c r="C164" s="16"/>
      <c r="D164" s="16"/>
      <c r="L164" s="17"/>
      <c r="M164" s="16"/>
      <c r="O164" s="18"/>
    </row>
    <row r="165" ht="15.75" customHeight="1">
      <c r="C165" s="16"/>
      <c r="D165" s="16"/>
      <c r="L165" s="17"/>
      <c r="M165" s="16"/>
      <c r="O165" s="18"/>
    </row>
    <row r="166" ht="15.75" customHeight="1">
      <c r="C166" s="16"/>
      <c r="D166" s="16"/>
      <c r="L166" s="17"/>
      <c r="M166" s="16"/>
      <c r="O166" s="18"/>
    </row>
    <row r="167" ht="15.75" customHeight="1">
      <c r="C167" s="16"/>
      <c r="D167" s="16"/>
      <c r="L167" s="17"/>
      <c r="M167" s="16"/>
      <c r="O167" s="18"/>
    </row>
    <row r="168" ht="15.75" customHeight="1">
      <c r="C168" s="16"/>
      <c r="D168" s="16"/>
      <c r="L168" s="17"/>
      <c r="M168" s="16"/>
      <c r="O168" s="18"/>
    </row>
    <row r="169" ht="15.75" customHeight="1">
      <c r="C169" s="16"/>
      <c r="D169" s="16"/>
      <c r="L169" s="17"/>
      <c r="M169" s="16"/>
      <c r="O169" s="18"/>
    </row>
    <row r="170" ht="15.75" customHeight="1">
      <c r="C170" s="16"/>
      <c r="D170" s="16"/>
      <c r="L170" s="17"/>
      <c r="M170" s="16"/>
      <c r="O170" s="18"/>
    </row>
    <row r="171" ht="15.75" customHeight="1">
      <c r="C171" s="16"/>
      <c r="D171" s="16"/>
      <c r="L171" s="17"/>
      <c r="M171" s="16"/>
      <c r="O171" s="18"/>
    </row>
    <row r="172" ht="15.75" customHeight="1">
      <c r="C172" s="16"/>
      <c r="D172" s="16"/>
      <c r="L172" s="17"/>
      <c r="M172" s="16"/>
      <c r="O172" s="18"/>
    </row>
    <row r="173" ht="15.75" customHeight="1">
      <c r="C173" s="16"/>
      <c r="D173" s="16"/>
      <c r="L173" s="17"/>
      <c r="M173" s="16"/>
      <c r="O173" s="18"/>
    </row>
    <row r="174" ht="15.75" customHeight="1">
      <c r="C174" s="16"/>
      <c r="D174" s="16"/>
      <c r="L174" s="17"/>
      <c r="M174" s="16"/>
      <c r="O174" s="18"/>
    </row>
    <row r="175" ht="15.75" customHeight="1">
      <c r="C175" s="16"/>
      <c r="D175" s="16"/>
      <c r="L175" s="17"/>
      <c r="M175" s="16"/>
      <c r="O175" s="18"/>
    </row>
    <row r="176" ht="15.75" customHeight="1">
      <c r="C176" s="16"/>
      <c r="D176" s="16"/>
      <c r="L176" s="17"/>
      <c r="M176" s="16"/>
      <c r="O176" s="18"/>
    </row>
    <row r="177" ht="15.75" customHeight="1">
      <c r="C177" s="16"/>
      <c r="D177" s="16"/>
      <c r="L177" s="17"/>
      <c r="M177" s="16"/>
      <c r="O177" s="18"/>
    </row>
    <row r="178" ht="15.75" customHeight="1">
      <c r="C178" s="16"/>
      <c r="D178" s="16"/>
      <c r="L178" s="17"/>
      <c r="M178" s="16"/>
      <c r="O178" s="18"/>
    </row>
    <row r="179" ht="15.75" customHeight="1">
      <c r="C179" s="16"/>
      <c r="D179" s="16"/>
      <c r="L179" s="17"/>
      <c r="M179" s="16"/>
      <c r="O179" s="18"/>
    </row>
    <row r="180" ht="15.75" customHeight="1">
      <c r="C180" s="16"/>
      <c r="D180" s="16"/>
      <c r="L180" s="17"/>
      <c r="M180" s="16"/>
      <c r="O180" s="18"/>
    </row>
    <row r="181" ht="15.75" customHeight="1">
      <c r="C181" s="16"/>
      <c r="D181" s="16"/>
      <c r="L181" s="17"/>
      <c r="M181" s="16"/>
      <c r="O181" s="18"/>
    </row>
    <row r="182" ht="15.75" customHeight="1">
      <c r="C182" s="16"/>
      <c r="D182" s="16"/>
      <c r="L182" s="17"/>
      <c r="M182" s="16"/>
      <c r="O182" s="18"/>
    </row>
    <row r="183" ht="15.75" customHeight="1">
      <c r="C183" s="16"/>
      <c r="D183" s="16"/>
      <c r="L183" s="17"/>
      <c r="M183" s="16"/>
      <c r="O183" s="18"/>
    </row>
    <row r="184" ht="15.75" customHeight="1">
      <c r="C184" s="16"/>
      <c r="D184" s="16"/>
      <c r="L184" s="17"/>
      <c r="M184" s="16"/>
      <c r="O184" s="18"/>
    </row>
    <row r="185" ht="15.75" customHeight="1">
      <c r="C185" s="16"/>
      <c r="D185" s="16"/>
      <c r="L185" s="17"/>
      <c r="M185" s="16"/>
      <c r="O185" s="18"/>
    </row>
    <row r="186" ht="15.75" customHeight="1">
      <c r="C186" s="16"/>
      <c r="D186" s="16"/>
      <c r="L186" s="17"/>
      <c r="M186" s="16"/>
      <c r="O186" s="18"/>
    </row>
    <row r="187" ht="15.75" customHeight="1">
      <c r="C187" s="16"/>
      <c r="D187" s="16"/>
      <c r="L187" s="17"/>
      <c r="M187" s="16"/>
      <c r="O187" s="18"/>
    </row>
    <row r="188" ht="15.75" customHeight="1">
      <c r="C188" s="16"/>
      <c r="D188" s="16"/>
      <c r="L188" s="17"/>
      <c r="M188" s="16"/>
      <c r="O188" s="18"/>
    </row>
    <row r="189" ht="15.75" customHeight="1">
      <c r="C189" s="16"/>
      <c r="D189" s="16"/>
      <c r="L189" s="17"/>
      <c r="M189" s="16"/>
      <c r="O189" s="18"/>
    </row>
    <row r="190" ht="15.75" customHeight="1">
      <c r="C190" s="16"/>
      <c r="D190" s="16"/>
      <c r="L190" s="17"/>
      <c r="M190" s="16"/>
      <c r="O190" s="18"/>
    </row>
    <row r="191" ht="15.75" customHeight="1">
      <c r="C191" s="16"/>
      <c r="D191" s="16"/>
      <c r="L191" s="17"/>
      <c r="M191" s="16"/>
      <c r="O191" s="18"/>
    </row>
    <row r="192" ht="15.75" customHeight="1">
      <c r="C192" s="16"/>
      <c r="D192" s="16"/>
      <c r="L192" s="17"/>
      <c r="M192" s="16"/>
      <c r="O192" s="18"/>
    </row>
    <row r="193" ht="15.75" customHeight="1">
      <c r="C193" s="16"/>
      <c r="D193" s="16"/>
      <c r="L193" s="17"/>
      <c r="M193" s="16"/>
      <c r="O193" s="18"/>
    </row>
    <row r="194" ht="15.75" customHeight="1">
      <c r="C194" s="16"/>
      <c r="D194" s="16"/>
      <c r="L194" s="17"/>
      <c r="M194" s="16"/>
      <c r="O194" s="18"/>
    </row>
    <row r="195" ht="15.75" customHeight="1">
      <c r="C195" s="16"/>
      <c r="D195" s="16"/>
      <c r="L195" s="17"/>
      <c r="M195" s="16"/>
      <c r="O195" s="18"/>
    </row>
    <row r="196" ht="15.75" customHeight="1">
      <c r="C196" s="16"/>
      <c r="D196" s="16"/>
      <c r="L196" s="17"/>
      <c r="M196" s="16"/>
      <c r="O196" s="18"/>
    </row>
    <row r="197" ht="15.75" customHeight="1">
      <c r="C197" s="16"/>
      <c r="D197" s="16"/>
      <c r="L197" s="17"/>
      <c r="M197" s="16"/>
      <c r="O197" s="18"/>
    </row>
    <row r="198" ht="15.75" customHeight="1">
      <c r="C198" s="16"/>
      <c r="D198" s="16"/>
      <c r="L198" s="17"/>
      <c r="M198" s="16"/>
      <c r="O198" s="18"/>
    </row>
    <row r="199" ht="15.75" customHeight="1">
      <c r="C199" s="16"/>
      <c r="D199" s="16"/>
      <c r="L199" s="17"/>
      <c r="M199" s="16"/>
      <c r="O199" s="18"/>
    </row>
    <row r="200" ht="15.75" customHeight="1">
      <c r="C200" s="16"/>
      <c r="D200" s="16"/>
      <c r="L200" s="17"/>
      <c r="M200" s="16"/>
      <c r="O200" s="18"/>
    </row>
    <row r="201" ht="15.75" customHeight="1">
      <c r="C201" s="16"/>
      <c r="D201" s="16"/>
      <c r="L201" s="17"/>
      <c r="M201" s="16"/>
      <c r="O201" s="18"/>
    </row>
    <row r="202" ht="15.75" customHeight="1">
      <c r="C202" s="16"/>
      <c r="D202" s="16"/>
      <c r="L202" s="17"/>
      <c r="M202" s="16"/>
      <c r="O202" s="18"/>
    </row>
    <row r="203" ht="15.75" customHeight="1">
      <c r="C203" s="16"/>
      <c r="D203" s="16"/>
      <c r="L203" s="17"/>
      <c r="M203" s="16"/>
      <c r="O203" s="18"/>
    </row>
    <row r="204" ht="15.75" customHeight="1">
      <c r="C204" s="16"/>
      <c r="D204" s="16"/>
      <c r="L204" s="17"/>
      <c r="M204" s="16"/>
      <c r="O204" s="18"/>
    </row>
    <row r="205" ht="15.75" customHeight="1">
      <c r="C205" s="16"/>
      <c r="D205" s="16"/>
      <c r="L205" s="17"/>
      <c r="M205" s="16"/>
      <c r="O205" s="18"/>
    </row>
    <row r="206" ht="15.75" customHeight="1">
      <c r="C206" s="16"/>
      <c r="D206" s="16"/>
      <c r="L206" s="17"/>
      <c r="M206" s="16"/>
      <c r="O206" s="18"/>
    </row>
    <row r="207" ht="15.75" customHeight="1">
      <c r="C207" s="16"/>
      <c r="D207" s="16"/>
      <c r="L207" s="17"/>
      <c r="M207" s="16"/>
      <c r="O207" s="18"/>
    </row>
    <row r="208" ht="15.75" customHeight="1">
      <c r="C208" s="16"/>
      <c r="D208" s="16"/>
      <c r="L208" s="17"/>
      <c r="M208" s="16"/>
      <c r="O208" s="18"/>
    </row>
    <row r="209" ht="15.75" customHeight="1">
      <c r="C209" s="16"/>
      <c r="D209" s="16"/>
      <c r="L209" s="17"/>
      <c r="M209" s="16"/>
      <c r="O209" s="18"/>
    </row>
    <row r="210" ht="15.75" customHeight="1">
      <c r="C210" s="16"/>
      <c r="D210" s="16"/>
      <c r="L210" s="17"/>
      <c r="M210" s="16"/>
      <c r="O210" s="18"/>
    </row>
    <row r="211" ht="15.75" customHeight="1">
      <c r="C211" s="16"/>
      <c r="D211" s="16"/>
      <c r="L211" s="17"/>
      <c r="M211" s="16"/>
      <c r="O211" s="18"/>
    </row>
    <row r="212" ht="15.75" customHeight="1">
      <c r="C212" s="16"/>
      <c r="D212" s="16"/>
      <c r="L212" s="17"/>
      <c r="M212" s="16"/>
      <c r="O212" s="18"/>
    </row>
    <row r="213" ht="15.75" customHeight="1">
      <c r="C213" s="16"/>
      <c r="D213" s="16"/>
      <c r="L213" s="17"/>
      <c r="M213" s="16"/>
      <c r="O213" s="18"/>
    </row>
    <row r="214" ht="15.75" customHeight="1">
      <c r="C214" s="16"/>
      <c r="D214" s="16"/>
      <c r="L214" s="17"/>
      <c r="M214" s="16"/>
      <c r="O214" s="18"/>
    </row>
    <row r="215" ht="15.75" customHeight="1">
      <c r="C215" s="16"/>
      <c r="D215" s="16"/>
      <c r="L215" s="17"/>
      <c r="M215" s="16"/>
      <c r="O215" s="18"/>
    </row>
    <row r="216" ht="15.75" customHeight="1">
      <c r="C216" s="16"/>
      <c r="D216" s="16"/>
      <c r="L216" s="17"/>
      <c r="M216" s="16"/>
      <c r="O216" s="18"/>
    </row>
    <row r="217" ht="15.75" customHeight="1">
      <c r="C217" s="16"/>
      <c r="D217" s="16"/>
      <c r="L217" s="17"/>
      <c r="M217" s="16"/>
      <c r="O217" s="18"/>
    </row>
    <row r="218" ht="15.75" customHeight="1">
      <c r="C218" s="16"/>
      <c r="D218" s="16"/>
      <c r="L218" s="17"/>
      <c r="M218" s="16"/>
      <c r="O218" s="18"/>
    </row>
    <row r="219" ht="15.75" customHeight="1">
      <c r="C219" s="16"/>
      <c r="D219" s="16"/>
      <c r="L219" s="17"/>
      <c r="M219" s="16"/>
      <c r="O219" s="18"/>
    </row>
    <row r="220" ht="15.75" customHeight="1">
      <c r="C220" s="16"/>
      <c r="D220" s="16"/>
      <c r="L220" s="17"/>
      <c r="M220" s="16"/>
      <c r="O220" s="18"/>
    </row>
    <row r="221" ht="15.75" customHeight="1">
      <c r="C221" s="16"/>
      <c r="D221" s="16"/>
      <c r="L221" s="17"/>
      <c r="M221" s="16"/>
      <c r="O221" s="18"/>
    </row>
    <row r="222" ht="15.75" customHeight="1">
      <c r="C222" s="16"/>
      <c r="D222" s="16"/>
      <c r="L222" s="17"/>
      <c r="M222" s="16"/>
      <c r="O222" s="18"/>
    </row>
    <row r="223" ht="15.75" customHeight="1">
      <c r="C223" s="16"/>
      <c r="D223" s="16"/>
      <c r="L223" s="17"/>
      <c r="M223" s="16"/>
      <c r="O223" s="18"/>
    </row>
    <row r="224" ht="15.75" customHeight="1">
      <c r="C224" s="16"/>
      <c r="D224" s="16"/>
      <c r="L224" s="17"/>
      <c r="M224" s="16"/>
      <c r="O224" s="18"/>
    </row>
    <row r="225" ht="15.75" customHeight="1">
      <c r="C225" s="16"/>
      <c r="D225" s="16"/>
      <c r="L225" s="17"/>
      <c r="M225" s="16"/>
      <c r="O225" s="18"/>
    </row>
    <row r="226" ht="15.75" customHeight="1">
      <c r="C226" s="16"/>
      <c r="D226" s="16"/>
      <c r="L226" s="17"/>
      <c r="M226" s="16"/>
      <c r="O226" s="18"/>
    </row>
    <row r="227" ht="15.75" customHeight="1">
      <c r="C227" s="16"/>
      <c r="D227" s="16"/>
      <c r="L227" s="17"/>
      <c r="M227" s="16"/>
      <c r="O227" s="18"/>
    </row>
    <row r="228" ht="15.75" customHeight="1">
      <c r="C228" s="16"/>
      <c r="D228" s="16"/>
      <c r="L228" s="17"/>
      <c r="M228" s="16"/>
      <c r="O228" s="18"/>
    </row>
    <row r="229" ht="15.75" customHeight="1">
      <c r="C229" s="16"/>
      <c r="D229" s="16"/>
      <c r="L229" s="17"/>
      <c r="M229" s="16"/>
      <c r="O229" s="18"/>
    </row>
    <row r="230" ht="15.75" customHeight="1">
      <c r="C230" s="16"/>
      <c r="D230" s="16"/>
      <c r="L230" s="17"/>
      <c r="M230" s="16"/>
      <c r="O230" s="18"/>
    </row>
    <row r="231" ht="15.75" customHeight="1">
      <c r="C231" s="16"/>
      <c r="D231" s="16"/>
      <c r="L231" s="17"/>
      <c r="M231" s="16"/>
      <c r="O231" s="18"/>
    </row>
    <row r="232" ht="15.75" customHeight="1">
      <c r="C232" s="16"/>
      <c r="D232" s="16"/>
      <c r="L232" s="17"/>
      <c r="M232" s="16"/>
      <c r="O232" s="18"/>
    </row>
    <row r="233" ht="15.75" customHeight="1">
      <c r="C233" s="16"/>
      <c r="D233" s="16"/>
      <c r="L233" s="17"/>
      <c r="M233" s="16"/>
      <c r="O233" s="18"/>
    </row>
    <row r="234" ht="15.75" customHeight="1">
      <c r="C234" s="16"/>
      <c r="D234" s="16"/>
      <c r="L234" s="17"/>
      <c r="M234" s="16"/>
      <c r="O234" s="18"/>
    </row>
    <row r="235" ht="15.75" customHeight="1">
      <c r="C235" s="16"/>
      <c r="D235" s="16"/>
      <c r="L235" s="17"/>
      <c r="M235" s="16"/>
      <c r="O235" s="18"/>
    </row>
    <row r="236" ht="15.75" customHeight="1">
      <c r="C236" s="16"/>
      <c r="D236" s="16"/>
      <c r="L236" s="17"/>
      <c r="M236" s="16"/>
      <c r="O236" s="18"/>
    </row>
    <row r="237" ht="15.75" customHeight="1">
      <c r="C237" s="16"/>
      <c r="D237" s="16"/>
      <c r="L237" s="17"/>
      <c r="M237" s="16"/>
      <c r="O237" s="18"/>
    </row>
    <row r="238" ht="15.75" customHeight="1">
      <c r="C238" s="16"/>
      <c r="D238" s="16"/>
      <c r="L238" s="17"/>
      <c r="M238" s="16"/>
      <c r="O238" s="18"/>
    </row>
    <row r="239" ht="15.75" customHeight="1">
      <c r="C239" s="16"/>
      <c r="D239" s="16"/>
      <c r="L239" s="17"/>
      <c r="M239" s="16"/>
      <c r="O239" s="18"/>
    </row>
    <row r="240" ht="15.75" customHeight="1">
      <c r="C240" s="16"/>
      <c r="D240" s="16"/>
      <c r="L240" s="17"/>
      <c r="M240" s="16"/>
      <c r="O240" s="18"/>
    </row>
    <row r="241" ht="15.75" customHeight="1">
      <c r="C241" s="16"/>
      <c r="D241" s="16"/>
      <c r="L241" s="17"/>
      <c r="M241" s="16"/>
      <c r="O241" s="18"/>
    </row>
    <row r="242" ht="15.75" customHeight="1">
      <c r="C242" s="16"/>
      <c r="D242" s="16"/>
      <c r="L242" s="17"/>
      <c r="M242" s="16"/>
      <c r="O242" s="18"/>
    </row>
    <row r="243" ht="15.75" customHeight="1">
      <c r="C243" s="16"/>
      <c r="D243" s="16"/>
      <c r="L243" s="17"/>
      <c r="M243" s="16"/>
      <c r="O243" s="18"/>
    </row>
    <row r="244" ht="15.75" customHeight="1">
      <c r="C244" s="16"/>
      <c r="D244" s="16"/>
      <c r="L244" s="17"/>
      <c r="M244" s="16"/>
      <c r="O244" s="18"/>
    </row>
    <row r="245" ht="15.75" customHeight="1">
      <c r="C245" s="16"/>
      <c r="D245" s="16"/>
      <c r="L245" s="17"/>
      <c r="M245" s="16"/>
      <c r="O245" s="18"/>
    </row>
    <row r="246" ht="15.75" customHeight="1">
      <c r="C246" s="16"/>
      <c r="D246" s="16"/>
      <c r="L246" s="17"/>
      <c r="M246" s="16"/>
      <c r="O246" s="18"/>
    </row>
    <row r="247" ht="15.75" customHeight="1">
      <c r="C247" s="16"/>
      <c r="D247" s="16"/>
      <c r="L247" s="17"/>
      <c r="M247" s="16"/>
      <c r="O247" s="18"/>
    </row>
    <row r="248" ht="15.75" customHeight="1">
      <c r="C248" s="16"/>
      <c r="D248" s="16"/>
      <c r="L248" s="17"/>
      <c r="M248" s="16"/>
      <c r="O248" s="18"/>
    </row>
    <row r="249" ht="15.75" customHeight="1">
      <c r="C249" s="16"/>
      <c r="D249" s="16"/>
      <c r="L249" s="17"/>
      <c r="M249" s="16"/>
      <c r="O249" s="18"/>
    </row>
    <row r="250" ht="15.75" customHeight="1">
      <c r="C250" s="16"/>
      <c r="D250" s="16"/>
      <c r="L250" s="17"/>
      <c r="M250" s="16"/>
      <c r="O250" s="18"/>
    </row>
    <row r="251" ht="15.75" customHeight="1">
      <c r="C251" s="16"/>
      <c r="D251" s="16"/>
      <c r="L251" s="17"/>
      <c r="M251" s="16"/>
      <c r="O251" s="18"/>
    </row>
    <row r="252" ht="15.75" customHeight="1">
      <c r="C252" s="16"/>
      <c r="D252" s="16"/>
      <c r="L252" s="17"/>
      <c r="M252" s="16"/>
      <c r="O252" s="18"/>
    </row>
    <row r="253" ht="15.75" customHeight="1">
      <c r="C253" s="16"/>
      <c r="D253" s="16"/>
      <c r="L253" s="17"/>
      <c r="M253" s="16"/>
      <c r="O253" s="18"/>
    </row>
    <row r="254" ht="15.75" customHeight="1">
      <c r="C254" s="16"/>
      <c r="D254" s="16"/>
      <c r="L254" s="17"/>
      <c r="M254" s="16"/>
      <c r="O254" s="18"/>
    </row>
    <row r="255" ht="15.75" customHeight="1">
      <c r="C255" s="16"/>
      <c r="D255" s="16"/>
      <c r="L255" s="17"/>
      <c r="M255" s="16"/>
      <c r="O255" s="18"/>
    </row>
    <row r="256" ht="15.75" customHeight="1">
      <c r="C256" s="16"/>
      <c r="D256" s="16"/>
      <c r="L256" s="17"/>
      <c r="M256" s="16"/>
      <c r="O256" s="18"/>
    </row>
    <row r="257" ht="15.75" customHeight="1">
      <c r="C257" s="16"/>
      <c r="D257" s="16"/>
      <c r="L257" s="17"/>
      <c r="M257" s="16"/>
      <c r="O257" s="18"/>
    </row>
    <row r="258" ht="15.75" customHeight="1">
      <c r="C258" s="16"/>
      <c r="D258" s="16"/>
      <c r="L258" s="17"/>
      <c r="M258" s="16"/>
      <c r="O258" s="18"/>
    </row>
    <row r="259" ht="15.75" customHeight="1">
      <c r="C259" s="16"/>
      <c r="D259" s="16"/>
      <c r="L259" s="17"/>
      <c r="M259" s="16"/>
      <c r="O259" s="18"/>
    </row>
    <row r="260" ht="15.75" customHeight="1">
      <c r="C260" s="16"/>
      <c r="D260" s="16"/>
      <c r="L260" s="17"/>
      <c r="M260" s="16"/>
      <c r="O260" s="18"/>
    </row>
    <row r="261" ht="15.75" customHeight="1">
      <c r="C261" s="16"/>
      <c r="D261" s="16"/>
      <c r="L261" s="17"/>
      <c r="M261" s="16"/>
      <c r="O261" s="18"/>
    </row>
    <row r="262" ht="15.75" customHeight="1">
      <c r="C262" s="16"/>
      <c r="D262" s="16"/>
      <c r="L262" s="17"/>
      <c r="M262" s="16"/>
      <c r="O262" s="18"/>
    </row>
    <row r="263" ht="15.75" customHeight="1">
      <c r="C263" s="16"/>
      <c r="D263" s="16"/>
      <c r="L263" s="17"/>
      <c r="M263" s="16"/>
      <c r="O263" s="18"/>
    </row>
    <row r="264" ht="15.75" customHeight="1">
      <c r="C264" s="16"/>
      <c r="D264" s="16"/>
      <c r="L264" s="17"/>
      <c r="M264" s="16"/>
      <c r="O264" s="18"/>
    </row>
    <row r="265" ht="15.75" customHeight="1">
      <c r="C265" s="16"/>
      <c r="D265" s="16"/>
      <c r="L265" s="17"/>
      <c r="M265" s="16"/>
      <c r="O265" s="18"/>
    </row>
    <row r="266" ht="15.75" customHeight="1">
      <c r="C266" s="16"/>
      <c r="D266" s="16"/>
      <c r="L266" s="17"/>
      <c r="M266" s="16"/>
      <c r="O266" s="18"/>
    </row>
    <row r="267" ht="15.75" customHeight="1">
      <c r="C267" s="16"/>
      <c r="D267" s="16"/>
      <c r="L267" s="17"/>
      <c r="M267" s="16"/>
      <c r="O267" s="18"/>
    </row>
    <row r="268" ht="15.75" customHeight="1">
      <c r="C268" s="16"/>
      <c r="D268" s="16"/>
      <c r="L268" s="17"/>
      <c r="M268" s="16"/>
      <c r="O268" s="18"/>
    </row>
    <row r="269" ht="15.75" customHeight="1">
      <c r="C269" s="16"/>
      <c r="D269" s="16"/>
      <c r="L269" s="17"/>
      <c r="M269" s="16"/>
      <c r="O269" s="18"/>
    </row>
    <row r="270" ht="15.75" customHeight="1">
      <c r="C270" s="16"/>
      <c r="D270" s="16"/>
      <c r="L270" s="17"/>
      <c r="M270" s="16"/>
      <c r="O270" s="18"/>
    </row>
    <row r="271" ht="15.75" customHeight="1">
      <c r="C271" s="16"/>
      <c r="D271" s="16"/>
      <c r="L271" s="17"/>
      <c r="M271" s="16"/>
      <c r="O271" s="18"/>
    </row>
    <row r="272" ht="15.75" customHeight="1">
      <c r="C272" s="16"/>
      <c r="D272" s="16"/>
      <c r="L272" s="17"/>
      <c r="M272" s="16"/>
      <c r="O272" s="18"/>
    </row>
    <row r="273" ht="15.75" customHeight="1">
      <c r="C273" s="16"/>
      <c r="D273" s="16"/>
      <c r="L273" s="17"/>
      <c r="M273" s="16"/>
      <c r="O273" s="18"/>
    </row>
    <row r="274" ht="15.75" customHeight="1">
      <c r="C274" s="16"/>
      <c r="D274" s="16"/>
      <c r="L274" s="17"/>
      <c r="M274" s="16"/>
      <c r="O274" s="18"/>
    </row>
    <row r="275" ht="15.75" customHeight="1">
      <c r="C275" s="16"/>
      <c r="D275" s="16"/>
      <c r="L275" s="17"/>
      <c r="M275" s="16"/>
      <c r="O275" s="18"/>
    </row>
    <row r="276" ht="15.75" customHeight="1">
      <c r="C276" s="16"/>
      <c r="D276" s="16"/>
      <c r="L276" s="17"/>
      <c r="M276" s="16"/>
      <c r="O276" s="18"/>
    </row>
    <row r="277" ht="15.75" customHeight="1">
      <c r="C277" s="16"/>
      <c r="D277" s="16"/>
      <c r="L277" s="17"/>
      <c r="M277" s="16"/>
      <c r="O277" s="18"/>
    </row>
    <row r="278" ht="15.75" customHeight="1">
      <c r="C278" s="16"/>
      <c r="D278" s="16"/>
      <c r="L278" s="17"/>
      <c r="M278" s="16"/>
      <c r="O278" s="18"/>
    </row>
    <row r="279" ht="15.75" customHeight="1">
      <c r="C279" s="16"/>
      <c r="D279" s="16"/>
      <c r="L279" s="17"/>
      <c r="M279" s="16"/>
      <c r="O279" s="18"/>
    </row>
    <row r="280" ht="15.75" customHeight="1">
      <c r="C280" s="16"/>
      <c r="D280" s="16"/>
      <c r="L280" s="17"/>
      <c r="M280" s="16"/>
      <c r="O280" s="18"/>
    </row>
    <row r="281" ht="15.75" customHeight="1">
      <c r="C281" s="16"/>
      <c r="D281" s="16"/>
      <c r="L281" s="17"/>
      <c r="M281" s="16"/>
      <c r="O281" s="18"/>
    </row>
    <row r="282" ht="15.75" customHeight="1">
      <c r="C282" s="16"/>
      <c r="D282" s="16"/>
      <c r="L282" s="17"/>
      <c r="M282" s="16"/>
      <c r="O282" s="18"/>
    </row>
    <row r="283" ht="15.75" customHeight="1">
      <c r="C283" s="16"/>
      <c r="D283" s="16"/>
      <c r="L283" s="17"/>
      <c r="M283" s="16"/>
      <c r="O283" s="18"/>
    </row>
    <row r="284" ht="15.75" customHeight="1">
      <c r="C284" s="16"/>
      <c r="D284" s="16"/>
      <c r="L284" s="17"/>
      <c r="M284" s="16"/>
      <c r="O284" s="18"/>
    </row>
    <row r="285" ht="15.75" customHeight="1">
      <c r="C285" s="16"/>
      <c r="D285" s="16"/>
      <c r="L285" s="17"/>
      <c r="M285" s="16"/>
      <c r="O285" s="18"/>
    </row>
    <row r="286" ht="15.75" customHeight="1">
      <c r="C286" s="16"/>
      <c r="D286" s="16"/>
      <c r="L286" s="17"/>
      <c r="M286" s="16"/>
      <c r="O286" s="18"/>
    </row>
    <row r="287" ht="15.75" customHeight="1">
      <c r="C287" s="16"/>
      <c r="D287" s="16"/>
      <c r="L287" s="17"/>
      <c r="M287" s="16"/>
      <c r="O287" s="18"/>
    </row>
    <row r="288" ht="15.75" customHeight="1">
      <c r="C288" s="16"/>
      <c r="D288" s="16"/>
      <c r="L288" s="17"/>
      <c r="M288" s="16"/>
      <c r="O288" s="18"/>
    </row>
    <row r="289" ht="15.75" customHeight="1">
      <c r="C289" s="16"/>
      <c r="D289" s="16"/>
      <c r="L289" s="17"/>
      <c r="M289" s="16"/>
      <c r="O289" s="18"/>
    </row>
    <row r="290" ht="15.75" customHeight="1">
      <c r="C290" s="16"/>
      <c r="D290" s="16"/>
      <c r="L290" s="17"/>
      <c r="M290" s="16"/>
      <c r="O290" s="18"/>
    </row>
    <row r="291" ht="15.75" customHeight="1">
      <c r="C291" s="16"/>
      <c r="D291" s="16"/>
      <c r="L291" s="17"/>
      <c r="M291" s="16"/>
      <c r="O291" s="18"/>
    </row>
    <row r="292" ht="15.75" customHeight="1">
      <c r="C292" s="16"/>
      <c r="D292" s="16"/>
      <c r="L292" s="17"/>
      <c r="M292" s="16"/>
      <c r="O292" s="18"/>
    </row>
    <row r="293" ht="15.75" customHeight="1">
      <c r="C293" s="16"/>
      <c r="D293" s="16"/>
      <c r="L293" s="17"/>
      <c r="M293" s="16"/>
      <c r="O293" s="18"/>
    </row>
    <row r="294" ht="15.75" customHeight="1">
      <c r="C294" s="16"/>
      <c r="D294" s="16"/>
      <c r="L294" s="17"/>
      <c r="M294" s="16"/>
      <c r="O294" s="18"/>
    </row>
    <row r="295" ht="15.75" customHeight="1">
      <c r="C295" s="16"/>
      <c r="D295" s="16"/>
      <c r="L295" s="17"/>
      <c r="M295" s="16"/>
      <c r="O295" s="18"/>
    </row>
    <row r="296" ht="15.75" customHeight="1">
      <c r="C296" s="16"/>
      <c r="D296" s="16"/>
      <c r="L296" s="17"/>
      <c r="M296" s="16"/>
      <c r="O296" s="18"/>
    </row>
    <row r="297" ht="15.75" customHeight="1">
      <c r="C297" s="16"/>
      <c r="D297" s="16"/>
      <c r="L297" s="17"/>
      <c r="M297" s="16"/>
      <c r="O297" s="18"/>
    </row>
    <row r="298" ht="15.75" customHeight="1">
      <c r="C298" s="16"/>
      <c r="D298" s="16"/>
      <c r="L298" s="17"/>
      <c r="M298" s="16"/>
      <c r="O298" s="18"/>
    </row>
    <row r="299" ht="15.75" customHeight="1">
      <c r="C299" s="16"/>
      <c r="D299" s="16"/>
      <c r="L299" s="17"/>
      <c r="M299" s="16"/>
      <c r="O299" s="18"/>
    </row>
    <row r="300" ht="15.75" customHeight="1">
      <c r="C300" s="16"/>
      <c r="D300" s="16"/>
      <c r="L300" s="17"/>
      <c r="M300" s="16"/>
      <c r="O300" s="18"/>
    </row>
    <row r="301" ht="15.75" customHeight="1">
      <c r="C301" s="16"/>
      <c r="D301" s="16"/>
      <c r="L301" s="17"/>
      <c r="M301" s="16"/>
      <c r="O301" s="18"/>
    </row>
    <row r="302" ht="15.75" customHeight="1">
      <c r="C302" s="16"/>
      <c r="D302" s="16"/>
      <c r="L302" s="17"/>
      <c r="M302" s="16"/>
      <c r="O302" s="18"/>
    </row>
    <row r="303" ht="15.75" customHeight="1">
      <c r="C303" s="16"/>
      <c r="D303" s="16"/>
      <c r="L303" s="17"/>
      <c r="M303" s="16"/>
      <c r="O303" s="18"/>
    </row>
    <row r="304" ht="15.75" customHeight="1">
      <c r="C304" s="16"/>
      <c r="D304" s="16"/>
      <c r="L304" s="17"/>
      <c r="M304" s="16"/>
      <c r="O304" s="18"/>
    </row>
    <row r="305" ht="15.75" customHeight="1">
      <c r="C305" s="16"/>
      <c r="D305" s="16"/>
      <c r="L305" s="17"/>
      <c r="M305" s="16"/>
      <c r="O305" s="18"/>
    </row>
    <row r="306" ht="15.75" customHeight="1">
      <c r="C306" s="16"/>
      <c r="D306" s="16"/>
      <c r="L306" s="17"/>
      <c r="M306" s="16"/>
      <c r="O306" s="18"/>
    </row>
    <row r="307" ht="15.75" customHeight="1">
      <c r="C307" s="16"/>
      <c r="D307" s="16"/>
      <c r="L307" s="17"/>
      <c r="M307" s="16"/>
      <c r="O307" s="18"/>
    </row>
    <row r="308" ht="15.75" customHeight="1">
      <c r="C308" s="16"/>
      <c r="D308" s="16"/>
      <c r="L308" s="17"/>
      <c r="M308" s="16"/>
      <c r="O308" s="18"/>
    </row>
    <row r="309" ht="15.75" customHeight="1">
      <c r="C309" s="16"/>
      <c r="D309" s="16"/>
      <c r="L309" s="17"/>
      <c r="M309" s="16"/>
      <c r="O309" s="18"/>
    </row>
    <row r="310" ht="15.75" customHeight="1">
      <c r="C310" s="16"/>
      <c r="D310" s="16"/>
      <c r="L310" s="17"/>
      <c r="M310" s="16"/>
      <c r="O310" s="18"/>
    </row>
    <row r="311" ht="15.75" customHeight="1">
      <c r="C311" s="16"/>
      <c r="D311" s="16"/>
      <c r="L311" s="17"/>
      <c r="M311" s="16"/>
      <c r="O311" s="18"/>
    </row>
    <row r="312" ht="15.75" customHeight="1">
      <c r="C312" s="16"/>
      <c r="D312" s="16"/>
      <c r="L312" s="17"/>
      <c r="M312" s="16"/>
      <c r="O312" s="18"/>
    </row>
    <row r="313" ht="15.75" customHeight="1">
      <c r="C313" s="16"/>
      <c r="D313" s="16"/>
      <c r="L313" s="17"/>
      <c r="M313" s="16"/>
      <c r="O313" s="18"/>
    </row>
    <row r="314" ht="15.75" customHeight="1">
      <c r="C314" s="16"/>
      <c r="D314" s="16"/>
      <c r="L314" s="17"/>
      <c r="M314" s="16"/>
      <c r="O314" s="18"/>
    </row>
    <row r="315" ht="15.75" customHeight="1">
      <c r="C315" s="16"/>
      <c r="D315" s="16"/>
      <c r="L315" s="17"/>
      <c r="M315" s="16"/>
      <c r="O315" s="18"/>
    </row>
    <row r="316" ht="15.75" customHeight="1">
      <c r="C316" s="16"/>
      <c r="D316" s="16"/>
      <c r="L316" s="17"/>
      <c r="M316" s="16"/>
      <c r="O316" s="18"/>
    </row>
    <row r="317" ht="15.75" customHeight="1">
      <c r="C317" s="16"/>
      <c r="D317" s="16"/>
      <c r="L317" s="17"/>
      <c r="M317" s="16"/>
      <c r="O317" s="18"/>
    </row>
    <row r="318" ht="15.75" customHeight="1">
      <c r="C318" s="16"/>
      <c r="D318" s="16"/>
      <c r="L318" s="17"/>
      <c r="M318" s="16"/>
      <c r="O318" s="18"/>
    </row>
    <row r="319" ht="15.75" customHeight="1">
      <c r="C319" s="16"/>
      <c r="D319" s="16"/>
      <c r="L319" s="17"/>
      <c r="M319" s="16"/>
      <c r="O319" s="18"/>
    </row>
    <row r="320" ht="15.75" customHeight="1">
      <c r="C320" s="16"/>
      <c r="D320" s="16"/>
      <c r="L320" s="17"/>
      <c r="M320" s="16"/>
      <c r="O320" s="18"/>
    </row>
    <row r="321" ht="15.75" customHeight="1">
      <c r="C321" s="16"/>
      <c r="D321" s="16"/>
      <c r="L321" s="17"/>
      <c r="M321" s="16"/>
      <c r="O321" s="18"/>
    </row>
    <row r="322" ht="15.75" customHeight="1">
      <c r="C322" s="16"/>
      <c r="D322" s="16"/>
      <c r="L322" s="17"/>
      <c r="M322" s="16"/>
      <c r="O322" s="18"/>
    </row>
    <row r="323" ht="15.75" customHeight="1">
      <c r="C323" s="16"/>
      <c r="D323" s="16"/>
      <c r="L323" s="17"/>
      <c r="M323" s="16"/>
      <c r="O323" s="18"/>
    </row>
    <row r="324" ht="15.75" customHeight="1">
      <c r="C324" s="16"/>
      <c r="D324" s="16"/>
      <c r="L324" s="17"/>
      <c r="M324" s="16"/>
      <c r="O324" s="18"/>
    </row>
    <row r="325" ht="15.75" customHeight="1">
      <c r="C325" s="16"/>
      <c r="D325" s="16"/>
      <c r="L325" s="17"/>
      <c r="M325" s="16"/>
      <c r="O325" s="18"/>
    </row>
    <row r="326" ht="15.75" customHeight="1">
      <c r="C326" s="16"/>
      <c r="D326" s="16"/>
      <c r="L326" s="17"/>
      <c r="M326" s="16"/>
      <c r="O326" s="18"/>
    </row>
    <row r="327" ht="15.75" customHeight="1">
      <c r="C327" s="16"/>
      <c r="D327" s="16"/>
      <c r="L327" s="17"/>
      <c r="M327" s="16"/>
      <c r="O327" s="18"/>
    </row>
    <row r="328" ht="15.75" customHeight="1">
      <c r="C328" s="16"/>
      <c r="D328" s="16"/>
      <c r="L328" s="17"/>
      <c r="M328" s="16"/>
      <c r="O328" s="18"/>
    </row>
    <row r="329" ht="15.75" customHeight="1">
      <c r="C329" s="16"/>
      <c r="D329" s="16"/>
      <c r="L329" s="17"/>
      <c r="M329" s="16"/>
      <c r="O329" s="18"/>
    </row>
    <row r="330" ht="15.75" customHeight="1">
      <c r="C330" s="16"/>
      <c r="D330" s="16"/>
      <c r="L330" s="17"/>
      <c r="M330" s="16"/>
      <c r="O330" s="18"/>
    </row>
    <row r="331" ht="15.75" customHeight="1">
      <c r="C331" s="16"/>
      <c r="D331" s="16"/>
      <c r="L331" s="17"/>
      <c r="M331" s="16"/>
      <c r="O331" s="18"/>
    </row>
    <row r="332" ht="15.75" customHeight="1">
      <c r="C332" s="16"/>
      <c r="D332" s="16"/>
      <c r="L332" s="17"/>
      <c r="M332" s="16"/>
      <c r="O332" s="18"/>
    </row>
    <row r="333" ht="15.75" customHeight="1">
      <c r="C333" s="16"/>
      <c r="D333" s="16"/>
      <c r="L333" s="17"/>
      <c r="M333" s="16"/>
      <c r="O333" s="18"/>
    </row>
    <row r="334" ht="15.75" customHeight="1">
      <c r="C334" s="16"/>
      <c r="D334" s="16"/>
      <c r="L334" s="17"/>
      <c r="M334" s="16"/>
      <c r="O334" s="18"/>
    </row>
    <row r="335" ht="15.75" customHeight="1">
      <c r="C335" s="16"/>
      <c r="D335" s="16"/>
      <c r="L335" s="17"/>
      <c r="M335" s="16"/>
      <c r="O335" s="18"/>
    </row>
    <row r="336" ht="15.75" customHeight="1">
      <c r="C336" s="16"/>
      <c r="D336" s="16"/>
      <c r="L336" s="17"/>
      <c r="M336" s="16"/>
      <c r="O336" s="18"/>
    </row>
    <row r="337" ht="15.75" customHeight="1">
      <c r="C337" s="16"/>
      <c r="D337" s="16"/>
      <c r="L337" s="17"/>
      <c r="M337" s="16"/>
      <c r="O337" s="18"/>
    </row>
    <row r="338" ht="15.75" customHeight="1">
      <c r="C338" s="16"/>
      <c r="D338" s="16"/>
      <c r="L338" s="17"/>
      <c r="M338" s="16"/>
      <c r="O338" s="18"/>
    </row>
    <row r="339" ht="15.75" customHeight="1">
      <c r="C339" s="16"/>
      <c r="D339" s="16"/>
      <c r="L339" s="17"/>
      <c r="M339" s="16"/>
      <c r="O339" s="18"/>
    </row>
    <row r="340" ht="15.75" customHeight="1">
      <c r="C340" s="16"/>
      <c r="D340" s="16"/>
      <c r="L340" s="17"/>
      <c r="M340" s="16"/>
      <c r="O340" s="18"/>
    </row>
    <row r="341" ht="15.75" customHeight="1">
      <c r="C341" s="16"/>
      <c r="D341" s="16"/>
      <c r="L341" s="17"/>
      <c r="M341" s="16"/>
      <c r="O341" s="18"/>
    </row>
    <row r="342" ht="15.75" customHeight="1">
      <c r="C342" s="16"/>
      <c r="D342" s="16"/>
      <c r="L342" s="17"/>
      <c r="M342" s="16"/>
      <c r="O342" s="18"/>
    </row>
    <row r="343" ht="15.75" customHeight="1">
      <c r="C343" s="16"/>
      <c r="D343" s="16"/>
      <c r="L343" s="17"/>
      <c r="M343" s="16"/>
      <c r="O343" s="18"/>
    </row>
    <row r="344" ht="15.75" customHeight="1">
      <c r="C344" s="16"/>
      <c r="D344" s="16"/>
      <c r="L344" s="17"/>
      <c r="M344" s="16"/>
      <c r="O344" s="18"/>
    </row>
    <row r="345" ht="15.75" customHeight="1">
      <c r="C345" s="16"/>
      <c r="D345" s="16"/>
      <c r="L345" s="17"/>
      <c r="M345" s="16"/>
      <c r="O345" s="18"/>
    </row>
    <row r="346" ht="15.75" customHeight="1">
      <c r="C346" s="16"/>
      <c r="D346" s="16"/>
      <c r="L346" s="17"/>
      <c r="M346" s="16"/>
      <c r="O346" s="18"/>
    </row>
    <row r="347" ht="15.75" customHeight="1">
      <c r="C347" s="16"/>
      <c r="D347" s="16"/>
      <c r="L347" s="17"/>
      <c r="M347" s="16"/>
      <c r="O347" s="18"/>
    </row>
    <row r="348" ht="15.75" customHeight="1">
      <c r="C348" s="16"/>
      <c r="D348" s="16"/>
      <c r="L348" s="17"/>
      <c r="M348" s="16"/>
      <c r="O348" s="18"/>
    </row>
    <row r="349" ht="15.75" customHeight="1">
      <c r="C349" s="16"/>
      <c r="D349" s="16"/>
      <c r="L349" s="17"/>
      <c r="M349" s="16"/>
      <c r="O349" s="18"/>
    </row>
    <row r="350" ht="15.75" customHeight="1">
      <c r="C350" s="16"/>
      <c r="D350" s="16"/>
      <c r="L350" s="17"/>
      <c r="M350" s="16"/>
      <c r="O350" s="18"/>
    </row>
    <row r="351" ht="15.75" customHeight="1">
      <c r="C351" s="16"/>
      <c r="D351" s="16"/>
      <c r="L351" s="17"/>
      <c r="M351" s="16"/>
      <c r="O351" s="18"/>
    </row>
    <row r="352" ht="15.75" customHeight="1">
      <c r="C352" s="16"/>
      <c r="D352" s="16"/>
      <c r="L352" s="17"/>
      <c r="M352" s="16"/>
      <c r="O352" s="18"/>
    </row>
    <row r="353" ht="15.75" customHeight="1">
      <c r="C353" s="16"/>
      <c r="D353" s="16"/>
      <c r="L353" s="17"/>
      <c r="M353" s="16"/>
      <c r="O353" s="18"/>
    </row>
    <row r="354" ht="15.75" customHeight="1">
      <c r="C354" s="16"/>
      <c r="D354" s="16"/>
      <c r="L354" s="17"/>
      <c r="M354" s="16"/>
      <c r="O354" s="18"/>
    </row>
    <row r="355" ht="15.75" customHeight="1">
      <c r="C355" s="16"/>
      <c r="D355" s="16"/>
      <c r="L355" s="17"/>
      <c r="M355" s="16"/>
      <c r="O355" s="18"/>
    </row>
    <row r="356" ht="15.75" customHeight="1">
      <c r="C356" s="16"/>
      <c r="D356" s="16"/>
      <c r="L356" s="17"/>
      <c r="M356" s="16"/>
      <c r="O356" s="18"/>
    </row>
    <row r="357" ht="15.75" customHeight="1">
      <c r="C357" s="16"/>
      <c r="D357" s="16"/>
      <c r="L357" s="17"/>
      <c r="M357" s="16"/>
      <c r="O357" s="18"/>
    </row>
    <row r="358" ht="15.75" customHeight="1">
      <c r="C358" s="16"/>
      <c r="D358" s="16"/>
      <c r="L358" s="17"/>
      <c r="M358" s="16"/>
      <c r="O358" s="18"/>
    </row>
    <row r="359" ht="15.75" customHeight="1">
      <c r="C359" s="16"/>
      <c r="D359" s="16"/>
      <c r="L359" s="17"/>
      <c r="M359" s="16"/>
      <c r="O359" s="18"/>
    </row>
    <row r="360" ht="15.75" customHeight="1">
      <c r="C360" s="16"/>
      <c r="D360" s="16"/>
      <c r="L360" s="17"/>
      <c r="M360" s="16"/>
      <c r="O360" s="18"/>
    </row>
    <row r="361" ht="15.75" customHeight="1">
      <c r="C361" s="16"/>
      <c r="D361" s="16"/>
      <c r="L361" s="17"/>
      <c r="M361" s="16"/>
      <c r="O361" s="18"/>
    </row>
    <row r="362" ht="15.75" customHeight="1">
      <c r="C362" s="16"/>
      <c r="D362" s="16"/>
      <c r="L362" s="17"/>
      <c r="M362" s="16"/>
      <c r="O362" s="18"/>
    </row>
    <row r="363" ht="15.75" customHeight="1">
      <c r="C363" s="16"/>
      <c r="D363" s="16"/>
      <c r="L363" s="17"/>
      <c r="M363" s="16"/>
      <c r="O363" s="18"/>
    </row>
    <row r="364" ht="15.75" customHeight="1">
      <c r="C364" s="16"/>
      <c r="D364" s="16"/>
      <c r="L364" s="17"/>
      <c r="M364" s="16"/>
      <c r="O364" s="18"/>
    </row>
    <row r="365" ht="15.75" customHeight="1">
      <c r="C365" s="16"/>
      <c r="D365" s="16"/>
      <c r="L365" s="17"/>
      <c r="M365" s="16"/>
      <c r="O365" s="18"/>
    </row>
    <row r="366" ht="15.75" customHeight="1">
      <c r="C366" s="16"/>
      <c r="D366" s="16"/>
      <c r="L366" s="17"/>
      <c r="M366" s="16"/>
      <c r="O366" s="18"/>
    </row>
    <row r="367" ht="15.75" customHeight="1">
      <c r="C367" s="16"/>
      <c r="D367" s="16"/>
      <c r="L367" s="17"/>
      <c r="M367" s="16"/>
      <c r="O367" s="18"/>
    </row>
    <row r="368" ht="15.75" customHeight="1">
      <c r="C368" s="16"/>
      <c r="D368" s="16"/>
      <c r="L368" s="17"/>
      <c r="M368" s="16"/>
      <c r="O368" s="18"/>
    </row>
    <row r="369" ht="15.75" customHeight="1">
      <c r="C369" s="16"/>
      <c r="D369" s="16"/>
      <c r="L369" s="17"/>
      <c r="M369" s="16"/>
      <c r="O369" s="18"/>
    </row>
    <row r="370" ht="15.75" customHeight="1">
      <c r="C370" s="16"/>
      <c r="D370" s="16"/>
      <c r="L370" s="17"/>
      <c r="M370" s="16"/>
      <c r="O370" s="18"/>
    </row>
    <row r="371" ht="15.75" customHeight="1">
      <c r="C371" s="16"/>
      <c r="D371" s="16"/>
      <c r="L371" s="17"/>
      <c r="M371" s="16"/>
      <c r="O371" s="18"/>
    </row>
    <row r="372" ht="15.75" customHeight="1">
      <c r="C372" s="16"/>
      <c r="D372" s="16"/>
      <c r="L372" s="17"/>
      <c r="M372" s="16"/>
      <c r="O372" s="18"/>
    </row>
    <row r="373" ht="15.75" customHeight="1">
      <c r="C373" s="16"/>
      <c r="D373" s="16"/>
      <c r="L373" s="17"/>
      <c r="M373" s="16"/>
      <c r="O373" s="18"/>
    </row>
    <row r="374" ht="15.75" customHeight="1">
      <c r="C374" s="16"/>
      <c r="D374" s="16"/>
      <c r="L374" s="17"/>
      <c r="M374" s="16"/>
      <c r="O374" s="18"/>
    </row>
    <row r="375" ht="15.75" customHeight="1">
      <c r="C375" s="16"/>
      <c r="D375" s="16"/>
      <c r="L375" s="17"/>
      <c r="M375" s="16"/>
      <c r="O375" s="18"/>
    </row>
    <row r="376" ht="15.75" customHeight="1">
      <c r="C376" s="16"/>
      <c r="D376" s="16"/>
      <c r="L376" s="17"/>
      <c r="M376" s="16"/>
      <c r="O376" s="18"/>
    </row>
    <row r="377" ht="15.75" customHeight="1">
      <c r="C377" s="16"/>
      <c r="D377" s="16"/>
      <c r="L377" s="17"/>
      <c r="M377" s="16"/>
      <c r="O377" s="18"/>
    </row>
    <row r="378" ht="15.75" customHeight="1">
      <c r="C378" s="16"/>
      <c r="D378" s="16"/>
      <c r="L378" s="17"/>
      <c r="M378" s="16"/>
      <c r="O378" s="18"/>
    </row>
    <row r="379" ht="15.75" customHeight="1">
      <c r="C379" s="16"/>
      <c r="D379" s="16"/>
      <c r="L379" s="17"/>
      <c r="M379" s="16"/>
      <c r="O379" s="18"/>
    </row>
    <row r="380" ht="15.75" customHeight="1">
      <c r="C380" s="16"/>
      <c r="D380" s="16"/>
      <c r="L380" s="17"/>
      <c r="M380" s="16"/>
      <c r="O380" s="18"/>
    </row>
    <row r="381" ht="15.75" customHeight="1">
      <c r="C381" s="16"/>
      <c r="D381" s="16"/>
      <c r="L381" s="17"/>
      <c r="M381" s="16"/>
      <c r="O381" s="18"/>
    </row>
    <row r="382" ht="15.75" customHeight="1">
      <c r="C382" s="16"/>
      <c r="D382" s="16"/>
      <c r="L382" s="17"/>
      <c r="M382" s="16"/>
      <c r="O382" s="18"/>
    </row>
    <row r="383" ht="15.75" customHeight="1">
      <c r="C383" s="16"/>
      <c r="D383" s="16"/>
      <c r="L383" s="17"/>
      <c r="M383" s="16"/>
      <c r="O383" s="18"/>
    </row>
    <row r="384" ht="15.75" customHeight="1">
      <c r="C384" s="16"/>
      <c r="D384" s="16"/>
      <c r="L384" s="17"/>
      <c r="M384" s="16"/>
      <c r="O384" s="18"/>
    </row>
    <row r="385" ht="15.75" customHeight="1">
      <c r="C385" s="16"/>
      <c r="D385" s="16"/>
      <c r="L385" s="17"/>
      <c r="M385" s="16"/>
      <c r="O385" s="18"/>
    </row>
    <row r="386" ht="15.75" customHeight="1">
      <c r="C386" s="16"/>
      <c r="D386" s="16"/>
      <c r="L386" s="17"/>
      <c r="M386" s="16"/>
      <c r="O386" s="18"/>
    </row>
    <row r="387" ht="15.75" customHeight="1">
      <c r="C387" s="16"/>
      <c r="D387" s="16"/>
      <c r="L387" s="17"/>
      <c r="M387" s="16"/>
      <c r="O387" s="18"/>
    </row>
    <row r="388" ht="15.75" customHeight="1">
      <c r="C388" s="16"/>
      <c r="D388" s="16"/>
      <c r="L388" s="17"/>
      <c r="M388" s="16"/>
      <c r="O388" s="18"/>
    </row>
    <row r="389" ht="15.75" customHeight="1">
      <c r="C389" s="16"/>
      <c r="D389" s="16"/>
      <c r="L389" s="17"/>
      <c r="M389" s="16"/>
      <c r="O389" s="18"/>
    </row>
    <row r="390" ht="15.75" customHeight="1">
      <c r="C390" s="16"/>
      <c r="D390" s="16"/>
      <c r="L390" s="17"/>
      <c r="M390" s="16"/>
      <c r="O390" s="18"/>
    </row>
    <row r="391" ht="15.75" customHeight="1">
      <c r="C391" s="16"/>
      <c r="D391" s="16"/>
      <c r="L391" s="17"/>
      <c r="M391" s="16"/>
      <c r="O391" s="18"/>
    </row>
    <row r="392" ht="15.75" customHeight="1">
      <c r="C392" s="16"/>
      <c r="D392" s="16"/>
      <c r="L392" s="17"/>
      <c r="M392" s="16"/>
      <c r="O392" s="18"/>
    </row>
    <row r="393" ht="15.75" customHeight="1">
      <c r="C393" s="16"/>
      <c r="D393" s="16"/>
      <c r="L393" s="17"/>
      <c r="M393" s="16"/>
      <c r="O393" s="18"/>
    </row>
    <row r="394" ht="15.75" customHeight="1">
      <c r="C394" s="16"/>
      <c r="D394" s="16"/>
      <c r="L394" s="17"/>
      <c r="M394" s="16"/>
      <c r="O394" s="18"/>
    </row>
    <row r="395" ht="15.75" customHeight="1">
      <c r="C395" s="16"/>
      <c r="D395" s="16"/>
      <c r="L395" s="17"/>
      <c r="M395" s="16"/>
      <c r="O395" s="18"/>
    </row>
    <row r="396" ht="15.75" customHeight="1">
      <c r="C396" s="16"/>
      <c r="D396" s="16"/>
      <c r="L396" s="17"/>
      <c r="M396" s="16"/>
      <c r="O396" s="18"/>
    </row>
    <row r="397" ht="15.75" customHeight="1">
      <c r="C397" s="16"/>
      <c r="D397" s="16"/>
      <c r="L397" s="17"/>
      <c r="M397" s="16"/>
      <c r="O397" s="18"/>
    </row>
    <row r="398" ht="15.75" customHeight="1">
      <c r="C398" s="16"/>
      <c r="D398" s="16"/>
      <c r="L398" s="17"/>
      <c r="M398" s="16"/>
      <c r="O398" s="18"/>
    </row>
    <row r="399" ht="15.75" customHeight="1">
      <c r="C399" s="16"/>
      <c r="D399" s="16"/>
      <c r="L399" s="17"/>
      <c r="M399" s="16"/>
      <c r="O399" s="18"/>
    </row>
    <row r="400" ht="15.75" customHeight="1">
      <c r="C400" s="16"/>
      <c r="D400" s="16"/>
      <c r="L400" s="17"/>
      <c r="M400" s="16"/>
      <c r="O400" s="18"/>
    </row>
    <row r="401" ht="15.75" customHeight="1">
      <c r="C401" s="16"/>
      <c r="D401" s="16"/>
      <c r="L401" s="17"/>
      <c r="M401" s="16"/>
      <c r="O401" s="18"/>
    </row>
    <row r="402" ht="15.75" customHeight="1">
      <c r="C402" s="16"/>
      <c r="D402" s="16"/>
      <c r="L402" s="17"/>
      <c r="M402" s="16"/>
      <c r="O402" s="18"/>
    </row>
    <row r="403" ht="15.75" customHeight="1">
      <c r="C403" s="16"/>
      <c r="D403" s="16"/>
      <c r="L403" s="17"/>
      <c r="M403" s="16"/>
      <c r="O403" s="18"/>
    </row>
    <row r="404" ht="15.75" customHeight="1">
      <c r="C404" s="16"/>
      <c r="D404" s="16"/>
      <c r="L404" s="17"/>
      <c r="M404" s="16"/>
      <c r="O404" s="18"/>
    </row>
    <row r="405" ht="15.75" customHeight="1">
      <c r="C405" s="16"/>
      <c r="D405" s="16"/>
      <c r="L405" s="17"/>
      <c r="M405" s="16"/>
      <c r="O405" s="18"/>
    </row>
    <row r="406" ht="15.75" customHeight="1">
      <c r="C406" s="16"/>
      <c r="D406" s="16"/>
      <c r="L406" s="17"/>
      <c r="M406" s="16"/>
      <c r="O406" s="18"/>
    </row>
    <row r="407" ht="15.75" customHeight="1">
      <c r="C407" s="16"/>
      <c r="D407" s="16"/>
      <c r="L407" s="17"/>
      <c r="M407" s="16"/>
      <c r="O407" s="18"/>
    </row>
    <row r="408" ht="15.75" customHeight="1">
      <c r="C408" s="16"/>
      <c r="D408" s="16"/>
      <c r="L408" s="17"/>
      <c r="M408" s="16"/>
      <c r="O408" s="18"/>
    </row>
    <row r="409" ht="15.75" customHeight="1">
      <c r="C409" s="16"/>
      <c r="D409" s="16"/>
      <c r="L409" s="17"/>
      <c r="M409" s="16"/>
      <c r="O409" s="18"/>
    </row>
    <row r="410" ht="15.75" customHeight="1">
      <c r="C410" s="16"/>
      <c r="D410" s="16"/>
      <c r="L410" s="17"/>
      <c r="M410" s="16"/>
      <c r="O410" s="18"/>
    </row>
    <row r="411" ht="15.75" customHeight="1">
      <c r="C411" s="16"/>
      <c r="D411" s="16"/>
      <c r="L411" s="17"/>
      <c r="M411" s="16"/>
      <c r="O411" s="18"/>
    </row>
    <row r="412" ht="15.75" customHeight="1">
      <c r="C412" s="16"/>
      <c r="D412" s="16"/>
      <c r="L412" s="17"/>
      <c r="M412" s="16"/>
      <c r="O412" s="18"/>
    </row>
    <row r="413" ht="15.75" customHeight="1">
      <c r="C413" s="16"/>
      <c r="D413" s="16"/>
      <c r="L413" s="17"/>
      <c r="M413" s="16"/>
      <c r="O413" s="18"/>
    </row>
    <row r="414" ht="15.75" customHeight="1">
      <c r="C414" s="16"/>
      <c r="D414" s="16"/>
      <c r="L414" s="17"/>
      <c r="M414" s="16"/>
      <c r="O414" s="18"/>
    </row>
    <row r="415" ht="15.75" customHeight="1">
      <c r="C415" s="16"/>
      <c r="D415" s="16"/>
      <c r="L415" s="17"/>
      <c r="M415" s="16"/>
      <c r="O415" s="18"/>
    </row>
    <row r="416" ht="15.75" customHeight="1">
      <c r="C416" s="16"/>
      <c r="D416" s="16"/>
      <c r="L416" s="17"/>
      <c r="M416" s="16"/>
      <c r="O416" s="18"/>
    </row>
    <row r="417" ht="15.75" customHeight="1">
      <c r="C417" s="16"/>
      <c r="D417" s="16"/>
      <c r="L417" s="17"/>
      <c r="M417" s="16"/>
      <c r="O417" s="18"/>
    </row>
    <row r="418" ht="15.75" customHeight="1">
      <c r="C418" s="16"/>
      <c r="D418" s="16"/>
      <c r="L418" s="17"/>
      <c r="M418" s="16"/>
      <c r="O418" s="18"/>
    </row>
    <row r="419" ht="15.75" customHeight="1">
      <c r="C419" s="16"/>
      <c r="D419" s="16"/>
      <c r="L419" s="17"/>
      <c r="M419" s="16"/>
      <c r="O419" s="18"/>
    </row>
    <row r="420" ht="15.75" customHeight="1">
      <c r="C420" s="16"/>
      <c r="D420" s="16"/>
      <c r="L420" s="17"/>
      <c r="M420" s="16"/>
      <c r="O420" s="18"/>
    </row>
    <row r="421" ht="15.75" customHeight="1">
      <c r="C421" s="16"/>
      <c r="D421" s="16"/>
      <c r="L421" s="17"/>
      <c r="M421" s="16"/>
      <c r="O421" s="18"/>
    </row>
    <row r="422" ht="15.75" customHeight="1">
      <c r="C422" s="16"/>
      <c r="D422" s="16"/>
      <c r="L422" s="17"/>
      <c r="M422" s="16"/>
      <c r="O422" s="18"/>
    </row>
    <row r="423" ht="15.75" customHeight="1">
      <c r="C423" s="16"/>
      <c r="D423" s="16"/>
      <c r="L423" s="17"/>
      <c r="M423" s="16"/>
      <c r="O423" s="18"/>
    </row>
    <row r="424" ht="15.75" customHeight="1">
      <c r="C424" s="16"/>
      <c r="D424" s="16"/>
      <c r="L424" s="17"/>
      <c r="M424" s="16"/>
      <c r="O424" s="18"/>
    </row>
    <row r="425" ht="15.75" customHeight="1">
      <c r="C425" s="16"/>
      <c r="D425" s="16"/>
      <c r="L425" s="17"/>
      <c r="M425" s="16"/>
      <c r="O425" s="18"/>
    </row>
    <row r="426" ht="15.75" customHeight="1">
      <c r="C426" s="16"/>
      <c r="D426" s="16"/>
      <c r="L426" s="17"/>
      <c r="M426" s="16"/>
      <c r="O426" s="18"/>
    </row>
    <row r="427" ht="15.75" customHeight="1">
      <c r="C427" s="16"/>
      <c r="D427" s="16"/>
      <c r="L427" s="17"/>
      <c r="M427" s="16"/>
      <c r="O427" s="18"/>
    </row>
    <row r="428" ht="15.75" customHeight="1">
      <c r="C428" s="16"/>
      <c r="D428" s="16"/>
      <c r="L428" s="17"/>
      <c r="M428" s="16"/>
      <c r="O428" s="18"/>
    </row>
    <row r="429" ht="15.75" customHeight="1">
      <c r="C429" s="16"/>
      <c r="D429" s="16"/>
      <c r="L429" s="17"/>
      <c r="M429" s="16"/>
      <c r="O429" s="18"/>
    </row>
    <row r="430" ht="15.75" customHeight="1">
      <c r="C430" s="16"/>
      <c r="D430" s="16"/>
      <c r="L430" s="17"/>
      <c r="M430" s="16"/>
      <c r="O430" s="18"/>
    </row>
    <row r="431" ht="15.75" customHeight="1">
      <c r="C431" s="16"/>
      <c r="D431" s="16"/>
      <c r="L431" s="17"/>
      <c r="M431" s="16"/>
      <c r="O431" s="18"/>
    </row>
    <row r="432" ht="15.75" customHeight="1">
      <c r="C432" s="16"/>
      <c r="D432" s="16"/>
      <c r="L432" s="17"/>
      <c r="M432" s="16"/>
      <c r="O432" s="18"/>
    </row>
    <row r="433" ht="15.75" customHeight="1">
      <c r="C433" s="16"/>
      <c r="D433" s="16"/>
      <c r="L433" s="17"/>
      <c r="M433" s="16"/>
      <c r="O433" s="18"/>
    </row>
    <row r="434" ht="15.75" customHeight="1">
      <c r="C434" s="16"/>
      <c r="D434" s="16"/>
      <c r="L434" s="17"/>
      <c r="M434" s="16"/>
      <c r="O434" s="18"/>
    </row>
    <row r="435" ht="15.75" customHeight="1">
      <c r="C435" s="16"/>
      <c r="D435" s="16"/>
      <c r="L435" s="17"/>
      <c r="M435" s="16"/>
      <c r="O435" s="18"/>
    </row>
    <row r="436" ht="15.75" customHeight="1">
      <c r="C436" s="16"/>
      <c r="D436" s="16"/>
      <c r="L436" s="17"/>
      <c r="M436" s="16"/>
      <c r="O436" s="18"/>
    </row>
    <row r="437" ht="15.75" customHeight="1">
      <c r="C437" s="16"/>
      <c r="D437" s="16"/>
      <c r="L437" s="17"/>
      <c r="M437" s="16"/>
      <c r="O437" s="18"/>
    </row>
    <row r="438" ht="15.75" customHeight="1">
      <c r="C438" s="16"/>
      <c r="D438" s="16"/>
      <c r="L438" s="17"/>
      <c r="M438" s="16"/>
      <c r="O438" s="18"/>
    </row>
    <row r="439" ht="15.75" customHeight="1">
      <c r="C439" s="16"/>
      <c r="D439" s="16"/>
      <c r="L439" s="17"/>
      <c r="M439" s="16"/>
      <c r="O439" s="18"/>
    </row>
    <row r="440" ht="15.75" customHeight="1">
      <c r="C440" s="16"/>
      <c r="D440" s="16"/>
      <c r="L440" s="17"/>
      <c r="M440" s="16"/>
      <c r="O440" s="18"/>
    </row>
    <row r="441" ht="15.75" customHeight="1">
      <c r="C441" s="16"/>
      <c r="D441" s="16"/>
      <c r="L441" s="17"/>
      <c r="M441" s="16"/>
      <c r="O441" s="18"/>
    </row>
    <row r="442" ht="15.75" customHeight="1">
      <c r="C442" s="16"/>
      <c r="D442" s="16"/>
      <c r="L442" s="17"/>
      <c r="M442" s="16"/>
      <c r="O442" s="18"/>
    </row>
    <row r="443" ht="15.75" customHeight="1">
      <c r="C443" s="16"/>
      <c r="D443" s="16"/>
      <c r="L443" s="17"/>
      <c r="M443" s="16"/>
      <c r="O443" s="18"/>
    </row>
    <row r="444" ht="15.75" customHeight="1">
      <c r="C444" s="16"/>
      <c r="D444" s="16"/>
      <c r="L444" s="17"/>
      <c r="M444" s="16"/>
      <c r="O444" s="18"/>
    </row>
    <row r="445" ht="15.75" customHeight="1">
      <c r="C445" s="16"/>
      <c r="D445" s="16"/>
      <c r="L445" s="17"/>
      <c r="M445" s="16"/>
      <c r="O445" s="18"/>
    </row>
    <row r="446" ht="15.75" customHeight="1">
      <c r="C446" s="16"/>
      <c r="D446" s="16"/>
      <c r="L446" s="17"/>
      <c r="M446" s="16"/>
      <c r="O446" s="18"/>
    </row>
    <row r="447" ht="15.75" customHeight="1">
      <c r="C447" s="16"/>
      <c r="D447" s="16"/>
      <c r="L447" s="17"/>
      <c r="M447" s="16"/>
      <c r="O447" s="18"/>
    </row>
    <row r="448" ht="15.75" customHeight="1">
      <c r="C448" s="16"/>
      <c r="D448" s="16"/>
      <c r="L448" s="17"/>
      <c r="M448" s="16"/>
      <c r="O448" s="18"/>
    </row>
    <row r="449" ht="15.75" customHeight="1">
      <c r="C449" s="16"/>
      <c r="D449" s="16"/>
      <c r="L449" s="17"/>
      <c r="M449" s="16"/>
      <c r="O449" s="18"/>
    </row>
    <row r="450" ht="15.75" customHeight="1">
      <c r="C450" s="16"/>
      <c r="D450" s="16"/>
      <c r="L450" s="17"/>
      <c r="M450" s="16"/>
      <c r="O450" s="18"/>
    </row>
    <row r="451" ht="15.75" customHeight="1">
      <c r="C451" s="16"/>
      <c r="D451" s="16"/>
      <c r="L451" s="17"/>
      <c r="M451" s="16"/>
      <c r="O451" s="18"/>
    </row>
    <row r="452" ht="15.75" customHeight="1">
      <c r="C452" s="16"/>
      <c r="D452" s="16"/>
      <c r="L452" s="17"/>
      <c r="M452" s="16"/>
      <c r="O452" s="18"/>
    </row>
    <row r="453" ht="15.75" customHeight="1">
      <c r="C453" s="16"/>
      <c r="D453" s="16"/>
      <c r="L453" s="17"/>
      <c r="M453" s="16"/>
      <c r="O453" s="18"/>
    </row>
    <row r="454" ht="15.75" customHeight="1">
      <c r="C454" s="16"/>
      <c r="D454" s="16"/>
      <c r="L454" s="17"/>
      <c r="M454" s="16"/>
      <c r="O454" s="18"/>
    </row>
    <row r="455" ht="15.75" customHeight="1">
      <c r="C455" s="16"/>
      <c r="D455" s="16"/>
      <c r="L455" s="17"/>
      <c r="M455" s="16"/>
      <c r="O455" s="18"/>
    </row>
    <row r="456" ht="15.75" customHeight="1">
      <c r="C456" s="16"/>
      <c r="D456" s="16"/>
      <c r="L456" s="17"/>
      <c r="M456" s="16"/>
      <c r="O456" s="18"/>
    </row>
    <row r="457" ht="15.75" customHeight="1">
      <c r="C457" s="16"/>
      <c r="D457" s="16"/>
      <c r="L457" s="17"/>
      <c r="M457" s="16"/>
      <c r="O457" s="18"/>
    </row>
    <row r="458" ht="15.75" customHeight="1">
      <c r="C458" s="16"/>
      <c r="D458" s="16"/>
      <c r="L458" s="17"/>
      <c r="M458" s="16"/>
      <c r="O458" s="18"/>
    </row>
    <row r="459" ht="15.75" customHeight="1">
      <c r="C459" s="16"/>
      <c r="D459" s="16"/>
      <c r="L459" s="17"/>
      <c r="M459" s="16"/>
      <c r="O459" s="18"/>
    </row>
    <row r="460" ht="15.75" customHeight="1">
      <c r="C460" s="16"/>
      <c r="D460" s="16"/>
      <c r="L460" s="17"/>
      <c r="M460" s="16"/>
      <c r="O460" s="18"/>
    </row>
    <row r="461" ht="15.75" customHeight="1">
      <c r="C461" s="16"/>
      <c r="D461" s="16"/>
      <c r="L461" s="17"/>
      <c r="M461" s="16"/>
      <c r="O461" s="18"/>
    </row>
    <row r="462" ht="15.75" customHeight="1">
      <c r="C462" s="16"/>
      <c r="D462" s="16"/>
      <c r="L462" s="17"/>
      <c r="M462" s="16"/>
      <c r="O462" s="18"/>
    </row>
    <row r="463" ht="15.75" customHeight="1">
      <c r="C463" s="16"/>
      <c r="D463" s="16"/>
      <c r="L463" s="17"/>
      <c r="M463" s="16"/>
      <c r="O463" s="18"/>
    </row>
    <row r="464" ht="15.75" customHeight="1">
      <c r="C464" s="16"/>
      <c r="D464" s="16"/>
      <c r="L464" s="17"/>
      <c r="M464" s="16"/>
      <c r="O464" s="18"/>
    </row>
    <row r="465" ht="15.75" customHeight="1">
      <c r="C465" s="16"/>
      <c r="D465" s="16"/>
      <c r="L465" s="17"/>
      <c r="M465" s="16"/>
      <c r="O465" s="18"/>
    </row>
    <row r="466" ht="15.75" customHeight="1">
      <c r="C466" s="16"/>
      <c r="D466" s="16"/>
      <c r="L466" s="17"/>
      <c r="M466" s="16"/>
      <c r="O466" s="18"/>
    </row>
    <row r="467" ht="15.75" customHeight="1">
      <c r="C467" s="16"/>
      <c r="D467" s="16"/>
      <c r="L467" s="17"/>
      <c r="M467" s="16"/>
      <c r="O467" s="18"/>
    </row>
    <row r="468" ht="15.75" customHeight="1">
      <c r="C468" s="16"/>
      <c r="D468" s="16"/>
      <c r="L468" s="17"/>
      <c r="M468" s="16"/>
      <c r="O468" s="18"/>
    </row>
    <row r="469" ht="15.75" customHeight="1">
      <c r="C469" s="16"/>
      <c r="D469" s="16"/>
      <c r="L469" s="17"/>
      <c r="M469" s="16"/>
      <c r="O469" s="18"/>
    </row>
    <row r="470" ht="15.75" customHeight="1">
      <c r="C470" s="16"/>
      <c r="D470" s="16"/>
      <c r="L470" s="17"/>
      <c r="M470" s="16"/>
      <c r="O470" s="18"/>
    </row>
    <row r="471" ht="15.75" customHeight="1">
      <c r="C471" s="16"/>
      <c r="D471" s="16"/>
      <c r="L471" s="17"/>
      <c r="M471" s="16"/>
      <c r="O471" s="18"/>
    </row>
    <row r="472" ht="15.75" customHeight="1">
      <c r="C472" s="16"/>
      <c r="D472" s="16"/>
      <c r="L472" s="17"/>
      <c r="M472" s="16"/>
      <c r="O472" s="18"/>
    </row>
    <row r="473" ht="15.75" customHeight="1">
      <c r="C473" s="16"/>
      <c r="D473" s="16"/>
      <c r="L473" s="17"/>
      <c r="M473" s="16"/>
      <c r="O473" s="18"/>
    </row>
    <row r="474" ht="15.75" customHeight="1">
      <c r="C474" s="16"/>
      <c r="D474" s="16"/>
      <c r="L474" s="17"/>
      <c r="M474" s="16"/>
      <c r="O474" s="18"/>
    </row>
    <row r="475" ht="15.75" customHeight="1">
      <c r="C475" s="16"/>
      <c r="D475" s="16"/>
      <c r="L475" s="17"/>
      <c r="M475" s="16"/>
      <c r="O475" s="18"/>
    </row>
    <row r="476" ht="15.75" customHeight="1">
      <c r="C476" s="16"/>
      <c r="D476" s="16"/>
      <c r="L476" s="17"/>
      <c r="M476" s="16"/>
      <c r="O476" s="18"/>
    </row>
    <row r="477" ht="15.75" customHeight="1">
      <c r="C477" s="16"/>
      <c r="D477" s="16"/>
      <c r="L477" s="17"/>
      <c r="M477" s="16"/>
      <c r="O477" s="18"/>
    </row>
    <row r="478" ht="15.75" customHeight="1">
      <c r="C478" s="16"/>
      <c r="D478" s="16"/>
      <c r="L478" s="17"/>
      <c r="M478" s="16"/>
      <c r="O478" s="18"/>
    </row>
    <row r="479" ht="15.75" customHeight="1">
      <c r="C479" s="16"/>
      <c r="D479" s="16"/>
      <c r="L479" s="17"/>
      <c r="M479" s="16"/>
      <c r="O479" s="18"/>
    </row>
    <row r="480" ht="15.75" customHeight="1">
      <c r="C480" s="16"/>
      <c r="D480" s="16"/>
      <c r="L480" s="17"/>
      <c r="M480" s="16"/>
      <c r="O480" s="18"/>
    </row>
    <row r="481" ht="15.75" customHeight="1">
      <c r="C481" s="16"/>
      <c r="D481" s="16"/>
      <c r="L481" s="17"/>
      <c r="M481" s="16"/>
      <c r="O481" s="18"/>
    </row>
    <row r="482" ht="15.75" customHeight="1">
      <c r="C482" s="16"/>
      <c r="D482" s="16"/>
      <c r="L482" s="17"/>
      <c r="M482" s="16"/>
      <c r="O482" s="18"/>
    </row>
    <row r="483" ht="15.75" customHeight="1">
      <c r="C483" s="16"/>
      <c r="D483" s="16"/>
      <c r="L483" s="17"/>
      <c r="M483" s="16"/>
      <c r="O483" s="18"/>
    </row>
    <row r="484" ht="15.75" customHeight="1">
      <c r="C484" s="16"/>
      <c r="D484" s="16"/>
      <c r="L484" s="17"/>
      <c r="M484" s="16"/>
      <c r="O484" s="18"/>
    </row>
    <row r="485" ht="15.75" customHeight="1">
      <c r="C485" s="16"/>
      <c r="D485" s="16"/>
      <c r="L485" s="17"/>
      <c r="M485" s="16"/>
      <c r="O485" s="18"/>
    </row>
    <row r="486" ht="15.75" customHeight="1">
      <c r="C486" s="16"/>
      <c r="D486" s="16"/>
      <c r="L486" s="17"/>
      <c r="M486" s="16"/>
      <c r="O486" s="18"/>
    </row>
    <row r="487" ht="15.75" customHeight="1">
      <c r="C487" s="16"/>
      <c r="D487" s="16"/>
      <c r="L487" s="17"/>
      <c r="M487" s="16"/>
      <c r="O487" s="18"/>
    </row>
    <row r="488" ht="15.75" customHeight="1">
      <c r="C488" s="16"/>
      <c r="D488" s="16"/>
      <c r="L488" s="17"/>
      <c r="M488" s="16"/>
      <c r="O488" s="18"/>
    </row>
    <row r="489" ht="15.75" customHeight="1">
      <c r="C489" s="16"/>
      <c r="D489" s="16"/>
      <c r="L489" s="17"/>
      <c r="M489" s="16"/>
      <c r="O489" s="18"/>
    </row>
    <row r="490" ht="15.75" customHeight="1">
      <c r="C490" s="16"/>
      <c r="D490" s="16"/>
      <c r="L490" s="17"/>
      <c r="M490" s="16"/>
      <c r="O490" s="18"/>
    </row>
    <row r="491" ht="15.75" customHeight="1">
      <c r="C491" s="16"/>
      <c r="D491" s="16"/>
      <c r="L491" s="17"/>
      <c r="M491" s="16"/>
      <c r="O491" s="18"/>
    </row>
    <row r="492" ht="15.75" customHeight="1">
      <c r="C492" s="16"/>
      <c r="D492" s="16"/>
      <c r="L492" s="17"/>
      <c r="M492" s="16"/>
      <c r="O492" s="18"/>
    </row>
    <row r="493" ht="15.75" customHeight="1">
      <c r="C493" s="16"/>
      <c r="D493" s="16"/>
      <c r="L493" s="17"/>
      <c r="M493" s="16"/>
      <c r="O493" s="18"/>
    </row>
    <row r="494" ht="15.75" customHeight="1">
      <c r="C494" s="16"/>
      <c r="D494" s="16"/>
      <c r="L494" s="17"/>
      <c r="M494" s="16"/>
      <c r="O494" s="18"/>
    </row>
    <row r="495" ht="15.75" customHeight="1">
      <c r="C495" s="16"/>
      <c r="D495" s="16"/>
      <c r="L495" s="17"/>
      <c r="M495" s="16"/>
      <c r="O495" s="18"/>
    </row>
    <row r="496" ht="15.75" customHeight="1">
      <c r="C496" s="16"/>
      <c r="D496" s="16"/>
      <c r="L496" s="17"/>
      <c r="M496" s="16"/>
      <c r="O496" s="18"/>
    </row>
    <row r="497" ht="15.75" customHeight="1">
      <c r="C497" s="16"/>
      <c r="D497" s="16"/>
      <c r="L497" s="17"/>
      <c r="M497" s="16"/>
      <c r="O497" s="18"/>
    </row>
    <row r="498" ht="15.75" customHeight="1">
      <c r="C498" s="16"/>
      <c r="D498" s="16"/>
      <c r="L498" s="17"/>
      <c r="M498" s="16"/>
      <c r="O498" s="18"/>
    </row>
    <row r="499" ht="15.75" customHeight="1">
      <c r="C499" s="16"/>
      <c r="D499" s="16"/>
      <c r="L499" s="17"/>
      <c r="M499" s="16"/>
      <c r="O499" s="18"/>
    </row>
    <row r="500" ht="15.75" customHeight="1">
      <c r="C500" s="16"/>
      <c r="D500" s="16"/>
      <c r="L500" s="17"/>
      <c r="M500" s="16"/>
      <c r="O500" s="18"/>
    </row>
    <row r="501" ht="15.75" customHeight="1">
      <c r="C501" s="16"/>
      <c r="D501" s="16"/>
      <c r="L501" s="17"/>
      <c r="M501" s="16"/>
      <c r="O501" s="18"/>
    </row>
    <row r="502" ht="15.75" customHeight="1">
      <c r="C502" s="16"/>
      <c r="D502" s="16"/>
      <c r="L502" s="17"/>
      <c r="M502" s="16"/>
      <c r="O502" s="18"/>
    </row>
    <row r="503" ht="15.75" customHeight="1">
      <c r="C503" s="16"/>
      <c r="D503" s="16"/>
      <c r="L503" s="17"/>
      <c r="M503" s="16"/>
      <c r="O503" s="18"/>
    </row>
    <row r="504" ht="15.75" customHeight="1">
      <c r="C504" s="16"/>
      <c r="D504" s="16"/>
      <c r="L504" s="17"/>
      <c r="M504" s="16"/>
      <c r="O504" s="18"/>
    </row>
    <row r="505" ht="15.75" customHeight="1">
      <c r="C505" s="16"/>
      <c r="D505" s="16"/>
      <c r="L505" s="17"/>
      <c r="M505" s="16"/>
      <c r="O505" s="18"/>
    </row>
    <row r="506" ht="15.75" customHeight="1">
      <c r="C506" s="16"/>
      <c r="D506" s="16"/>
      <c r="L506" s="17"/>
      <c r="M506" s="16"/>
      <c r="O506" s="18"/>
    </row>
    <row r="507" ht="15.75" customHeight="1">
      <c r="C507" s="16"/>
      <c r="D507" s="16"/>
      <c r="L507" s="17"/>
      <c r="M507" s="16"/>
      <c r="O507" s="18"/>
    </row>
    <row r="508" ht="15.75" customHeight="1">
      <c r="C508" s="16"/>
      <c r="D508" s="16"/>
      <c r="L508" s="17"/>
      <c r="M508" s="16"/>
      <c r="O508" s="18"/>
    </row>
    <row r="509" ht="15.75" customHeight="1">
      <c r="C509" s="16"/>
      <c r="D509" s="16"/>
      <c r="L509" s="17"/>
      <c r="M509" s="16"/>
      <c r="O509" s="18"/>
    </row>
    <row r="510" ht="15.75" customHeight="1">
      <c r="C510" s="16"/>
      <c r="D510" s="16"/>
      <c r="L510" s="17"/>
      <c r="M510" s="16"/>
      <c r="O510" s="18"/>
    </row>
    <row r="511" ht="15.75" customHeight="1">
      <c r="C511" s="16"/>
      <c r="D511" s="16"/>
      <c r="L511" s="17"/>
      <c r="M511" s="16"/>
      <c r="O511" s="18"/>
    </row>
    <row r="512" ht="15.75" customHeight="1">
      <c r="C512" s="16"/>
      <c r="D512" s="16"/>
      <c r="L512" s="17"/>
      <c r="M512" s="16"/>
      <c r="O512" s="18"/>
    </row>
    <row r="513" ht="15.75" customHeight="1">
      <c r="C513" s="16"/>
      <c r="D513" s="16"/>
      <c r="L513" s="17"/>
      <c r="M513" s="16"/>
      <c r="O513" s="18"/>
    </row>
    <row r="514" ht="15.75" customHeight="1">
      <c r="C514" s="16"/>
      <c r="D514" s="16"/>
      <c r="L514" s="17"/>
      <c r="M514" s="16"/>
      <c r="O514" s="18"/>
    </row>
    <row r="515" ht="15.75" customHeight="1">
      <c r="C515" s="16"/>
      <c r="D515" s="16"/>
      <c r="L515" s="17"/>
      <c r="M515" s="16"/>
      <c r="O515" s="18"/>
    </row>
    <row r="516" ht="15.75" customHeight="1">
      <c r="C516" s="16"/>
      <c r="D516" s="16"/>
      <c r="L516" s="17"/>
      <c r="M516" s="16"/>
      <c r="O516" s="18"/>
    </row>
    <row r="517" ht="15.75" customHeight="1">
      <c r="C517" s="16"/>
      <c r="D517" s="16"/>
      <c r="L517" s="17"/>
      <c r="M517" s="16"/>
      <c r="O517" s="18"/>
    </row>
    <row r="518" ht="15.75" customHeight="1">
      <c r="C518" s="16"/>
      <c r="D518" s="16"/>
      <c r="L518" s="17"/>
      <c r="M518" s="16"/>
      <c r="O518" s="18"/>
    </row>
    <row r="519" ht="15.75" customHeight="1">
      <c r="C519" s="16"/>
      <c r="D519" s="16"/>
      <c r="L519" s="17"/>
      <c r="M519" s="16"/>
      <c r="O519" s="18"/>
    </row>
    <row r="520" ht="15.75" customHeight="1">
      <c r="C520" s="16"/>
      <c r="D520" s="16"/>
      <c r="L520" s="17"/>
      <c r="M520" s="16"/>
      <c r="O520" s="18"/>
    </row>
    <row r="521" ht="15.75" customHeight="1">
      <c r="C521" s="16"/>
      <c r="D521" s="16"/>
      <c r="L521" s="17"/>
      <c r="M521" s="16"/>
      <c r="O521" s="18"/>
    </row>
    <row r="522" ht="15.75" customHeight="1">
      <c r="C522" s="16"/>
      <c r="D522" s="16"/>
      <c r="L522" s="17"/>
      <c r="M522" s="16"/>
      <c r="O522" s="18"/>
    </row>
    <row r="523" ht="15.75" customHeight="1">
      <c r="C523" s="16"/>
      <c r="D523" s="16"/>
      <c r="L523" s="17"/>
      <c r="M523" s="16"/>
      <c r="O523" s="18"/>
    </row>
    <row r="524" ht="15.75" customHeight="1">
      <c r="C524" s="16"/>
      <c r="D524" s="16"/>
      <c r="L524" s="17"/>
      <c r="M524" s="16"/>
      <c r="O524" s="18"/>
    </row>
    <row r="525" ht="15.75" customHeight="1">
      <c r="C525" s="16"/>
      <c r="D525" s="16"/>
      <c r="L525" s="17"/>
      <c r="M525" s="16"/>
      <c r="O525" s="18"/>
    </row>
    <row r="526" ht="15.75" customHeight="1">
      <c r="C526" s="16"/>
      <c r="D526" s="16"/>
      <c r="L526" s="17"/>
      <c r="M526" s="16"/>
      <c r="O526" s="18"/>
    </row>
    <row r="527" ht="15.75" customHeight="1">
      <c r="C527" s="16"/>
      <c r="D527" s="16"/>
      <c r="L527" s="17"/>
      <c r="M527" s="16"/>
      <c r="O527" s="18"/>
    </row>
    <row r="528" ht="15.75" customHeight="1">
      <c r="C528" s="16"/>
      <c r="D528" s="16"/>
      <c r="L528" s="17"/>
      <c r="M528" s="16"/>
      <c r="O528" s="18"/>
    </row>
    <row r="529" ht="15.75" customHeight="1">
      <c r="C529" s="16"/>
      <c r="D529" s="16"/>
      <c r="L529" s="17"/>
      <c r="M529" s="16"/>
      <c r="O529" s="18"/>
    </row>
    <row r="530" ht="15.75" customHeight="1">
      <c r="C530" s="16"/>
      <c r="D530" s="16"/>
      <c r="L530" s="17"/>
      <c r="M530" s="16"/>
      <c r="O530" s="18"/>
    </row>
    <row r="531" ht="15.75" customHeight="1">
      <c r="C531" s="16"/>
      <c r="D531" s="16"/>
      <c r="L531" s="17"/>
      <c r="M531" s="16"/>
      <c r="O531" s="18"/>
    </row>
    <row r="532" ht="15.75" customHeight="1">
      <c r="C532" s="16"/>
      <c r="D532" s="16"/>
      <c r="L532" s="17"/>
      <c r="M532" s="16"/>
      <c r="O532" s="18"/>
    </row>
    <row r="533" ht="15.75" customHeight="1">
      <c r="C533" s="16"/>
      <c r="D533" s="16"/>
      <c r="L533" s="17"/>
      <c r="M533" s="16"/>
      <c r="O533" s="18"/>
    </row>
    <row r="534" ht="15.75" customHeight="1">
      <c r="C534" s="16"/>
      <c r="D534" s="16"/>
      <c r="L534" s="17"/>
      <c r="M534" s="16"/>
      <c r="O534" s="18"/>
    </row>
    <row r="535" ht="15.75" customHeight="1">
      <c r="C535" s="16"/>
      <c r="D535" s="16"/>
      <c r="L535" s="17"/>
      <c r="M535" s="16"/>
      <c r="O535" s="18"/>
    </row>
    <row r="536" ht="15.75" customHeight="1">
      <c r="C536" s="16"/>
      <c r="D536" s="16"/>
      <c r="L536" s="17"/>
      <c r="M536" s="16"/>
      <c r="O536" s="18"/>
    </row>
    <row r="537" ht="15.75" customHeight="1">
      <c r="C537" s="16"/>
      <c r="D537" s="16"/>
      <c r="L537" s="17"/>
      <c r="M537" s="16"/>
      <c r="O537" s="18"/>
    </row>
    <row r="538" ht="15.75" customHeight="1">
      <c r="C538" s="16"/>
      <c r="D538" s="16"/>
      <c r="L538" s="17"/>
      <c r="M538" s="16"/>
      <c r="O538" s="18"/>
    </row>
    <row r="539" ht="15.75" customHeight="1">
      <c r="C539" s="16"/>
      <c r="D539" s="16"/>
      <c r="L539" s="17"/>
      <c r="M539" s="16"/>
      <c r="O539" s="18"/>
    </row>
    <row r="540" ht="15.75" customHeight="1">
      <c r="C540" s="16"/>
      <c r="D540" s="16"/>
      <c r="L540" s="17"/>
      <c r="M540" s="16"/>
      <c r="O540" s="18"/>
    </row>
    <row r="541" ht="15.75" customHeight="1">
      <c r="C541" s="16"/>
      <c r="D541" s="16"/>
      <c r="L541" s="17"/>
      <c r="M541" s="16"/>
      <c r="O541" s="18"/>
    </row>
    <row r="542" ht="15.75" customHeight="1">
      <c r="C542" s="16"/>
      <c r="D542" s="16"/>
      <c r="L542" s="17"/>
      <c r="M542" s="16"/>
      <c r="O542" s="18"/>
    </row>
    <row r="543" ht="15.75" customHeight="1">
      <c r="C543" s="16"/>
      <c r="D543" s="16"/>
      <c r="L543" s="17"/>
      <c r="M543" s="16"/>
      <c r="O543" s="18"/>
    </row>
    <row r="544" ht="15.75" customHeight="1">
      <c r="C544" s="16"/>
      <c r="D544" s="16"/>
      <c r="L544" s="17"/>
      <c r="M544" s="16"/>
      <c r="O544" s="18"/>
    </row>
    <row r="545" ht="15.75" customHeight="1">
      <c r="C545" s="16"/>
      <c r="D545" s="16"/>
      <c r="L545" s="17"/>
      <c r="M545" s="16"/>
      <c r="O545" s="18"/>
    </row>
    <row r="546" ht="15.75" customHeight="1">
      <c r="C546" s="16"/>
      <c r="D546" s="16"/>
      <c r="L546" s="17"/>
      <c r="M546" s="16"/>
      <c r="O546" s="18"/>
    </row>
    <row r="547" ht="15.75" customHeight="1">
      <c r="C547" s="16"/>
      <c r="D547" s="16"/>
      <c r="L547" s="17"/>
      <c r="M547" s="16"/>
      <c r="O547" s="18"/>
    </row>
    <row r="548" ht="15.75" customHeight="1">
      <c r="C548" s="16"/>
      <c r="D548" s="16"/>
      <c r="L548" s="17"/>
      <c r="M548" s="16"/>
      <c r="O548" s="18"/>
    </row>
    <row r="549" ht="15.75" customHeight="1">
      <c r="C549" s="16"/>
      <c r="D549" s="16"/>
      <c r="L549" s="17"/>
      <c r="M549" s="16"/>
      <c r="O549" s="18"/>
    </row>
    <row r="550" ht="15.75" customHeight="1">
      <c r="C550" s="16"/>
      <c r="D550" s="16"/>
      <c r="L550" s="17"/>
      <c r="M550" s="16"/>
      <c r="O550" s="18"/>
    </row>
    <row r="551" ht="15.75" customHeight="1">
      <c r="C551" s="16"/>
      <c r="D551" s="16"/>
      <c r="L551" s="17"/>
      <c r="M551" s="16"/>
      <c r="O551" s="18"/>
    </row>
    <row r="552" ht="15.75" customHeight="1">
      <c r="C552" s="16"/>
      <c r="D552" s="16"/>
      <c r="L552" s="17"/>
      <c r="M552" s="16"/>
      <c r="O552" s="18"/>
    </row>
    <row r="553" ht="15.75" customHeight="1">
      <c r="C553" s="16"/>
      <c r="D553" s="16"/>
      <c r="L553" s="17"/>
      <c r="M553" s="16"/>
      <c r="O553" s="18"/>
    </row>
    <row r="554" ht="15.75" customHeight="1">
      <c r="C554" s="16"/>
      <c r="D554" s="16"/>
      <c r="L554" s="17"/>
      <c r="M554" s="16"/>
      <c r="O554" s="18"/>
    </row>
    <row r="555" ht="15.75" customHeight="1">
      <c r="C555" s="16"/>
      <c r="D555" s="16"/>
      <c r="L555" s="17"/>
      <c r="M555" s="16"/>
      <c r="O555" s="18"/>
    </row>
    <row r="556" ht="15.75" customHeight="1">
      <c r="C556" s="16"/>
      <c r="D556" s="16"/>
      <c r="L556" s="17"/>
      <c r="M556" s="16"/>
      <c r="O556" s="18"/>
    </row>
    <row r="557" ht="15.75" customHeight="1">
      <c r="C557" s="16"/>
      <c r="D557" s="16"/>
      <c r="L557" s="17"/>
      <c r="M557" s="16"/>
      <c r="O557" s="18"/>
    </row>
    <row r="558" ht="15.75" customHeight="1">
      <c r="C558" s="16"/>
      <c r="D558" s="16"/>
      <c r="L558" s="17"/>
      <c r="M558" s="16"/>
      <c r="O558" s="18"/>
    </row>
    <row r="559" ht="15.75" customHeight="1">
      <c r="C559" s="16"/>
      <c r="D559" s="16"/>
      <c r="L559" s="17"/>
      <c r="M559" s="16"/>
      <c r="O559" s="18"/>
    </row>
    <row r="560" ht="15.75" customHeight="1">
      <c r="C560" s="16"/>
      <c r="D560" s="16"/>
      <c r="L560" s="17"/>
      <c r="M560" s="16"/>
      <c r="O560" s="18"/>
    </row>
    <row r="561" ht="15.75" customHeight="1">
      <c r="C561" s="16"/>
      <c r="D561" s="16"/>
      <c r="L561" s="17"/>
      <c r="M561" s="16"/>
      <c r="O561" s="18"/>
    </row>
    <row r="562" ht="15.75" customHeight="1">
      <c r="C562" s="16"/>
      <c r="D562" s="16"/>
      <c r="L562" s="17"/>
      <c r="M562" s="16"/>
      <c r="O562" s="18"/>
    </row>
    <row r="563" ht="15.75" customHeight="1">
      <c r="C563" s="16"/>
      <c r="D563" s="16"/>
      <c r="L563" s="17"/>
      <c r="M563" s="16"/>
      <c r="O563" s="18"/>
    </row>
    <row r="564" ht="15.75" customHeight="1">
      <c r="C564" s="16"/>
      <c r="D564" s="16"/>
      <c r="L564" s="17"/>
      <c r="M564" s="16"/>
      <c r="O564" s="18"/>
    </row>
    <row r="565" ht="15.75" customHeight="1">
      <c r="C565" s="16"/>
      <c r="D565" s="16"/>
      <c r="L565" s="17"/>
      <c r="M565" s="16"/>
      <c r="O565" s="18"/>
    </row>
    <row r="566" ht="15.75" customHeight="1">
      <c r="C566" s="16"/>
      <c r="D566" s="16"/>
      <c r="L566" s="17"/>
      <c r="M566" s="16"/>
      <c r="O566" s="18"/>
    </row>
    <row r="567" ht="15.75" customHeight="1">
      <c r="C567" s="16"/>
      <c r="D567" s="16"/>
      <c r="L567" s="17"/>
      <c r="M567" s="16"/>
      <c r="O567" s="18"/>
    </row>
    <row r="568" ht="15.75" customHeight="1">
      <c r="C568" s="16"/>
      <c r="D568" s="16"/>
      <c r="L568" s="17"/>
      <c r="M568" s="16"/>
      <c r="O568" s="18"/>
    </row>
    <row r="569" ht="15.75" customHeight="1">
      <c r="C569" s="16"/>
      <c r="D569" s="16"/>
      <c r="L569" s="17"/>
      <c r="M569" s="16"/>
      <c r="O569" s="18"/>
    </row>
    <row r="570" ht="15.75" customHeight="1">
      <c r="C570" s="16"/>
      <c r="D570" s="16"/>
      <c r="L570" s="17"/>
      <c r="M570" s="16"/>
      <c r="O570" s="18"/>
    </row>
    <row r="571" ht="15.75" customHeight="1">
      <c r="C571" s="16"/>
      <c r="D571" s="16"/>
      <c r="L571" s="17"/>
      <c r="M571" s="16"/>
      <c r="O571" s="18"/>
    </row>
    <row r="572" ht="15.75" customHeight="1">
      <c r="C572" s="16"/>
      <c r="D572" s="16"/>
      <c r="L572" s="17"/>
      <c r="M572" s="16"/>
      <c r="O572" s="18"/>
    </row>
    <row r="573" ht="15.75" customHeight="1">
      <c r="C573" s="16"/>
      <c r="D573" s="16"/>
      <c r="L573" s="17"/>
      <c r="M573" s="16"/>
      <c r="O573" s="18"/>
    </row>
    <row r="574" ht="15.75" customHeight="1">
      <c r="C574" s="16"/>
      <c r="D574" s="16"/>
      <c r="L574" s="17"/>
      <c r="M574" s="16"/>
      <c r="O574" s="18"/>
    </row>
    <row r="575" ht="15.75" customHeight="1">
      <c r="C575" s="16"/>
      <c r="D575" s="16"/>
      <c r="L575" s="17"/>
      <c r="M575" s="16"/>
      <c r="O575" s="18"/>
    </row>
    <row r="576" ht="15.75" customHeight="1">
      <c r="C576" s="16"/>
      <c r="D576" s="16"/>
      <c r="L576" s="17"/>
      <c r="M576" s="16"/>
      <c r="O576" s="18"/>
    </row>
    <row r="577" ht="15.75" customHeight="1">
      <c r="C577" s="16"/>
      <c r="D577" s="16"/>
      <c r="L577" s="17"/>
      <c r="M577" s="16"/>
      <c r="O577" s="18"/>
    </row>
    <row r="578" ht="15.75" customHeight="1">
      <c r="C578" s="16"/>
      <c r="D578" s="16"/>
      <c r="L578" s="17"/>
      <c r="M578" s="16"/>
      <c r="O578" s="18"/>
    </row>
    <row r="579" ht="15.75" customHeight="1">
      <c r="C579" s="16"/>
      <c r="D579" s="16"/>
      <c r="L579" s="17"/>
      <c r="M579" s="16"/>
      <c r="O579" s="18"/>
    </row>
    <row r="580" ht="15.75" customHeight="1">
      <c r="C580" s="16"/>
      <c r="D580" s="16"/>
      <c r="L580" s="17"/>
      <c r="M580" s="16"/>
      <c r="O580" s="18"/>
    </row>
    <row r="581" ht="15.75" customHeight="1">
      <c r="C581" s="16"/>
      <c r="D581" s="16"/>
      <c r="L581" s="17"/>
      <c r="M581" s="16"/>
      <c r="O581" s="18"/>
    </row>
    <row r="582" ht="15.75" customHeight="1">
      <c r="C582" s="16"/>
      <c r="D582" s="16"/>
      <c r="L582" s="17"/>
      <c r="M582" s="16"/>
      <c r="O582" s="18"/>
    </row>
    <row r="583" ht="15.75" customHeight="1">
      <c r="C583" s="16"/>
      <c r="D583" s="16"/>
      <c r="L583" s="17"/>
      <c r="M583" s="16"/>
      <c r="O583" s="18"/>
    </row>
    <row r="584" ht="15.75" customHeight="1">
      <c r="C584" s="16"/>
      <c r="D584" s="16"/>
      <c r="L584" s="17"/>
      <c r="M584" s="16"/>
      <c r="O584" s="18"/>
    </row>
    <row r="585" ht="15.75" customHeight="1">
      <c r="C585" s="16"/>
      <c r="D585" s="16"/>
      <c r="L585" s="17"/>
      <c r="M585" s="16"/>
      <c r="O585" s="18"/>
    </row>
    <row r="586" ht="15.75" customHeight="1">
      <c r="C586" s="16"/>
      <c r="D586" s="16"/>
      <c r="L586" s="17"/>
      <c r="M586" s="16"/>
      <c r="O586" s="18"/>
    </row>
    <row r="587" ht="15.75" customHeight="1">
      <c r="C587" s="16"/>
      <c r="D587" s="16"/>
      <c r="L587" s="17"/>
      <c r="M587" s="16"/>
      <c r="O587" s="18"/>
    </row>
    <row r="588" ht="15.75" customHeight="1">
      <c r="C588" s="16"/>
      <c r="D588" s="16"/>
      <c r="L588" s="17"/>
      <c r="M588" s="16"/>
      <c r="O588" s="18"/>
    </row>
    <row r="589" ht="15.75" customHeight="1">
      <c r="C589" s="16"/>
      <c r="D589" s="16"/>
      <c r="L589" s="17"/>
      <c r="M589" s="16"/>
      <c r="O589" s="18"/>
    </row>
    <row r="590" ht="15.75" customHeight="1">
      <c r="C590" s="16"/>
      <c r="D590" s="16"/>
      <c r="L590" s="17"/>
      <c r="M590" s="16"/>
      <c r="O590" s="18"/>
    </row>
    <row r="591" ht="15.75" customHeight="1">
      <c r="C591" s="16"/>
      <c r="D591" s="16"/>
      <c r="L591" s="17"/>
      <c r="M591" s="16"/>
      <c r="O591" s="18"/>
    </row>
    <row r="592" ht="15.75" customHeight="1">
      <c r="C592" s="16"/>
      <c r="D592" s="16"/>
      <c r="L592" s="17"/>
      <c r="M592" s="16"/>
      <c r="O592" s="18"/>
    </row>
    <row r="593" ht="15.75" customHeight="1">
      <c r="C593" s="16"/>
      <c r="D593" s="16"/>
      <c r="L593" s="17"/>
      <c r="M593" s="16"/>
      <c r="O593" s="18"/>
    </row>
    <row r="594" ht="15.75" customHeight="1">
      <c r="C594" s="16"/>
      <c r="D594" s="16"/>
      <c r="L594" s="17"/>
      <c r="M594" s="16"/>
      <c r="O594" s="18"/>
    </row>
    <row r="595" ht="15.75" customHeight="1">
      <c r="C595" s="16"/>
      <c r="D595" s="16"/>
      <c r="L595" s="17"/>
      <c r="M595" s="16"/>
      <c r="O595" s="18"/>
    </row>
    <row r="596" ht="15.75" customHeight="1">
      <c r="C596" s="16"/>
      <c r="D596" s="16"/>
      <c r="L596" s="17"/>
      <c r="M596" s="16"/>
      <c r="O596" s="18"/>
    </row>
    <row r="597" ht="15.75" customHeight="1">
      <c r="C597" s="16"/>
      <c r="D597" s="16"/>
      <c r="L597" s="17"/>
      <c r="M597" s="16"/>
      <c r="O597" s="18"/>
    </row>
    <row r="598" ht="15.75" customHeight="1">
      <c r="C598" s="16"/>
      <c r="D598" s="16"/>
      <c r="L598" s="17"/>
      <c r="M598" s="16"/>
      <c r="O598" s="18"/>
    </row>
    <row r="599" ht="15.75" customHeight="1">
      <c r="C599" s="16"/>
      <c r="D599" s="16"/>
      <c r="L599" s="17"/>
      <c r="M599" s="16"/>
      <c r="O599" s="18"/>
    </row>
    <row r="600" ht="15.75" customHeight="1">
      <c r="C600" s="16"/>
      <c r="D600" s="16"/>
      <c r="L600" s="17"/>
      <c r="M600" s="16"/>
      <c r="O600" s="18"/>
    </row>
    <row r="601" ht="15.75" customHeight="1">
      <c r="C601" s="16"/>
      <c r="D601" s="16"/>
      <c r="L601" s="17"/>
      <c r="M601" s="16"/>
      <c r="O601" s="18"/>
    </row>
    <row r="602" ht="15.75" customHeight="1">
      <c r="C602" s="16"/>
      <c r="D602" s="16"/>
      <c r="L602" s="17"/>
      <c r="M602" s="16"/>
      <c r="O602" s="18"/>
    </row>
    <row r="603" ht="15.75" customHeight="1">
      <c r="C603" s="16"/>
      <c r="D603" s="16"/>
      <c r="L603" s="17"/>
      <c r="M603" s="16"/>
      <c r="O603" s="18"/>
    </row>
    <row r="604" ht="15.75" customHeight="1">
      <c r="C604" s="16"/>
      <c r="D604" s="16"/>
      <c r="L604" s="17"/>
      <c r="M604" s="16"/>
      <c r="O604" s="18"/>
    </row>
    <row r="605" ht="15.75" customHeight="1">
      <c r="C605" s="16"/>
      <c r="D605" s="16"/>
      <c r="L605" s="17"/>
      <c r="M605" s="16"/>
      <c r="O605" s="18"/>
    </row>
    <row r="606" ht="15.75" customHeight="1">
      <c r="C606" s="16"/>
      <c r="D606" s="16"/>
      <c r="L606" s="17"/>
      <c r="M606" s="16"/>
      <c r="O606" s="18"/>
    </row>
    <row r="607" ht="15.75" customHeight="1">
      <c r="C607" s="16"/>
      <c r="D607" s="16"/>
      <c r="L607" s="17"/>
      <c r="M607" s="16"/>
      <c r="O607" s="18"/>
    </row>
    <row r="608" ht="15.75" customHeight="1">
      <c r="C608" s="16"/>
      <c r="D608" s="16"/>
      <c r="L608" s="17"/>
      <c r="M608" s="16"/>
      <c r="O608" s="18"/>
    </row>
    <row r="609" ht="15.75" customHeight="1">
      <c r="C609" s="16"/>
      <c r="D609" s="16"/>
      <c r="L609" s="17"/>
      <c r="M609" s="16"/>
      <c r="O609" s="18"/>
    </row>
    <row r="610" ht="15.75" customHeight="1">
      <c r="C610" s="16"/>
      <c r="D610" s="16"/>
      <c r="L610" s="17"/>
      <c r="M610" s="16"/>
      <c r="O610" s="18"/>
    </row>
    <row r="611" ht="15.75" customHeight="1">
      <c r="C611" s="16"/>
      <c r="D611" s="16"/>
      <c r="L611" s="17"/>
      <c r="M611" s="16"/>
      <c r="O611" s="18"/>
    </row>
    <row r="612" ht="15.75" customHeight="1">
      <c r="C612" s="16"/>
      <c r="D612" s="16"/>
      <c r="L612" s="17"/>
      <c r="M612" s="16"/>
      <c r="O612" s="18"/>
    </row>
    <row r="613" ht="15.75" customHeight="1">
      <c r="C613" s="16"/>
      <c r="D613" s="16"/>
      <c r="L613" s="17"/>
      <c r="M613" s="16"/>
      <c r="O613" s="18"/>
    </row>
    <row r="614" ht="15.75" customHeight="1">
      <c r="C614" s="16"/>
      <c r="D614" s="16"/>
      <c r="L614" s="17"/>
      <c r="M614" s="16"/>
      <c r="O614" s="18"/>
    </row>
    <row r="615" ht="15.75" customHeight="1">
      <c r="C615" s="16"/>
      <c r="D615" s="16"/>
      <c r="L615" s="17"/>
      <c r="M615" s="16"/>
      <c r="O615" s="18"/>
    </row>
    <row r="616" ht="15.75" customHeight="1">
      <c r="C616" s="16"/>
      <c r="D616" s="16"/>
      <c r="L616" s="17"/>
      <c r="M616" s="16"/>
      <c r="O616" s="18"/>
    </row>
    <row r="617" ht="15.75" customHeight="1">
      <c r="C617" s="16"/>
      <c r="D617" s="16"/>
      <c r="L617" s="17"/>
      <c r="M617" s="16"/>
      <c r="O617" s="18"/>
    </row>
    <row r="618" ht="15.75" customHeight="1">
      <c r="C618" s="16"/>
      <c r="D618" s="16"/>
      <c r="L618" s="17"/>
      <c r="M618" s="16"/>
      <c r="O618" s="18"/>
    </row>
    <row r="619" ht="15.75" customHeight="1">
      <c r="C619" s="16"/>
      <c r="D619" s="16"/>
      <c r="L619" s="17"/>
      <c r="M619" s="16"/>
      <c r="O619" s="18"/>
    </row>
    <row r="620" ht="15.75" customHeight="1">
      <c r="C620" s="16"/>
      <c r="D620" s="16"/>
      <c r="L620" s="17"/>
      <c r="M620" s="16"/>
      <c r="O620" s="18"/>
    </row>
    <row r="621" ht="15.75" customHeight="1">
      <c r="C621" s="16"/>
      <c r="D621" s="16"/>
      <c r="L621" s="17"/>
      <c r="M621" s="16"/>
      <c r="O621" s="18"/>
    </row>
    <row r="622" ht="15.75" customHeight="1">
      <c r="C622" s="16"/>
      <c r="D622" s="16"/>
      <c r="L622" s="17"/>
      <c r="M622" s="16"/>
      <c r="O622" s="18"/>
    </row>
    <row r="623" ht="15.75" customHeight="1">
      <c r="C623" s="16"/>
      <c r="D623" s="16"/>
      <c r="L623" s="17"/>
      <c r="M623" s="16"/>
      <c r="O623" s="18"/>
    </row>
    <row r="624" ht="15.75" customHeight="1">
      <c r="C624" s="16"/>
      <c r="D624" s="16"/>
      <c r="L624" s="17"/>
      <c r="M624" s="16"/>
      <c r="O624" s="18"/>
    </row>
    <row r="625" ht="15.75" customHeight="1">
      <c r="C625" s="16"/>
      <c r="D625" s="16"/>
      <c r="L625" s="17"/>
      <c r="M625" s="16"/>
      <c r="O625" s="18"/>
    </row>
    <row r="626" ht="15.75" customHeight="1">
      <c r="C626" s="16"/>
      <c r="D626" s="16"/>
      <c r="L626" s="17"/>
      <c r="M626" s="16"/>
      <c r="O626" s="18"/>
    </row>
    <row r="627" ht="15.75" customHeight="1">
      <c r="C627" s="16"/>
      <c r="D627" s="16"/>
      <c r="L627" s="17"/>
      <c r="M627" s="16"/>
      <c r="O627" s="18"/>
    </row>
    <row r="628" ht="15.75" customHeight="1">
      <c r="C628" s="16"/>
      <c r="D628" s="16"/>
      <c r="L628" s="17"/>
      <c r="M628" s="16"/>
      <c r="O628" s="18"/>
    </row>
    <row r="629" ht="15.75" customHeight="1">
      <c r="C629" s="16"/>
      <c r="D629" s="16"/>
      <c r="L629" s="17"/>
      <c r="M629" s="16"/>
      <c r="O629" s="18"/>
    </row>
    <row r="630" ht="15.75" customHeight="1">
      <c r="C630" s="16"/>
      <c r="D630" s="16"/>
      <c r="L630" s="17"/>
      <c r="M630" s="16"/>
      <c r="O630" s="18"/>
    </row>
    <row r="631" ht="15.75" customHeight="1">
      <c r="C631" s="16"/>
      <c r="D631" s="16"/>
      <c r="L631" s="17"/>
      <c r="M631" s="16"/>
      <c r="O631" s="18"/>
    </row>
    <row r="632" ht="15.75" customHeight="1">
      <c r="C632" s="16"/>
      <c r="D632" s="16"/>
      <c r="L632" s="17"/>
      <c r="M632" s="16"/>
      <c r="O632" s="18"/>
    </row>
    <row r="633" ht="15.75" customHeight="1">
      <c r="C633" s="16"/>
      <c r="D633" s="16"/>
      <c r="L633" s="17"/>
      <c r="M633" s="16"/>
      <c r="O633" s="18"/>
    </row>
    <row r="634" ht="15.75" customHeight="1">
      <c r="C634" s="16"/>
      <c r="D634" s="16"/>
      <c r="L634" s="17"/>
      <c r="M634" s="16"/>
      <c r="O634" s="18"/>
    </row>
    <row r="635" ht="15.75" customHeight="1">
      <c r="C635" s="16"/>
      <c r="D635" s="16"/>
      <c r="L635" s="17"/>
      <c r="M635" s="16"/>
      <c r="O635" s="18"/>
    </row>
    <row r="636" ht="15.75" customHeight="1">
      <c r="C636" s="16"/>
      <c r="D636" s="16"/>
      <c r="L636" s="17"/>
      <c r="M636" s="16"/>
      <c r="O636" s="18"/>
    </row>
    <row r="637" ht="15.75" customHeight="1">
      <c r="C637" s="16"/>
      <c r="D637" s="16"/>
      <c r="L637" s="17"/>
      <c r="M637" s="16"/>
      <c r="O637" s="18"/>
    </row>
    <row r="638" ht="15.75" customHeight="1">
      <c r="C638" s="16"/>
      <c r="D638" s="16"/>
      <c r="L638" s="17"/>
      <c r="M638" s="16"/>
      <c r="O638" s="18"/>
    </row>
    <row r="639" ht="15.75" customHeight="1">
      <c r="C639" s="16"/>
      <c r="D639" s="16"/>
      <c r="L639" s="17"/>
      <c r="M639" s="16"/>
      <c r="O639" s="18"/>
    </row>
    <row r="640" ht="15.75" customHeight="1">
      <c r="C640" s="16"/>
      <c r="D640" s="16"/>
      <c r="L640" s="17"/>
      <c r="M640" s="16"/>
      <c r="O640" s="18"/>
    </row>
    <row r="641" ht="15.75" customHeight="1">
      <c r="C641" s="16"/>
      <c r="D641" s="16"/>
      <c r="L641" s="17"/>
      <c r="M641" s="16"/>
      <c r="O641" s="18"/>
    </row>
    <row r="642" ht="15.75" customHeight="1">
      <c r="C642" s="16"/>
      <c r="D642" s="16"/>
      <c r="L642" s="17"/>
      <c r="M642" s="16"/>
      <c r="O642" s="18"/>
    </row>
    <row r="643" ht="15.75" customHeight="1">
      <c r="C643" s="16"/>
      <c r="D643" s="16"/>
      <c r="L643" s="17"/>
      <c r="M643" s="16"/>
      <c r="O643" s="18"/>
    </row>
    <row r="644" ht="15.75" customHeight="1">
      <c r="C644" s="16"/>
      <c r="D644" s="16"/>
      <c r="L644" s="17"/>
      <c r="M644" s="16"/>
      <c r="O644" s="18"/>
    </row>
    <row r="645" ht="15.75" customHeight="1">
      <c r="C645" s="16"/>
      <c r="D645" s="16"/>
      <c r="L645" s="17"/>
      <c r="M645" s="16"/>
      <c r="O645" s="18"/>
    </row>
    <row r="646" ht="15.75" customHeight="1">
      <c r="C646" s="16"/>
      <c r="D646" s="16"/>
      <c r="L646" s="17"/>
      <c r="M646" s="16"/>
      <c r="O646" s="18"/>
    </row>
    <row r="647" ht="15.75" customHeight="1">
      <c r="C647" s="16"/>
      <c r="D647" s="16"/>
      <c r="L647" s="17"/>
      <c r="M647" s="16"/>
      <c r="O647" s="18"/>
    </row>
    <row r="648" ht="15.75" customHeight="1">
      <c r="C648" s="16"/>
      <c r="D648" s="16"/>
      <c r="L648" s="17"/>
      <c r="M648" s="16"/>
      <c r="O648" s="18"/>
    </row>
    <row r="649" ht="15.75" customHeight="1">
      <c r="C649" s="16"/>
      <c r="D649" s="16"/>
      <c r="L649" s="17"/>
      <c r="M649" s="16"/>
      <c r="O649" s="18"/>
    </row>
    <row r="650" ht="15.75" customHeight="1">
      <c r="C650" s="16"/>
      <c r="D650" s="16"/>
      <c r="L650" s="17"/>
      <c r="M650" s="16"/>
      <c r="O650" s="18"/>
    </row>
    <row r="651" ht="15.75" customHeight="1">
      <c r="C651" s="16"/>
      <c r="D651" s="16"/>
      <c r="L651" s="17"/>
      <c r="M651" s="16"/>
      <c r="O651" s="18"/>
    </row>
    <row r="652" ht="15.75" customHeight="1">
      <c r="C652" s="16"/>
      <c r="D652" s="16"/>
      <c r="L652" s="17"/>
      <c r="M652" s="16"/>
      <c r="O652" s="18"/>
    </row>
    <row r="653" ht="15.75" customHeight="1">
      <c r="C653" s="16"/>
      <c r="D653" s="16"/>
      <c r="L653" s="17"/>
      <c r="M653" s="16"/>
      <c r="O653" s="18"/>
    </row>
    <row r="654" ht="15.75" customHeight="1">
      <c r="C654" s="16"/>
      <c r="D654" s="16"/>
      <c r="L654" s="17"/>
      <c r="M654" s="16"/>
      <c r="O654" s="18"/>
    </row>
    <row r="655" ht="15.75" customHeight="1">
      <c r="C655" s="16"/>
      <c r="D655" s="16"/>
      <c r="L655" s="17"/>
      <c r="M655" s="16"/>
      <c r="O655" s="18"/>
    </row>
    <row r="656" ht="15.75" customHeight="1">
      <c r="C656" s="16"/>
      <c r="D656" s="16"/>
      <c r="L656" s="17"/>
      <c r="M656" s="16"/>
      <c r="O656" s="18"/>
    </row>
    <row r="657" ht="15.75" customHeight="1">
      <c r="C657" s="16"/>
      <c r="D657" s="16"/>
      <c r="L657" s="17"/>
      <c r="M657" s="16"/>
      <c r="O657" s="18"/>
    </row>
    <row r="658" ht="15.75" customHeight="1">
      <c r="C658" s="16"/>
      <c r="D658" s="16"/>
      <c r="L658" s="17"/>
      <c r="M658" s="16"/>
      <c r="O658" s="18"/>
    </row>
    <row r="659" ht="15.75" customHeight="1">
      <c r="C659" s="16"/>
      <c r="D659" s="16"/>
      <c r="L659" s="17"/>
      <c r="M659" s="16"/>
      <c r="O659" s="18"/>
    </row>
    <row r="660" ht="15.75" customHeight="1">
      <c r="C660" s="16"/>
      <c r="D660" s="16"/>
      <c r="L660" s="17"/>
      <c r="M660" s="16"/>
      <c r="O660" s="18"/>
    </row>
    <row r="661" ht="15.75" customHeight="1">
      <c r="C661" s="16"/>
      <c r="D661" s="16"/>
      <c r="L661" s="17"/>
      <c r="M661" s="16"/>
      <c r="O661" s="18"/>
    </row>
    <row r="662" ht="15.75" customHeight="1">
      <c r="C662" s="16"/>
      <c r="D662" s="16"/>
      <c r="L662" s="17"/>
      <c r="M662" s="16"/>
      <c r="O662" s="18"/>
    </row>
    <row r="663" ht="15.75" customHeight="1">
      <c r="C663" s="16"/>
      <c r="D663" s="16"/>
      <c r="L663" s="17"/>
      <c r="M663" s="16"/>
      <c r="O663" s="18"/>
    </row>
    <row r="664" ht="15.75" customHeight="1">
      <c r="C664" s="16"/>
      <c r="D664" s="16"/>
      <c r="L664" s="17"/>
      <c r="M664" s="16"/>
      <c r="O664" s="18"/>
    </row>
    <row r="665" ht="15.75" customHeight="1">
      <c r="C665" s="16"/>
      <c r="D665" s="16"/>
      <c r="L665" s="17"/>
      <c r="M665" s="16"/>
      <c r="O665" s="18"/>
    </row>
    <row r="666" ht="15.75" customHeight="1">
      <c r="C666" s="16"/>
      <c r="D666" s="16"/>
      <c r="L666" s="17"/>
      <c r="M666" s="16"/>
      <c r="O666" s="18"/>
    </row>
    <row r="667" ht="15.75" customHeight="1">
      <c r="C667" s="16"/>
      <c r="D667" s="16"/>
      <c r="L667" s="17"/>
      <c r="M667" s="16"/>
      <c r="O667" s="18"/>
    </row>
    <row r="668" ht="15.75" customHeight="1">
      <c r="C668" s="16"/>
      <c r="D668" s="16"/>
      <c r="L668" s="17"/>
      <c r="M668" s="16"/>
      <c r="O668" s="18"/>
    </row>
    <row r="669" ht="15.75" customHeight="1">
      <c r="C669" s="16"/>
      <c r="D669" s="16"/>
      <c r="L669" s="17"/>
      <c r="M669" s="16"/>
      <c r="O669" s="18"/>
    </row>
    <row r="670" ht="15.75" customHeight="1">
      <c r="C670" s="16"/>
      <c r="D670" s="16"/>
      <c r="L670" s="17"/>
      <c r="M670" s="16"/>
      <c r="O670" s="18"/>
    </row>
    <row r="671" ht="15.75" customHeight="1">
      <c r="C671" s="16"/>
      <c r="D671" s="16"/>
      <c r="L671" s="17"/>
      <c r="M671" s="16"/>
      <c r="O671" s="18"/>
    </row>
    <row r="672" ht="15.75" customHeight="1">
      <c r="C672" s="16"/>
      <c r="D672" s="16"/>
      <c r="L672" s="17"/>
      <c r="M672" s="16"/>
      <c r="O672" s="18"/>
    </row>
    <row r="673" ht="15.75" customHeight="1">
      <c r="C673" s="16"/>
      <c r="D673" s="16"/>
      <c r="L673" s="17"/>
      <c r="M673" s="16"/>
      <c r="O673" s="18"/>
    </row>
    <row r="674" ht="15.75" customHeight="1">
      <c r="C674" s="16"/>
      <c r="D674" s="16"/>
      <c r="L674" s="17"/>
      <c r="M674" s="16"/>
      <c r="O674" s="18"/>
    </row>
    <row r="675" ht="15.75" customHeight="1">
      <c r="C675" s="16"/>
      <c r="D675" s="16"/>
      <c r="L675" s="17"/>
      <c r="M675" s="16"/>
      <c r="O675" s="18"/>
    </row>
    <row r="676" ht="15.75" customHeight="1">
      <c r="C676" s="16"/>
      <c r="D676" s="16"/>
      <c r="L676" s="17"/>
      <c r="M676" s="16"/>
      <c r="O676" s="18"/>
    </row>
    <row r="677" ht="15.75" customHeight="1">
      <c r="C677" s="16"/>
      <c r="D677" s="16"/>
      <c r="L677" s="17"/>
      <c r="M677" s="16"/>
      <c r="O677" s="18"/>
    </row>
    <row r="678" ht="15.75" customHeight="1">
      <c r="C678" s="16"/>
      <c r="D678" s="16"/>
      <c r="L678" s="17"/>
      <c r="M678" s="16"/>
      <c r="O678" s="18"/>
    </row>
    <row r="679" ht="15.75" customHeight="1">
      <c r="C679" s="16"/>
      <c r="D679" s="16"/>
      <c r="L679" s="17"/>
      <c r="M679" s="16"/>
      <c r="O679" s="18"/>
    </row>
    <row r="680" ht="15.75" customHeight="1">
      <c r="C680" s="16"/>
      <c r="D680" s="16"/>
      <c r="L680" s="17"/>
      <c r="M680" s="16"/>
      <c r="O680" s="18"/>
    </row>
    <row r="681" ht="15.75" customHeight="1">
      <c r="C681" s="16"/>
      <c r="D681" s="16"/>
      <c r="L681" s="17"/>
      <c r="M681" s="16"/>
      <c r="O681" s="18"/>
    </row>
    <row r="682" ht="15.75" customHeight="1">
      <c r="C682" s="16"/>
      <c r="D682" s="16"/>
      <c r="L682" s="17"/>
      <c r="M682" s="16"/>
      <c r="O682" s="18"/>
    </row>
    <row r="683" ht="15.75" customHeight="1">
      <c r="C683" s="16"/>
      <c r="D683" s="16"/>
      <c r="L683" s="17"/>
      <c r="M683" s="16"/>
      <c r="O683" s="18"/>
    </row>
    <row r="684" ht="15.75" customHeight="1">
      <c r="C684" s="16"/>
      <c r="D684" s="16"/>
      <c r="L684" s="17"/>
      <c r="M684" s="16"/>
      <c r="O684" s="18"/>
    </row>
    <row r="685" ht="15.75" customHeight="1">
      <c r="C685" s="16"/>
      <c r="D685" s="16"/>
      <c r="L685" s="17"/>
      <c r="M685" s="16"/>
      <c r="O685" s="18"/>
    </row>
    <row r="686" ht="15.75" customHeight="1">
      <c r="C686" s="16"/>
      <c r="D686" s="16"/>
      <c r="L686" s="17"/>
      <c r="M686" s="16"/>
      <c r="O686" s="18"/>
    </row>
    <row r="687" ht="15.75" customHeight="1">
      <c r="C687" s="16"/>
      <c r="D687" s="16"/>
      <c r="L687" s="17"/>
      <c r="M687" s="16"/>
      <c r="O687" s="18"/>
    </row>
    <row r="688" ht="15.75" customHeight="1">
      <c r="C688" s="16"/>
      <c r="D688" s="16"/>
      <c r="L688" s="17"/>
      <c r="M688" s="16"/>
      <c r="O688" s="18"/>
    </row>
    <row r="689" ht="15.75" customHeight="1">
      <c r="C689" s="16"/>
      <c r="D689" s="16"/>
      <c r="L689" s="17"/>
      <c r="M689" s="16"/>
      <c r="O689" s="18"/>
    </row>
    <row r="690" ht="15.75" customHeight="1">
      <c r="C690" s="16"/>
      <c r="D690" s="16"/>
      <c r="L690" s="17"/>
      <c r="M690" s="16"/>
      <c r="O690" s="18"/>
    </row>
    <row r="691" ht="15.75" customHeight="1">
      <c r="C691" s="16"/>
      <c r="D691" s="16"/>
      <c r="L691" s="17"/>
      <c r="M691" s="16"/>
      <c r="O691" s="18"/>
    </row>
    <row r="692" ht="15.75" customHeight="1">
      <c r="C692" s="16"/>
      <c r="D692" s="16"/>
      <c r="L692" s="17"/>
      <c r="M692" s="16"/>
      <c r="O692" s="18"/>
    </row>
    <row r="693" ht="15.75" customHeight="1">
      <c r="C693" s="16"/>
      <c r="D693" s="16"/>
      <c r="L693" s="17"/>
      <c r="M693" s="16"/>
      <c r="O693" s="18"/>
    </row>
    <row r="694" ht="15.75" customHeight="1">
      <c r="C694" s="16"/>
      <c r="D694" s="16"/>
      <c r="L694" s="17"/>
      <c r="M694" s="16"/>
      <c r="O694" s="18"/>
    </row>
    <row r="695" ht="15.75" customHeight="1">
      <c r="C695" s="16"/>
      <c r="D695" s="16"/>
      <c r="L695" s="17"/>
      <c r="M695" s="16"/>
      <c r="O695" s="18"/>
    </row>
    <row r="696" ht="15.75" customHeight="1">
      <c r="C696" s="16"/>
      <c r="D696" s="16"/>
      <c r="L696" s="17"/>
      <c r="M696" s="16"/>
      <c r="O696" s="18"/>
    </row>
    <row r="697" ht="15.75" customHeight="1">
      <c r="C697" s="16"/>
      <c r="D697" s="16"/>
      <c r="L697" s="17"/>
      <c r="M697" s="16"/>
      <c r="O697" s="18"/>
    </row>
    <row r="698" ht="15.75" customHeight="1">
      <c r="C698" s="16"/>
      <c r="D698" s="16"/>
      <c r="L698" s="17"/>
      <c r="M698" s="16"/>
      <c r="O698" s="18"/>
    </row>
    <row r="699" ht="15.75" customHeight="1">
      <c r="C699" s="16"/>
      <c r="D699" s="16"/>
      <c r="L699" s="17"/>
      <c r="M699" s="16"/>
      <c r="O699" s="18"/>
    </row>
    <row r="700" ht="15.75" customHeight="1">
      <c r="C700" s="16"/>
      <c r="D700" s="16"/>
      <c r="L700" s="17"/>
      <c r="M700" s="16"/>
      <c r="O700" s="18"/>
    </row>
    <row r="701" ht="15.75" customHeight="1">
      <c r="C701" s="16"/>
      <c r="D701" s="16"/>
      <c r="L701" s="17"/>
      <c r="M701" s="16"/>
      <c r="O701" s="18"/>
    </row>
    <row r="702" ht="15.75" customHeight="1">
      <c r="C702" s="16"/>
      <c r="D702" s="16"/>
      <c r="L702" s="17"/>
      <c r="M702" s="16"/>
      <c r="O702" s="18"/>
    </row>
    <row r="703" ht="15.75" customHeight="1">
      <c r="C703" s="16"/>
      <c r="D703" s="16"/>
      <c r="L703" s="17"/>
      <c r="M703" s="16"/>
      <c r="O703" s="18"/>
    </row>
    <row r="704" ht="15.75" customHeight="1">
      <c r="C704" s="16"/>
      <c r="D704" s="16"/>
      <c r="L704" s="17"/>
      <c r="M704" s="16"/>
      <c r="O704" s="18"/>
    </row>
    <row r="705" ht="15.75" customHeight="1">
      <c r="C705" s="16"/>
      <c r="D705" s="16"/>
      <c r="L705" s="17"/>
      <c r="M705" s="16"/>
      <c r="O705" s="18"/>
    </row>
    <row r="706" ht="15.75" customHeight="1">
      <c r="C706" s="16"/>
      <c r="D706" s="16"/>
      <c r="L706" s="17"/>
      <c r="M706" s="16"/>
      <c r="O706" s="18"/>
    </row>
    <row r="707" ht="15.75" customHeight="1">
      <c r="C707" s="16"/>
      <c r="D707" s="16"/>
      <c r="L707" s="17"/>
      <c r="M707" s="16"/>
      <c r="O707" s="18"/>
    </row>
    <row r="708" ht="15.75" customHeight="1">
      <c r="C708" s="16"/>
      <c r="D708" s="16"/>
      <c r="L708" s="17"/>
      <c r="M708" s="16"/>
      <c r="O708" s="18"/>
    </row>
    <row r="709" ht="15.75" customHeight="1">
      <c r="C709" s="16"/>
      <c r="D709" s="16"/>
      <c r="L709" s="17"/>
      <c r="M709" s="16"/>
      <c r="O709" s="18"/>
    </row>
    <row r="710" ht="15.75" customHeight="1">
      <c r="C710" s="16"/>
      <c r="D710" s="16"/>
      <c r="L710" s="17"/>
      <c r="M710" s="16"/>
      <c r="O710" s="18"/>
    </row>
    <row r="711" ht="15.75" customHeight="1">
      <c r="C711" s="16"/>
      <c r="D711" s="16"/>
      <c r="L711" s="17"/>
      <c r="M711" s="16"/>
      <c r="O711" s="18"/>
    </row>
    <row r="712" ht="15.75" customHeight="1">
      <c r="C712" s="16"/>
      <c r="D712" s="16"/>
      <c r="L712" s="17"/>
      <c r="M712" s="16"/>
      <c r="O712" s="18"/>
    </row>
    <row r="713" ht="15.75" customHeight="1">
      <c r="C713" s="16"/>
      <c r="D713" s="16"/>
      <c r="L713" s="17"/>
      <c r="M713" s="16"/>
      <c r="O713" s="18"/>
    </row>
    <row r="714" ht="15.75" customHeight="1">
      <c r="C714" s="16"/>
      <c r="D714" s="16"/>
      <c r="L714" s="17"/>
      <c r="M714" s="16"/>
      <c r="O714" s="18"/>
    </row>
    <row r="715" ht="15.75" customHeight="1">
      <c r="C715" s="16"/>
      <c r="D715" s="16"/>
      <c r="L715" s="17"/>
      <c r="M715" s="16"/>
      <c r="O715" s="18"/>
    </row>
    <row r="716" ht="15.75" customHeight="1">
      <c r="C716" s="16"/>
      <c r="D716" s="16"/>
      <c r="L716" s="17"/>
      <c r="M716" s="16"/>
      <c r="O716" s="18"/>
    </row>
    <row r="717" ht="15.75" customHeight="1">
      <c r="C717" s="16"/>
      <c r="D717" s="16"/>
      <c r="L717" s="17"/>
      <c r="M717" s="16"/>
      <c r="O717" s="18"/>
    </row>
    <row r="718" ht="15.75" customHeight="1">
      <c r="C718" s="16"/>
      <c r="D718" s="16"/>
      <c r="L718" s="17"/>
      <c r="M718" s="16"/>
      <c r="O718" s="18"/>
    </row>
    <row r="719" ht="15.75" customHeight="1">
      <c r="C719" s="16"/>
      <c r="D719" s="16"/>
      <c r="L719" s="17"/>
      <c r="M719" s="16"/>
      <c r="O719" s="18"/>
    </row>
    <row r="720" ht="15.75" customHeight="1">
      <c r="C720" s="16"/>
      <c r="D720" s="16"/>
      <c r="L720" s="17"/>
      <c r="M720" s="16"/>
      <c r="O720" s="18"/>
    </row>
    <row r="721" ht="15.75" customHeight="1">
      <c r="C721" s="16"/>
      <c r="D721" s="16"/>
      <c r="L721" s="17"/>
      <c r="M721" s="16"/>
      <c r="O721" s="18"/>
    </row>
    <row r="722" ht="15.75" customHeight="1">
      <c r="C722" s="16"/>
      <c r="D722" s="16"/>
      <c r="L722" s="17"/>
      <c r="M722" s="16"/>
      <c r="O722" s="18"/>
    </row>
    <row r="723" ht="15.75" customHeight="1">
      <c r="C723" s="16"/>
      <c r="D723" s="16"/>
      <c r="L723" s="17"/>
      <c r="M723" s="16"/>
      <c r="O723" s="18"/>
    </row>
    <row r="724" ht="15.75" customHeight="1">
      <c r="C724" s="16"/>
      <c r="D724" s="16"/>
      <c r="L724" s="17"/>
      <c r="M724" s="16"/>
      <c r="O724" s="18"/>
    </row>
    <row r="725" ht="15.75" customHeight="1">
      <c r="C725" s="16"/>
      <c r="D725" s="16"/>
      <c r="L725" s="17"/>
      <c r="M725" s="16"/>
      <c r="O725" s="18"/>
    </row>
    <row r="726" ht="15.75" customHeight="1">
      <c r="C726" s="16"/>
      <c r="D726" s="16"/>
      <c r="L726" s="17"/>
      <c r="M726" s="16"/>
      <c r="O726" s="18"/>
    </row>
    <row r="727" ht="15.75" customHeight="1">
      <c r="C727" s="16"/>
      <c r="D727" s="16"/>
      <c r="L727" s="17"/>
      <c r="M727" s="16"/>
      <c r="O727" s="18"/>
    </row>
    <row r="728" ht="15.75" customHeight="1">
      <c r="C728" s="16"/>
      <c r="D728" s="16"/>
      <c r="L728" s="17"/>
      <c r="M728" s="16"/>
      <c r="O728" s="18"/>
    </row>
    <row r="729" ht="15.75" customHeight="1">
      <c r="C729" s="16"/>
      <c r="D729" s="16"/>
      <c r="L729" s="17"/>
      <c r="M729" s="16"/>
      <c r="O729" s="18"/>
    </row>
    <row r="730" ht="15.75" customHeight="1">
      <c r="C730" s="16"/>
      <c r="D730" s="16"/>
      <c r="L730" s="17"/>
      <c r="M730" s="16"/>
      <c r="O730" s="18"/>
    </row>
    <row r="731" ht="15.75" customHeight="1">
      <c r="C731" s="16"/>
      <c r="D731" s="16"/>
      <c r="L731" s="17"/>
      <c r="M731" s="16"/>
      <c r="O731" s="18"/>
    </row>
    <row r="732" ht="15.75" customHeight="1">
      <c r="C732" s="16"/>
      <c r="D732" s="16"/>
      <c r="L732" s="17"/>
      <c r="M732" s="16"/>
      <c r="O732" s="18"/>
    </row>
    <row r="733" ht="15.75" customHeight="1">
      <c r="C733" s="16"/>
      <c r="D733" s="16"/>
      <c r="L733" s="17"/>
      <c r="M733" s="16"/>
      <c r="O733" s="18"/>
    </row>
    <row r="734" ht="15.75" customHeight="1">
      <c r="C734" s="16"/>
      <c r="D734" s="16"/>
      <c r="L734" s="17"/>
      <c r="M734" s="16"/>
      <c r="O734" s="18"/>
    </row>
    <row r="735" ht="15.75" customHeight="1">
      <c r="C735" s="16"/>
      <c r="D735" s="16"/>
      <c r="L735" s="17"/>
      <c r="M735" s="16"/>
      <c r="O735" s="18"/>
    </row>
    <row r="736" ht="15.75" customHeight="1">
      <c r="C736" s="16"/>
      <c r="D736" s="16"/>
      <c r="L736" s="17"/>
      <c r="M736" s="16"/>
      <c r="O736" s="18"/>
    </row>
    <row r="737" ht="15.75" customHeight="1">
      <c r="C737" s="16"/>
      <c r="D737" s="16"/>
      <c r="L737" s="17"/>
      <c r="M737" s="16"/>
      <c r="O737" s="18"/>
    </row>
    <row r="738" ht="15.75" customHeight="1">
      <c r="C738" s="16"/>
      <c r="D738" s="16"/>
      <c r="L738" s="17"/>
      <c r="M738" s="16"/>
      <c r="O738" s="18"/>
    </row>
    <row r="739" ht="15.75" customHeight="1">
      <c r="C739" s="16"/>
      <c r="D739" s="16"/>
      <c r="L739" s="17"/>
      <c r="M739" s="16"/>
      <c r="O739" s="18"/>
    </row>
    <row r="740" ht="15.75" customHeight="1">
      <c r="C740" s="16"/>
      <c r="D740" s="16"/>
      <c r="L740" s="17"/>
      <c r="M740" s="16"/>
      <c r="O740" s="18"/>
    </row>
    <row r="741" ht="15.75" customHeight="1">
      <c r="C741" s="16"/>
      <c r="D741" s="16"/>
      <c r="L741" s="17"/>
      <c r="M741" s="16"/>
      <c r="O741" s="18"/>
    </row>
    <row r="742" ht="15.75" customHeight="1">
      <c r="C742" s="16"/>
      <c r="D742" s="16"/>
      <c r="L742" s="17"/>
      <c r="M742" s="16"/>
      <c r="O742" s="18"/>
    </row>
    <row r="743" ht="15.75" customHeight="1">
      <c r="C743" s="16"/>
      <c r="D743" s="16"/>
      <c r="L743" s="17"/>
      <c r="M743" s="16"/>
      <c r="O743" s="18"/>
    </row>
    <row r="744" ht="15.75" customHeight="1">
      <c r="C744" s="16"/>
      <c r="D744" s="16"/>
      <c r="L744" s="17"/>
      <c r="M744" s="16"/>
      <c r="O744" s="18"/>
    </row>
    <row r="745" ht="15.75" customHeight="1">
      <c r="C745" s="16"/>
      <c r="D745" s="16"/>
      <c r="L745" s="17"/>
      <c r="M745" s="16"/>
      <c r="O745" s="18"/>
    </row>
    <row r="746" ht="15.75" customHeight="1">
      <c r="C746" s="16"/>
      <c r="D746" s="16"/>
      <c r="L746" s="17"/>
      <c r="M746" s="16"/>
      <c r="O746" s="18"/>
    </row>
    <row r="747" ht="15.75" customHeight="1">
      <c r="C747" s="16"/>
      <c r="D747" s="16"/>
      <c r="L747" s="17"/>
      <c r="M747" s="16"/>
      <c r="O747" s="18"/>
    </row>
    <row r="748" ht="15.75" customHeight="1">
      <c r="C748" s="16"/>
      <c r="D748" s="16"/>
      <c r="L748" s="17"/>
      <c r="M748" s="16"/>
      <c r="O748" s="18"/>
    </row>
    <row r="749" ht="15.75" customHeight="1">
      <c r="C749" s="16"/>
      <c r="D749" s="16"/>
      <c r="L749" s="17"/>
      <c r="M749" s="16"/>
      <c r="O749" s="18"/>
    </row>
    <row r="750" ht="15.75" customHeight="1">
      <c r="C750" s="16"/>
      <c r="D750" s="16"/>
      <c r="L750" s="17"/>
      <c r="M750" s="16"/>
      <c r="O750" s="18"/>
    </row>
    <row r="751" ht="15.75" customHeight="1">
      <c r="C751" s="16"/>
      <c r="D751" s="16"/>
      <c r="L751" s="17"/>
      <c r="M751" s="16"/>
      <c r="O751" s="18"/>
    </row>
    <row r="752" ht="15.75" customHeight="1">
      <c r="C752" s="16"/>
      <c r="D752" s="16"/>
      <c r="L752" s="17"/>
      <c r="M752" s="16"/>
      <c r="O752" s="18"/>
    </row>
    <row r="753" ht="15.75" customHeight="1">
      <c r="C753" s="16"/>
      <c r="D753" s="16"/>
      <c r="L753" s="17"/>
      <c r="M753" s="16"/>
      <c r="O753" s="18"/>
    </row>
    <row r="754" ht="15.75" customHeight="1">
      <c r="C754" s="16"/>
      <c r="D754" s="16"/>
      <c r="L754" s="17"/>
      <c r="M754" s="16"/>
      <c r="O754" s="18"/>
    </row>
    <row r="755" ht="15.75" customHeight="1">
      <c r="C755" s="16"/>
      <c r="D755" s="16"/>
      <c r="L755" s="17"/>
      <c r="M755" s="16"/>
      <c r="O755" s="18"/>
    </row>
    <row r="756" ht="15.75" customHeight="1">
      <c r="C756" s="16"/>
      <c r="D756" s="16"/>
      <c r="L756" s="17"/>
      <c r="M756" s="16"/>
      <c r="O756" s="18"/>
    </row>
    <row r="757" ht="15.75" customHeight="1">
      <c r="C757" s="16"/>
      <c r="D757" s="16"/>
      <c r="L757" s="17"/>
      <c r="M757" s="16"/>
      <c r="O757" s="18"/>
    </row>
    <row r="758" ht="15.75" customHeight="1">
      <c r="C758" s="16"/>
      <c r="D758" s="16"/>
      <c r="L758" s="17"/>
      <c r="M758" s="16"/>
      <c r="O758" s="18"/>
    </row>
    <row r="759" ht="15.75" customHeight="1">
      <c r="C759" s="16"/>
      <c r="D759" s="16"/>
      <c r="L759" s="17"/>
      <c r="M759" s="16"/>
      <c r="O759" s="18"/>
    </row>
    <row r="760" ht="15.75" customHeight="1">
      <c r="C760" s="16"/>
      <c r="D760" s="16"/>
      <c r="L760" s="17"/>
      <c r="M760" s="16"/>
      <c r="O760" s="18"/>
    </row>
    <row r="761" ht="15.75" customHeight="1">
      <c r="C761" s="16"/>
      <c r="D761" s="16"/>
      <c r="L761" s="17"/>
      <c r="M761" s="16"/>
      <c r="O761" s="18"/>
    </row>
    <row r="762" ht="15.75" customHeight="1">
      <c r="C762" s="16"/>
      <c r="D762" s="16"/>
      <c r="L762" s="17"/>
      <c r="M762" s="16"/>
      <c r="O762" s="18"/>
    </row>
    <row r="763" ht="15.75" customHeight="1">
      <c r="C763" s="16"/>
      <c r="D763" s="16"/>
      <c r="L763" s="17"/>
      <c r="M763" s="16"/>
      <c r="O763" s="18"/>
    </row>
    <row r="764" ht="15.75" customHeight="1">
      <c r="C764" s="16"/>
      <c r="D764" s="16"/>
      <c r="L764" s="17"/>
      <c r="M764" s="16"/>
      <c r="O764" s="18"/>
    </row>
    <row r="765" ht="15.75" customHeight="1">
      <c r="C765" s="16"/>
      <c r="D765" s="16"/>
      <c r="L765" s="17"/>
      <c r="M765" s="16"/>
      <c r="O765" s="18"/>
    </row>
    <row r="766" ht="15.75" customHeight="1">
      <c r="C766" s="16"/>
      <c r="D766" s="16"/>
      <c r="L766" s="17"/>
      <c r="M766" s="16"/>
      <c r="O766" s="18"/>
    </row>
    <row r="767" ht="15.75" customHeight="1">
      <c r="C767" s="16"/>
      <c r="D767" s="16"/>
      <c r="L767" s="17"/>
      <c r="M767" s="16"/>
      <c r="O767" s="18"/>
    </row>
    <row r="768" ht="15.75" customHeight="1">
      <c r="C768" s="16"/>
      <c r="D768" s="16"/>
      <c r="L768" s="17"/>
      <c r="M768" s="16"/>
      <c r="O768" s="18"/>
    </row>
    <row r="769" ht="15.75" customHeight="1">
      <c r="C769" s="16"/>
      <c r="D769" s="16"/>
      <c r="L769" s="17"/>
      <c r="M769" s="16"/>
      <c r="O769" s="18"/>
    </row>
    <row r="770" ht="15.75" customHeight="1">
      <c r="C770" s="16"/>
      <c r="D770" s="16"/>
      <c r="L770" s="17"/>
      <c r="M770" s="16"/>
      <c r="O770" s="18"/>
    </row>
    <row r="771" ht="15.75" customHeight="1">
      <c r="C771" s="16"/>
      <c r="D771" s="16"/>
      <c r="L771" s="17"/>
      <c r="M771" s="16"/>
      <c r="O771" s="18"/>
    </row>
    <row r="772" ht="15.75" customHeight="1">
      <c r="C772" s="16"/>
      <c r="D772" s="16"/>
      <c r="L772" s="17"/>
      <c r="M772" s="16"/>
      <c r="O772" s="18"/>
    </row>
    <row r="773" ht="15.75" customHeight="1">
      <c r="C773" s="16"/>
      <c r="D773" s="16"/>
      <c r="L773" s="17"/>
      <c r="M773" s="16"/>
      <c r="O773" s="18"/>
    </row>
    <row r="774" ht="15.75" customHeight="1">
      <c r="C774" s="16"/>
      <c r="D774" s="16"/>
      <c r="L774" s="17"/>
      <c r="M774" s="16"/>
      <c r="O774" s="18"/>
    </row>
    <row r="775" ht="15.75" customHeight="1">
      <c r="C775" s="16"/>
      <c r="D775" s="16"/>
      <c r="L775" s="17"/>
      <c r="M775" s="16"/>
      <c r="O775" s="18"/>
    </row>
    <row r="776" ht="15.75" customHeight="1">
      <c r="C776" s="16"/>
      <c r="D776" s="16"/>
      <c r="L776" s="17"/>
      <c r="M776" s="16"/>
      <c r="O776" s="18"/>
    </row>
    <row r="777" ht="15.75" customHeight="1">
      <c r="C777" s="16"/>
      <c r="D777" s="16"/>
      <c r="L777" s="17"/>
      <c r="M777" s="16"/>
      <c r="O777" s="18"/>
    </row>
    <row r="778" ht="15.75" customHeight="1">
      <c r="C778" s="16"/>
      <c r="D778" s="16"/>
      <c r="L778" s="17"/>
      <c r="M778" s="16"/>
      <c r="O778" s="18"/>
    </row>
    <row r="779" ht="15.75" customHeight="1">
      <c r="C779" s="16"/>
      <c r="D779" s="16"/>
      <c r="L779" s="17"/>
      <c r="M779" s="16"/>
      <c r="O779" s="18"/>
    </row>
    <row r="780" ht="15.75" customHeight="1">
      <c r="C780" s="16"/>
      <c r="D780" s="16"/>
      <c r="L780" s="17"/>
      <c r="M780" s="16"/>
      <c r="O780" s="18"/>
    </row>
    <row r="781" ht="15.75" customHeight="1">
      <c r="C781" s="16"/>
      <c r="D781" s="16"/>
      <c r="L781" s="17"/>
      <c r="M781" s="16"/>
      <c r="O781" s="18"/>
    </row>
    <row r="782" ht="15.75" customHeight="1">
      <c r="C782" s="16"/>
      <c r="D782" s="16"/>
      <c r="L782" s="17"/>
      <c r="M782" s="16"/>
      <c r="O782" s="18"/>
    </row>
    <row r="783" ht="15.75" customHeight="1">
      <c r="C783" s="16"/>
      <c r="D783" s="16"/>
      <c r="L783" s="17"/>
      <c r="M783" s="16"/>
      <c r="O783" s="18"/>
    </row>
    <row r="784" ht="15.75" customHeight="1">
      <c r="C784" s="16"/>
      <c r="D784" s="16"/>
      <c r="L784" s="17"/>
      <c r="M784" s="16"/>
      <c r="O784" s="18"/>
    </row>
    <row r="785" ht="15.75" customHeight="1">
      <c r="C785" s="16"/>
      <c r="D785" s="16"/>
      <c r="L785" s="17"/>
      <c r="M785" s="16"/>
      <c r="O785" s="18"/>
    </row>
    <row r="786" ht="15.75" customHeight="1">
      <c r="C786" s="16"/>
      <c r="D786" s="16"/>
      <c r="L786" s="17"/>
      <c r="M786" s="16"/>
      <c r="O786" s="18"/>
    </row>
    <row r="787" ht="15.75" customHeight="1">
      <c r="C787" s="16"/>
      <c r="D787" s="16"/>
      <c r="L787" s="17"/>
      <c r="M787" s="16"/>
      <c r="O787" s="18"/>
    </row>
    <row r="788" ht="15.75" customHeight="1">
      <c r="C788" s="16"/>
      <c r="D788" s="16"/>
      <c r="L788" s="17"/>
      <c r="M788" s="16"/>
      <c r="O788" s="18"/>
    </row>
    <row r="789" ht="15.75" customHeight="1">
      <c r="C789" s="16"/>
      <c r="D789" s="16"/>
      <c r="L789" s="17"/>
      <c r="M789" s="16"/>
      <c r="O789" s="18"/>
    </row>
    <row r="790" ht="15.75" customHeight="1">
      <c r="C790" s="16"/>
      <c r="D790" s="16"/>
      <c r="L790" s="17"/>
      <c r="M790" s="16"/>
      <c r="O790" s="18"/>
    </row>
    <row r="791" ht="15.75" customHeight="1">
      <c r="C791" s="16"/>
      <c r="D791" s="16"/>
      <c r="L791" s="17"/>
      <c r="M791" s="16"/>
      <c r="O791" s="18"/>
    </row>
    <row r="792" ht="15.75" customHeight="1">
      <c r="C792" s="16"/>
      <c r="D792" s="16"/>
      <c r="L792" s="17"/>
      <c r="M792" s="16"/>
      <c r="O792" s="18"/>
    </row>
    <row r="793" ht="15.75" customHeight="1">
      <c r="C793" s="16"/>
      <c r="D793" s="16"/>
      <c r="L793" s="17"/>
      <c r="M793" s="16"/>
      <c r="O793" s="18"/>
    </row>
    <row r="794" ht="15.75" customHeight="1">
      <c r="C794" s="16"/>
      <c r="D794" s="16"/>
      <c r="L794" s="17"/>
      <c r="M794" s="16"/>
      <c r="O794" s="18"/>
    </row>
    <row r="795" ht="15.75" customHeight="1">
      <c r="C795" s="16"/>
      <c r="D795" s="16"/>
      <c r="L795" s="17"/>
      <c r="M795" s="16"/>
      <c r="O795" s="18"/>
    </row>
    <row r="796" ht="15.75" customHeight="1">
      <c r="C796" s="16"/>
      <c r="D796" s="16"/>
      <c r="L796" s="17"/>
      <c r="M796" s="16"/>
      <c r="O796" s="18"/>
    </row>
    <row r="797" ht="15.75" customHeight="1">
      <c r="C797" s="16"/>
      <c r="D797" s="16"/>
      <c r="L797" s="17"/>
      <c r="M797" s="16"/>
      <c r="O797" s="18"/>
    </row>
    <row r="798" ht="15.75" customHeight="1">
      <c r="C798" s="16"/>
      <c r="D798" s="16"/>
      <c r="L798" s="17"/>
      <c r="M798" s="16"/>
      <c r="O798" s="18"/>
    </row>
    <row r="799" ht="15.75" customHeight="1">
      <c r="C799" s="16"/>
      <c r="D799" s="16"/>
      <c r="L799" s="17"/>
      <c r="M799" s="16"/>
      <c r="O799" s="18"/>
    </row>
    <row r="800" ht="15.75" customHeight="1">
      <c r="C800" s="16"/>
      <c r="D800" s="16"/>
      <c r="L800" s="17"/>
      <c r="M800" s="16"/>
      <c r="O800" s="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25"/>
    <col customWidth="1" min="2" max="2" width="17.5"/>
    <col customWidth="1" min="3" max="3" width="15.13"/>
  </cols>
  <sheetData>
    <row r="1">
      <c r="A1" s="19" t="s">
        <v>181</v>
      </c>
      <c r="B1" s="18">
        <f>MAX(Main!O:O)</f>
        <v>4762926995</v>
      </c>
      <c r="C1" s="15" t="str">
        <f>VLOOKUP(B1,Main!O:Q,3,0)</f>
        <v>Vale</v>
      </c>
    </row>
    <row r="2">
      <c r="A2" s="19" t="s">
        <v>182</v>
      </c>
      <c r="B2" s="18">
        <f>MIN(Main!O:O)</f>
        <v>-1807432634</v>
      </c>
      <c r="C2" s="15" t="str">
        <f>VLOOKUP(B2,Main!O:Q,3,0)</f>
        <v>Localiza</v>
      </c>
    </row>
    <row r="3">
      <c r="A3" s="19" t="s">
        <v>183</v>
      </c>
      <c r="B3" s="18">
        <f>AVERAGE(Main!O:O)</f>
        <v>165190210.5</v>
      </c>
    </row>
    <row r="4">
      <c r="A4" s="19" t="s">
        <v>184</v>
      </c>
      <c r="B4" s="18">
        <f>AVERAGEIF(Main!P:P, "Positivo", Main!O:O)</f>
        <v>448164250.2</v>
      </c>
    </row>
    <row r="5">
      <c r="A5" s="19" t="s">
        <v>185</v>
      </c>
      <c r="B5" s="18">
        <f>AVERAGEIF(Main!P:P, "Negativo", Main!O:O)</f>
        <v>-181109141.8</v>
      </c>
    </row>
    <row r="8">
      <c r="A8" s="13" t="str">
        <f>IFERROR(__xludf.DUMMYFUNCTION("UNIQUE(Main!R:R)"),"Segmento")</f>
        <v>Segmento</v>
      </c>
      <c r="B8" s="19" t="s">
        <v>186</v>
      </c>
      <c r="C8" s="19" t="s">
        <v>187</v>
      </c>
    </row>
    <row r="9">
      <c r="A9" s="15" t="str">
        <f>IFERROR(__xludf.DUMMYFUNCTION("""COMPUTED_VALUE"""),"Siderurgia")</f>
        <v>Siderurgia</v>
      </c>
      <c r="B9" s="18">
        <f>SUMIF(Main!R:R,A9,Main!O:O)</f>
        <v>489935930.9</v>
      </c>
      <c r="C9" s="18">
        <f>SUMIFS(Main!O:O,Main!R:R,A9,Main!P:P,"Positivo")</f>
        <v>489935930.9</v>
      </c>
    </row>
    <row r="10">
      <c r="A10" s="15" t="str">
        <f>IFERROR(__xludf.DUMMYFUNCTION("""COMPUTED_VALUE"""),"Mineração")</f>
        <v>Mineração</v>
      </c>
      <c r="B10" s="18">
        <f>SUMIF(Main!R:R,A10,Main!O:O)</f>
        <v>4940442966</v>
      </c>
      <c r="C10" s="18">
        <f>SUMIFS(Main!O:O,Main!R:R,A10,Main!P:P,"Positivo")</f>
        <v>4940442966</v>
      </c>
    </row>
    <row r="11">
      <c r="A11" s="15" t="str">
        <f>IFERROR(__xludf.DUMMYFUNCTION("""COMPUTED_VALUE"""),"Petróleo e Gás")</f>
        <v>Petróleo e Gás</v>
      </c>
      <c r="B11" s="18">
        <f>SUMIF(Main!R:R,A11,Main!O:O)</f>
        <v>6093288832</v>
      </c>
      <c r="C11" s="18">
        <f>SUMIFS(Main!O:O,Main!R:R,A11,Main!P:P,"Positivo")</f>
        <v>6093288832</v>
      </c>
    </row>
    <row r="12">
      <c r="A12" s="15" t="str">
        <f>IFERROR(__xludf.DUMMYFUNCTION("""COMPUTED_VALUE"""),"Papel e Celulose")</f>
        <v>Papel e Celulose</v>
      </c>
      <c r="B12" s="18">
        <f>SUMIF(Main!R:R,A12,Main!O:O)</f>
        <v>722946282.7</v>
      </c>
      <c r="C12" s="18">
        <f>SUMIFS(Main!O:O,Main!R:R,A12,Main!P:P,"Positivo")</f>
        <v>722946282.7</v>
      </c>
    </row>
    <row r="13">
      <c r="A13" s="15" t="str">
        <f>IFERROR(__xludf.DUMMYFUNCTION("""COMPUTED_VALUE"""),"Energia")</f>
        <v>Energia</v>
      </c>
      <c r="B13" s="18">
        <f>SUMIF(Main!R:R,A13,Main!O:O)</f>
        <v>-184489135.1</v>
      </c>
      <c r="C13" s="18">
        <f>SUMIFS(Main!O:O,Main!R:R,A13,Main!P:P,"Positivo")</f>
        <v>693886746.4</v>
      </c>
    </row>
    <row r="14">
      <c r="A14" s="15" t="str">
        <f>IFERROR(__xludf.DUMMYFUNCTION("""COMPUTED_VALUE"""),"Shopping Centers")</f>
        <v>Shopping Centers</v>
      </c>
      <c r="B14" s="18">
        <f>SUMIF(Main!R:R,A14,Main!O:O)</f>
        <v>117732680.1</v>
      </c>
      <c r="C14" s="18">
        <f>SUMIFS(Main!O:O,Main!R:R,A14,Main!P:P,"Positivo")</f>
        <v>117732680.1</v>
      </c>
    </row>
    <row r="15">
      <c r="A15" s="15" t="str">
        <f>IFERROR(__xludf.DUMMYFUNCTION("""COMPUTED_VALUE"""),"Serviços Financeiros")</f>
        <v>Serviços Financeiros</v>
      </c>
      <c r="B15" s="18">
        <f>SUMIF(Main!R:R,A15,Main!O:O)</f>
        <v>2566726352</v>
      </c>
      <c r="C15" s="18">
        <f>SUMIFS(Main!O:O,Main!R:R,A15,Main!P:P,"Positivo")</f>
        <v>3740512019</v>
      </c>
    </row>
    <row r="16">
      <c r="A16" s="15" t="str">
        <f>IFERROR(__xludf.DUMMYFUNCTION("""COMPUTED_VALUE"""),"Saúde")</f>
        <v>Saúde</v>
      </c>
      <c r="B16" s="18">
        <f>SUMIF(Main!R:R,A16,Main!O:O)</f>
        <v>60321469.88</v>
      </c>
      <c r="C16" s="18">
        <f>SUMIFS(Main!O:O,Main!R:R,A16,Main!P:P,"Positivo")</f>
        <v>453917907</v>
      </c>
    </row>
    <row r="17">
      <c r="A17" s="15" t="str">
        <f>IFERROR(__xludf.DUMMYFUNCTION("""COMPUTED_VALUE"""),"Petroquímica")</f>
        <v>Petroquímica</v>
      </c>
      <c r="B17" s="18">
        <f>SUMIF(Main!R:R,A17,Main!O:O)</f>
        <v>69054317.64</v>
      </c>
      <c r="C17" s="18">
        <f>SUMIFS(Main!O:O,Main!R:R,A17,Main!P:P,"Positivo")</f>
        <v>69054317.64</v>
      </c>
    </row>
    <row r="18">
      <c r="A18" s="15" t="str">
        <f>IFERROR(__xludf.DUMMYFUNCTION("""COMPUTED_VALUE"""),"Transporte Aéreo")</f>
        <v>Transporte Aéreo</v>
      </c>
      <c r="B18" s="18">
        <f>SUMIF(Main!R:R,A18,Main!O:O)</f>
        <v>-37540997.06</v>
      </c>
      <c r="C18" s="18">
        <f>SUMIFS(Main!O:O,Main!R:R,A18,Main!P:P,"Positivo")</f>
        <v>65452205.55</v>
      </c>
    </row>
    <row r="19">
      <c r="A19" s="15" t="str">
        <f>IFERROR(__xludf.DUMMYFUNCTION("""COMPUTED_VALUE"""),"Educação")</f>
        <v>Educação</v>
      </c>
      <c r="B19" s="18">
        <f>SUMIF(Main!R:R,A19,Main!O:O)</f>
        <v>54641872.47</v>
      </c>
      <c r="C19" s="18">
        <f>SUMIFS(Main!O:O,Main!R:R,A19,Main!P:P,"Positivo")</f>
        <v>72295838.99</v>
      </c>
    </row>
    <row r="20">
      <c r="A20" s="15" t="str">
        <f>IFERROR(__xludf.DUMMYFUNCTION("""COMPUTED_VALUE"""),"Energia e Química")</f>
        <v>Energia e Química</v>
      </c>
      <c r="B20" s="18">
        <f>SUMIF(Main!R:R,A20,Main!O:O)</f>
        <v>388705224</v>
      </c>
      <c r="C20" s="18">
        <f>SUMIFS(Main!O:O,Main!R:R,A20,Main!P:P,"Positivo")</f>
        <v>388705224</v>
      </c>
    </row>
    <row r="21">
      <c r="A21" s="15" t="str">
        <f>IFERROR(__xludf.DUMMYFUNCTION("""COMPUTED_VALUE"""),"Construção Civil")</f>
        <v>Construção Civil</v>
      </c>
      <c r="B21" s="18">
        <f>SUMIF(Main!R:R,A21,Main!O:O)</f>
        <v>-61087401.61</v>
      </c>
      <c r="C21" s="18">
        <f>SUMIFS(Main!O:O,Main!R:R,A21,Main!P:P,"Positivo")</f>
        <v>37525872.38</v>
      </c>
    </row>
    <row r="22">
      <c r="A22" s="15" t="str">
        <f>IFERROR(__xludf.DUMMYFUNCTION("""COMPUTED_VALUE"""),"Moda e Calçados")</f>
        <v>Moda e Calçados</v>
      </c>
      <c r="B22" s="18">
        <f>SUMIF(Main!R:R,A22,Main!O:O)</f>
        <v>-376281218.8</v>
      </c>
      <c r="C22" s="18">
        <f>SUMIFS(Main!O:O,Main!R:R,A22,Main!P:P,"Positivo")</f>
        <v>41021792.09</v>
      </c>
    </row>
    <row r="23">
      <c r="A23" s="15" t="str">
        <f>IFERROR(__xludf.DUMMYFUNCTION("""COMPUTED_VALUE"""),"Alimentos")</f>
        <v>Alimentos</v>
      </c>
      <c r="B23" s="18">
        <f>SUMIF(Main!R:R,A23,Main!O:O)</f>
        <v>407833683.1</v>
      </c>
      <c r="C23" s="18">
        <f>SUMIFS(Main!O:O,Main!R:R,A23,Main!P:P,"Positivo")</f>
        <v>407833683.1</v>
      </c>
    </row>
    <row r="24">
      <c r="A24" s="15" t="str">
        <f>IFERROR(__xludf.DUMMYFUNCTION("""COMPUTED_VALUE"""),"Varejo")</f>
        <v>Varejo</v>
      </c>
      <c r="B24" s="18">
        <f>SUMIF(Main!R:R,A24,Main!O:O)</f>
        <v>-407054634.7</v>
      </c>
      <c r="C24" s="18">
        <f>SUMIFS(Main!O:O,Main!R:R,A24,Main!P:P,"Positivo")</f>
        <v>34834535.5</v>
      </c>
    </row>
    <row r="25">
      <c r="A25" s="15" t="str">
        <f>IFERROR(__xludf.DUMMYFUNCTION("""COMPUTED_VALUE"""),"Telecomunicações")</f>
        <v>Telecomunicações</v>
      </c>
      <c r="B25" s="18">
        <f>SUMIF(Main!R:R,A25,Main!O:O)</f>
        <v>292938114.4</v>
      </c>
      <c r="C25" s="18">
        <f>SUMIFS(Main!O:O,Main!R:R,A25,Main!P:P,"Positivo")</f>
        <v>292938114.4</v>
      </c>
    </row>
    <row r="26">
      <c r="A26" s="15" t="str">
        <f>IFERROR(__xludf.DUMMYFUNCTION("""COMPUTED_VALUE"""),"Logística")</f>
        <v>Logística</v>
      </c>
      <c r="B26" s="18">
        <f>SUMIF(Main!R:R,A26,Main!O:O)</f>
        <v>233902674.8</v>
      </c>
      <c r="C26" s="18">
        <f>SUMIFS(Main!O:O,Main!R:R,A26,Main!P:P,"Positivo")</f>
        <v>233902674.8</v>
      </c>
    </row>
    <row r="27">
      <c r="A27" s="15" t="str">
        <f>IFERROR(__xludf.DUMMYFUNCTION("""COMPUTED_VALUE"""),"Meios de Pagamento")</f>
        <v>Meios de Pagamento</v>
      </c>
      <c r="B27" s="18">
        <f>SUMIF(Main!R:R,A27,Main!O:O)</f>
        <v>43657683.38</v>
      </c>
      <c r="C27" s="18">
        <f>SUMIFS(Main!O:O,Main!R:R,A27,Main!P:P,"Positivo")</f>
        <v>43657683.38</v>
      </c>
    </row>
    <row r="28">
      <c r="A28" s="15" t="str">
        <f>IFERROR(__xludf.DUMMYFUNCTION("""COMPUTED_VALUE"""),"Holding")</f>
        <v>Holding</v>
      </c>
      <c r="B28" s="18">
        <f>SUMIF(Main!R:R,A28,Main!O:O)</f>
        <v>18068446.61</v>
      </c>
      <c r="C28" s="18">
        <f>SUMIFS(Main!O:O,Main!R:R,A28,Main!P:P,"Positivo")</f>
        <v>18068446.61</v>
      </c>
    </row>
    <row r="29">
      <c r="A29" s="15" t="str">
        <f>IFERROR(__xludf.DUMMYFUNCTION("""COMPUTED_VALUE"""),"Investimentos Diversos")</f>
        <v>Investimentos Diversos</v>
      </c>
      <c r="B29" s="18">
        <f>SUMIF(Main!R:R,A29,Main!O:O)</f>
        <v>416092244.4</v>
      </c>
      <c r="C29" s="18">
        <f>SUMIFS(Main!O:O,Main!R:R,A29,Main!P:P,"Positivo")</f>
        <v>416092244.4</v>
      </c>
    </row>
    <row r="30">
      <c r="A30" s="15" t="str">
        <f>IFERROR(__xludf.DUMMYFUNCTION("""COMPUTED_VALUE"""),"Tecnologia")</f>
        <v>Tecnologia</v>
      </c>
      <c r="B30" s="18">
        <f>SUMIF(Main!R:R,A30,Main!O:O)</f>
        <v>-112162901.5</v>
      </c>
      <c r="C30" s="18">
        <f>SUMIFS(Main!O:O,Main!R:R,A30,Main!P:P,"Positivo")</f>
        <v>15598886.65</v>
      </c>
    </row>
    <row r="31">
      <c r="A31" s="15" t="str">
        <f>IFERROR(__xludf.DUMMYFUNCTION("""COMPUTED_VALUE"""),"Farmácias")</f>
        <v>Farmácias</v>
      </c>
      <c r="B31" s="18">
        <f>SUMIF(Main!R:R,A31,Main!O:O)</f>
        <v>202352473.7</v>
      </c>
      <c r="C31" s="18">
        <f>SUMIFS(Main!O:O,Main!R:R,A31,Main!P:P,"Positivo")</f>
        <v>202352473.7</v>
      </c>
    </row>
    <row r="32">
      <c r="A32" s="15" t="str">
        <f>IFERROR(__xludf.DUMMYFUNCTION("""COMPUTED_VALUE"""),"Energia e Infraestrutura")</f>
        <v>Energia e Infraestrutura</v>
      </c>
      <c r="B32" s="18">
        <f>SUMIF(Main!R:R,A32,Main!O:O)</f>
        <v>127229653.2</v>
      </c>
      <c r="C32" s="18">
        <f>SUMIFS(Main!O:O,Main!R:R,A32,Main!P:P,"Positivo")</f>
        <v>127229653.2</v>
      </c>
    </row>
    <row r="33">
      <c r="A33" s="15" t="str">
        <f>IFERROR(__xludf.DUMMYFUNCTION("""COMPUTED_VALUE"""),"Bebidas")</f>
        <v>Bebidas</v>
      </c>
      <c r="B33" s="18">
        <f>SUMIF(Main!R:R,A33,Main!O:O)</f>
        <v>0</v>
      </c>
      <c r="C33" s="18">
        <f>SUMIFS(Main!O:O,Main!R:R,A33,Main!P:P,"Positivo")</f>
        <v>0</v>
      </c>
    </row>
    <row r="34">
      <c r="A34" s="15" t="str">
        <f>IFERROR(__xludf.DUMMYFUNCTION("""COMPUTED_VALUE"""),"Seguros")</f>
        <v>Seguros</v>
      </c>
      <c r="B34" s="18">
        <f>SUMIF(Main!R:R,A34,Main!O:O)</f>
        <v>-26297880.21</v>
      </c>
      <c r="C34" s="18">
        <f>SUMIFS(Main!O:O,Main!R:R,A34,Main!P:P,"Positivo")</f>
        <v>0</v>
      </c>
    </row>
    <row r="35">
      <c r="A35" s="15" t="str">
        <f>IFERROR(__xludf.DUMMYFUNCTION("""COMPUTED_VALUE"""),"Saneamento")</f>
        <v>Saneamento</v>
      </c>
      <c r="B35" s="18">
        <f>SUMIF(Main!R:R,A35,Main!O:O)</f>
        <v>-15725678.56</v>
      </c>
      <c r="C35" s="18">
        <f>SUMIFS(Main!O:O,Main!R:R,A35,Main!P:P,"Positivo")</f>
        <v>0</v>
      </c>
    </row>
    <row r="36">
      <c r="A36" s="15" t="str">
        <f>IFERROR(__xludf.DUMMYFUNCTION("""COMPUTED_VALUE"""),"Agricultura")</f>
        <v>Agricultura</v>
      </c>
      <c r="B36" s="18">
        <f>SUMIF(Main!R:R,A36,Main!O:O)</f>
        <v>-9468663.682</v>
      </c>
      <c r="C36" s="18">
        <f>SUMIFS(Main!O:O,Main!R:R,A36,Main!P:P,"Positivo")</f>
        <v>0</v>
      </c>
    </row>
    <row r="37">
      <c r="A37" s="15" t="str">
        <f>IFERROR(__xludf.DUMMYFUNCTION("""COMPUTED_VALUE"""),"Infraestrutura")</f>
        <v>Infraestrutura</v>
      </c>
      <c r="B37" s="18">
        <f>SUMIF(Main!R:R,A37,Main!O:O)</f>
        <v>-39743554.31</v>
      </c>
      <c r="C37" s="18">
        <f>SUMIFS(Main!O:O,Main!R:R,A37,Main!P:P,"Positivo")</f>
        <v>0</v>
      </c>
    </row>
    <row r="38">
      <c r="A38" s="15" t="str">
        <f>IFERROR(__xludf.DUMMYFUNCTION("""COMPUTED_VALUE"""),"Aeroespacial")</f>
        <v>Aeroespacial</v>
      </c>
      <c r="B38" s="18">
        <f>SUMIF(Main!R:R,A38,Main!O:O)</f>
        <v>-233651943.5</v>
      </c>
      <c r="C38" s="18">
        <f>SUMIFS(Main!O:O,Main!R:R,A38,Main!P:P,"Positivo")</f>
        <v>0</v>
      </c>
    </row>
    <row r="39">
      <c r="A39" s="15" t="str">
        <f>IFERROR(__xludf.DUMMYFUNCTION("""COMPUTED_VALUE"""),"Beleza")</f>
        <v>Beleza</v>
      </c>
      <c r="B39" s="18">
        <f>SUMIF(Main!R:R,A39,Main!O:O)</f>
        <v>-193280001.2</v>
      </c>
      <c r="C39" s="18">
        <f>SUMIFS(Main!O:O,Main!R:R,A39,Main!P:P,"Positivo")</f>
        <v>0</v>
      </c>
    </row>
    <row r="40">
      <c r="A40" s="15" t="str">
        <f>IFERROR(__xludf.DUMMYFUNCTION("""COMPUTED_VALUE"""),"Farmacêutica")</f>
        <v>Farmacêutica</v>
      </c>
      <c r="B40" s="18">
        <f>SUMIF(Main!R:R,A40,Main!O:O)</f>
        <v>-208257014.2</v>
      </c>
      <c r="C40" s="18">
        <f>SUMIFS(Main!O:O,Main!R:R,A40,Main!P:P,"Positivo")</f>
        <v>0</v>
      </c>
    </row>
    <row r="41">
      <c r="A41" s="15" t="str">
        <f>IFERROR(__xludf.DUMMYFUNCTION("""COMPUTED_VALUE"""),"Agronegócio")</f>
        <v>Agronegócio</v>
      </c>
      <c r="B41" s="18">
        <f>SUMIF(Main!R:R,A41,Main!O:O)</f>
        <v>-79432785.74</v>
      </c>
      <c r="C41" s="18">
        <f>SUMIFS(Main!O:O,Main!R:R,A41,Main!P:P,"Positivo")</f>
        <v>0</v>
      </c>
    </row>
    <row r="42">
      <c r="A42" s="15" t="str">
        <f>IFERROR(__xludf.DUMMYFUNCTION("""COMPUTED_VALUE"""),"Aluguel de Carros")</f>
        <v>Aluguel de Carros</v>
      </c>
      <c r="B42" s="18">
        <f>SUMIF(Main!R:R,A42,Main!O:O)</f>
        <v>-1807432634</v>
      </c>
      <c r="C42" s="18">
        <f>SUMIFS(Main!O:O,Main!R:R,A42,Main!P:P,"Positivo")</f>
        <v>0</v>
      </c>
    </row>
    <row r="43">
      <c r="A43" s="15" t="str">
        <f>IFERROR(__xludf.DUMMYFUNCTION("""COMPUTED_VALUE"""),"Turismo")</f>
        <v>Turismo</v>
      </c>
      <c r="B43" s="18">
        <f>SUMIF(Main!R:R,A43,Main!O:O)</f>
        <v>-73557408.06</v>
      </c>
      <c r="C43" s="18">
        <f>SUMIFS(Main!O:O,Main!R:R,A43,Main!P:P,"Positivo")</f>
        <v>0</v>
      </c>
    </row>
    <row r="44">
      <c r="A44" s="15"/>
    </row>
    <row r="46">
      <c r="A46" s="13" t="str">
        <f>IFERROR(__xludf.DUMMYFUNCTION("UNIQUE(Main!P:P)"),"Resultado")</f>
        <v>Resultado</v>
      </c>
      <c r="B46" s="19" t="s">
        <v>186</v>
      </c>
    </row>
    <row r="47">
      <c r="A47" s="15" t="str">
        <f>IFERROR(__xludf.DUMMYFUNCTION("""COMPUTED_VALUE"""),"Positivo")</f>
        <v>Positivo</v>
      </c>
      <c r="B47" s="18">
        <f>SUMIF(Main!P:P,A47,Main!O:O)</f>
        <v>19719227010</v>
      </c>
    </row>
    <row r="48">
      <c r="A48" s="15" t="str">
        <f>IFERROR(__xludf.DUMMYFUNCTION("""COMPUTED_VALUE"""),"Estável")</f>
        <v>Estável</v>
      </c>
      <c r="B48" s="18">
        <f>SUMIF(Main!P:P,A48,Main!O:O)</f>
        <v>0</v>
      </c>
    </row>
    <row r="49">
      <c r="A49" s="15" t="str">
        <f>IFERROR(__xludf.DUMMYFUNCTION("""COMPUTED_VALUE"""),"Negativo")</f>
        <v>Negativo</v>
      </c>
      <c r="B49" s="18">
        <f>SUMIF(Main!P:P,A49,Main!O:O)</f>
        <v>-6338819961</v>
      </c>
    </row>
    <row r="50">
      <c r="A50" s="15"/>
      <c r="B50" s="18">
        <f>B47+B49</f>
        <v>13380407049</v>
      </c>
    </row>
    <row r="53">
      <c r="A53" s="13" t="str">
        <f>IFERROR(__xludf.DUMMYFUNCTION("UNIQUE(Main!T:T)"),"Faixa Etária")</f>
        <v>Faixa Etária</v>
      </c>
      <c r="B53" s="19" t="s">
        <v>186</v>
      </c>
      <c r="C53" s="19" t="s">
        <v>188</v>
      </c>
    </row>
    <row r="54">
      <c r="A54" s="15" t="str">
        <f>IFERROR(__xludf.DUMMYFUNCTION("""COMPUTED_VALUE"""),"Entre 50 e 100")</f>
        <v>Entre 50 e 100</v>
      </c>
      <c r="B54" s="18">
        <f>SUMIF(Main!T:T,A54,Main!O:O)</f>
        <v>12256067174</v>
      </c>
      <c r="C54" s="15">
        <f>COUNTIF(Main!T:T,A54)</f>
        <v>34</v>
      </c>
    </row>
    <row r="55">
      <c r="A55" s="15" t="str">
        <f>IFERROR(__xludf.DUMMYFUNCTION("""COMPUTED_VALUE"""),"Mais que 100")</f>
        <v>Mais que 100</v>
      </c>
      <c r="B55" s="18">
        <f>SUMIF(Main!T:T,A55,Main!O:O)</f>
        <v>-202408309.9</v>
      </c>
      <c r="C55" s="15">
        <f>COUNTIF(Main!T:T,A55)</f>
        <v>7</v>
      </c>
    </row>
    <row r="56">
      <c r="A56" s="15" t="str">
        <f>IFERROR(__xludf.DUMMYFUNCTION("""COMPUTED_VALUE"""),"Menor que 50")</f>
        <v>Menor que 50</v>
      </c>
      <c r="B56" s="18">
        <f>SUMIF(Main!T:T,A56,Main!O:O)</f>
        <v>1326748185</v>
      </c>
      <c r="C56" s="15">
        <f>COUNTIF(Main!T:T,A56)</f>
        <v>40</v>
      </c>
    </row>
    <row r="57">
      <c r="A57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6" width="12.63"/>
  </cols>
  <sheetData>
    <row r="1" ht="15.75" customHeight="1">
      <c r="A1" s="20" t="s">
        <v>189</v>
      </c>
      <c r="B1" s="20" t="s">
        <v>190</v>
      </c>
    </row>
    <row r="2" ht="15.75" customHeight="1">
      <c r="A2" s="21" t="s">
        <v>46</v>
      </c>
      <c r="B2" s="22">
        <v>2.35665566E8</v>
      </c>
    </row>
    <row r="3" ht="15.75" customHeight="1">
      <c r="A3" s="21" t="s">
        <v>128</v>
      </c>
      <c r="B3" s="22">
        <v>5.32616595E8</v>
      </c>
    </row>
    <row r="4" ht="15.75" customHeight="1">
      <c r="A4" s="21" t="s">
        <v>151</v>
      </c>
      <c r="B4" s="22">
        <v>1.76733968E8</v>
      </c>
    </row>
    <row r="5" ht="15.75" customHeight="1">
      <c r="A5" s="21" t="s">
        <v>110</v>
      </c>
      <c r="B5" s="22">
        <v>4.394245879E9</v>
      </c>
    </row>
    <row r="6" ht="15.75" customHeight="1">
      <c r="A6" s="21" t="s">
        <v>58</v>
      </c>
      <c r="B6" s="22">
        <v>6.2305891E7</v>
      </c>
    </row>
    <row r="7" ht="15.75" customHeight="1">
      <c r="A7" s="21" t="s">
        <v>159</v>
      </c>
      <c r="B7" s="22">
        <v>1.349217892E9</v>
      </c>
    </row>
    <row r="8" ht="15.75" customHeight="1">
      <c r="A8" s="21" t="s">
        <v>44</v>
      </c>
      <c r="B8" s="22">
        <v>3.27593725E8</v>
      </c>
    </row>
    <row r="9" ht="15.75" customHeight="1">
      <c r="A9" s="21" t="s">
        <v>161</v>
      </c>
      <c r="B9" s="22">
        <v>5.60279011E9</v>
      </c>
    </row>
    <row r="10" ht="15.75" customHeight="1">
      <c r="A10" s="21" t="s">
        <v>112</v>
      </c>
      <c r="B10" s="22">
        <v>6.71750768E8</v>
      </c>
    </row>
    <row r="11" ht="15.75" customHeight="1">
      <c r="A11" s="21" t="s">
        <v>98</v>
      </c>
      <c r="B11" s="22">
        <v>1.500728902E9</v>
      </c>
    </row>
    <row r="12" ht="15.75" customHeight="1">
      <c r="A12" s="21" t="s">
        <v>60</v>
      </c>
      <c r="B12" s="22">
        <v>5.146576868E9</v>
      </c>
    </row>
    <row r="13" ht="15.75" customHeight="1">
      <c r="A13" s="21" t="s">
        <v>78</v>
      </c>
      <c r="B13" s="22">
        <v>2.51003438E8</v>
      </c>
    </row>
    <row r="14" ht="15.75" customHeight="1">
      <c r="A14" s="21" t="s">
        <v>86</v>
      </c>
      <c r="B14" s="22">
        <v>1.420949112E9</v>
      </c>
    </row>
    <row r="15" ht="15.75" customHeight="1">
      <c r="A15" s="21" t="s">
        <v>42</v>
      </c>
      <c r="B15" s="22">
        <v>2.65877867E8</v>
      </c>
    </row>
    <row r="16" ht="15.75" customHeight="1">
      <c r="A16" s="21" t="s">
        <v>66</v>
      </c>
      <c r="B16" s="22">
        <v>1.677525446E9</v>
      </c>
    </row>
    <row r="17" ht="15.75" customHeight="1">
      <c r="A17" s="21" t="s">
        <v>191</v>
      </c>
      <c r="B17" s="22">
        <v>1.150645866E9</v>
      </c>
    </row>
    <row r="18" ht="15.75" customHeight="1">
      <c r="A18" s="21" t="s">
        <v>171</v>
      </c>
      <c r="B18" s="22">
        <v>5.33990587E8</v>
      </c>
    </row>
    <row r="19" ht="15.75" customHeight="1">
      <c r="A19" s="21" t="s">
        <v>173</v>
      </c>
      <c r="B19" s="22">
        <v>9.4843047E7</v>
      </c>
    </row>
    <row r="20" ht="15.75" customHeight="1">
      <c r="A20" s="21" t="s">
        <v>130</v>
      </c>
      <c r="B20" s="22">
        <v>9.95335937E8</v>
      </c>
    </row>
    <row r="21" ht="15.75" customHeight="1">
      <c r="A21" s="21" t="s">
        <v>118</v>
      </c>
      <c r="B21" s="22">
        <v>1.437415777E9</v>
      </c>
    </row>
    <row r="22" ht="15.75" customHeight="1">
      <c r="A22" s="21" t="s">
        <v>72</v>
      </c>
      <c r="B22" s="22">
        <v>1.095462329E9</v>
      </c>
    </row>
    <row r="23" ht="15.75" customHeight="1">
      <c r="A23" s="21" t="s">
        <v>132</v>
      </c>
      <c r="B23" s="22">
        <v>1.81492098E9</v>
      </c>
    </row>
    <row r="24" ht="15.75" customHeight="1">
      <c r="A24" s="21" t="s">
        <v>104</v>
      </c>
      <c r="B24" s="22">
        <v>1.67933529E9</v>
      </c>
    </row>
    <row r="25" ht="15.75" customHeight="1">
      <c r="A25" s="21" t="s">
        <v>92</v>
      </c>
      <c r="B25" s="22">
        <v>1.168097881E9</v>
      </c>
    </row>
    <row r="26" ht="15.75" customHeight="1">
      <c r="A26" s="21" t="s">
        <v>28</v>
      </c>
      <c r="B26" s="22">
        <v>1.87732538E8</v>
      </c>
    </row>
    <row r="27" ht="15.75" customHeight="1">
      <c r="A27" s="21" t="s">
        <v>22</v>
      </c>
      <c r="B27" s="22">
        <v>1.110559345E9</v>
      </c>
    </row>
    <row r="28" ht="15.75" customHeight="1">
      <c r="A28" s="21" t="s">
        <v>177</v>
      </c>
      <c r="B28" s="22">
        <v>5.25582771E8</v>
      </c>
    </row>
    <row r="29" ht="15.75" customHeight="1">
      <c r="A29" s="21" t="s">
        <v>153</v>
      </c>
      <c r="B29" s="22">
        <v>2.65784616E8</v>
      </c>
    </row>
    <row r="30" ht="15.75" customHeight="1">
      <c r="A30" s="21" t="s">
        <v>74</v>
      </c>
      <c r="B30" s="22">
        <v>3.0276824E8</v>
      </c>
    </row>
    <row r="31" ht="15.75" customHeight="1">
      <c r="A31" s="21" t="s">
        <v>142</v>
      </c>
      <c r="B31" s="22">
        <v>1.980568384E9</v>
      </c>
    </row>
    <row r="32" ht="15.75" customHeight="1">
      <c r="A32" s="21" t="s">
        <v>120</v>
      </c>
      <c r="B32" s="22">
        <v>2.68544014E8</v>
      </c>
    </row>
    <row r="33" ht="15.75" customHeight="1">
      <c r="A33" s="21" t="s">
        <v>155</v>
      </c>
      <c r="B33" s="22">
        <v>7.34632705E8</v>
      </c>
    </row>
    <row r="34" ht="15.75" customHeight="1">
      <c r="A34" s="21" t="s">
        <v>192</v>
      </c>
      <c r="B34" s="22">
        <v>2.90386402E8</v>
      </c>
    </row>
    <row r="35" ht="15.75" customHeight="1">
      <c r="A35" s="21" t="s">
        <v>122</v>
      </c>
      <c r="B35" s="22">
        <v>1.579130168E9</v>
      </c>
    </row>
    <row r="36" ht="15.75" customHeight="1">
      <c r="A36" s="21" t="s">
        <v>136</v>
      </c>
      <c r="B36" s="22">
        <v>2.55236961E8</v>
      </c>
    </row>
    <row r="37" ht="15.75" customHeight="1">
      <c r="A37" s="21" t="s">
        <v>48</v>
      </c>
      <c r="B37" s="22">
        <v>1.095587251E9</v>
      </c>
    </row>
    <row r="38" ht="15.75" customHeight="1">
      <c r="A38" s="21" t="s">
        <v>146</v>
      </c>
      <c r="B38" s="22">
        <v>9.1514307E7</v>
      </c>
    </row>
    <row r="39" ht="15.75" customHeight="1">
      <c r="A39" s="21" t="s">
        <v>148</v>
      </c>
      <c r="B39" s="22">
        <v>2.40822651E8</v>
      </c>
    </row>
    <row r="40" ht="15.75" customHeight="1">
      <c r="A40" s="21" t="s">
        <v>100</v>
      </c>
      <c r="B40" s="22">
        <v>1.118525506E9</v>
      </c>
    </row>
    <row r="41" ht="15.75" customHeight="1">
      <c r="A41" s="21" t="s">
        <v>90</v>
      </c>
      <c r="B41" s="22">
        <v>6.60411219E8</v>
      </c>
    </row>
    <row r="42" ht="15.75" customHeight="1">
      <c r="A42" s="21" t="s">
        <v>179</v>
      </c>
      <c r="B42" s="22">
        <v>1.98184909E8</v>
      </c>
    </row>
    <row r="43" ht="15.75" customHeight="1">
      <c r="A43" s="21" t="s">
        <v>157</v>
      </c>
      <c r="B43" s="22">
        <v>8.46244302E8</v>
      </c>
    </row>
    <row r="44" ht="15.75" customHeight="1">
      <c r="A44" s="21" t="s">
        <v>149</v>
      </c>
      <c r="B44" s="22">
        <v>4.96029967E8</v>
      </c>
    </row>
    <row r="45" ht="15.75" customHeight="1">
      <c r="A45" s="21" t="s">
        <v>167</v>
      </c>
      <c r="B45" s="22">
        <v>4.394332306E9</v>
      </c>
    </row>
    <row r="46" ht="15.75" customHeight="1">
      <c r="A46" s="21" t="s">
        <v>163</v>
      </c>
      <c r="B46" s="22">
        <v>4.09490388E8</v>
      </c>
    </row>
    <row r="47" ht="15.75" customHeight="1">
      <c r="A47" s="21" t="s">
        <v>193</v>
      </c>
      <c r="B47" s="22">
        <v>2.17622138E8</v>
      </c>
    </row>
    <row r="48" ht="15.75" customHeight="1">
      <c r="A48" s="21" t="s">
        <v>140</v>
      </c>
      <c r="B48" s="22">
        <v>8.1838843E7</v>
      </c>
    </row>
    <row r="49" ht="15.75" customHeight="1">
      <c r="A49" s="21" t="s">
        <v>84</v>
      </c>
      <c r="B49" s="22">
        <v>5.372783971E9</v>
      </c>
    </row>
    <row r="50" ht="15.75" customHeight="1">
      <c r="A50" s="21" t="s">
        <v>38</v>
      </c>
      <c r="B50" s="22">
        <v>4.801593832E9</v>
      </c>
    </row>
    <row r="51" ht="15.75" customHeight="1">
      <c r="A51" s="21" t="s">
        <v>94</v>
      </c>
      <c r="B51" s="22">
        <v>1.134986472E9</v>
      </c>
    </row>
    <row r="52" ht="15.75" customHeight="1">
      <c r="A52" s="21" t="s">
        <v>194</v>
      </c>
      <c r="B52" s="22">
        <v>7.06747385E8</v>
      </c>
    </row>
    <row r="53" ht="15.75" customHeight="1">
      <c r="A53" s="21" t="s">
        <v>175</v>
      </c>
      <c r="B53" s="22">
        <v>8.53202347E8</v>
      </c>
    </row>
    <row r="54" ht="15.75" customHeight="1">
      <c r="A54" s="21" t="s">
        <v>169</v>
      </c>
      <c r="B54" s="22">
        <v>9.5132977E8</v>
      </c>
    </row>
    <row r="55" ht="15.75" customHeight="1">
      <c r="A55" s="21" t="s">
        <v>80</v>
      </c>
      <c r="B55" s="22">
        <v>3.93173139E8</v>
      </c>
    </row>
    <row r="56" ht="15.75" customHeight="1">
      <c r="A56" s="21" t="s">
        <v>96</v>
      </c>
      <c r="B56" s="22">
        <v>2.867627068E9</v>
      </c>
    </row>
    <row r="57" ht="15.75" customHeight="1">
      <c r="A57" s="21" t="s">
        <v>108</v>
      </c>
      <c r="B57" s="22">
        <v>3.31799687E8</v>
      </c>
    </row>
    <row r="58" ht="15.75" customHeight="1">
      <c r="A58" s="21" t="s">
        <v>62</v>
      </c>
      <c r="B58" s="22">
        <v>2.61036182E8</v>
      </c>
    </row>
    <row r="59" ht="15.75" customHeight="1">
      <c r="A59" s="21" t="s">
        <v>56</v>
      </c>
      <c r="B59" s="22">
        <v>3.76187582E8</v>
      </c>
    </row>
    <row r="60" ht="15.75" customHeight="1">
      <c r="A60" s="21" t="s">
        <v>36</v>
      </c>
      <c r="B60" s="22">
        <v>2.68505432E8</v>
      </c>
    </row>
    <row r="61" ht="15.75" customHeight="1">
      <c r="A61" s="21" t="s">
        <v>64</v>
      </c>
      <c r="B61" s="22">
        <v>1.59430826E8</v>
      </c>
    </row>
    <row r="62" ht="15.75" customHeight="1">
      <c r="A62" s="21" t="s">
        <v>24</v>
      </c>
      <c r="B62" s="22">
        <v>2.379877655E9</v>
      </c>
    </row>
    <row r="63" ht="15.75" customHeight="1">
      <c r="A63" s="21" t="s">
        <v>32</v>
      </c>
      <c r="B63" s="22">
        <v>4.566445852E9</v>
      </c>
    </row>
    <row r="64" ht="15.75" customHeight="1">
      <c r="A64" s="21" t="s">
        <v>82</v>
      </c>
      <c r="B64" s="22">
        <v>2.75005663E8</v>
      </c>
    </row>
    <row r="65" ht="15.75" customHeight="1">
      <c r="A65" s="21" t="s">
        <v>30</v>
      </c>
      <c r="B65" s="22">
        <v>8.00010734E8</v>
      </c>
    </row>
    <row r="66" ht="15.75" customHeight="1">
      <c r="A66" s="21" t="s">
        <v>144</v>
      </c>
      <c r="B66" s="22">
        <v>3.09729428E8</v>
      </c>
    </row>
    <row r="67" ht="15.75" customHeight="1">
      <c r="A67" s="21" t="s">
        <v>88</v>
      </c>
      <c r="B67" s="22">
        <v>1.275798515E9</v>
      </c>
    </row>
    <row r="68" ht="15.75" customHeight="1">
      <c r="A68" s="21" t="s">
        <v>102</v>
      </c>
      <c r="B68" s="22">
        <v>1.193047233E9</v>
      </c>
    </row>
    <row r="69" ht="15.75" customHeight="1">
      <c r="A69" s="21" t="s">
        <v>40</v>
      </c>
      <c r="B69" s="22">
        <v>1.168230366E9</v>
      </c>
    </row>
    <row r="70" ht="15.75" customHeight="1">
      <c r="A70" s="21" t="s">
        <v>70</v>
      </c>
      <c r="B70" s="22">
        <v>1.218352541E9</v>
      </c>
    </row>
    <row r="71" ht="15.75" customHeight="1">
      <c r="A71" s="21" t="s">
        <v>114</v>
      </c>
      <c r="B71" s="22">
        <v>3.40001799E8</v>
      </c>
    </row>
    <row r="72" ht="15.75" customHeight="1">
      <c r="A72" s="21" t="s">
        <v>195</v>
      </c>
      <c r="B72" s="22">
        <v>3.42918449E8</v>
      </c>
    </row>
    <row r="73" ht="15.75" customHeight="1">
      <c r="A73" s="21" t="s">
        <v>165</v>
      </c>
      <c r="B73" s="22">
        <v>1.4237733E8</v>
      </c>
    </row>
    <row r="74" ht="15.75" customHeight="1">
      <c r="A74" s="21" t="s">
        <v>50</v>
      </c>
      <c r="B74" s="22">
        <v>6.00865451E8</v>
      </c>
    </row>
    <row r="75" ht="15.75" customHeight="1">
      <c r="A75" s="21" t="s">
        <v>126</v>
      </c>
      <c r="B75" s="22">
        <v>1.9575113E8</v>
      </c>
    </row>
    <row r="76" ht="15.75" customHeight="1">
      <c r="A76" s="21" t="s">
        <v>26</v>
      </c>
      <c r="B76" s="22">
        <v>6.83452836E8</v>
      </c>
    </row>
    <row r="77" ht="15.75" customHeight="1">
      <c r="A77" s="21" t="s">
        <v>196</v>
      </c>
      <c r="B77" s="22">
        <v>2.18568234E8</v>
      </c>
    </row>
    <row r="78" ht="15.75" customHeight="1">
      <c r="A78" s="21" t="s">
        <v>68</v>
      </c>
      <c r="B78" s="22">
        <v>4.23091712E8</v>
      </c>
    </row>
    <row r="79" ht="15.75" customHeight="1">
      <c r="A79" s="21" t="s">
        <v>76</v>
      </c>
      <c r="B79" s="22">
        <v>8.07896814E8</v>
      </c>
    </row>
    <row r="80" ht="15.75" customHeight="1">
      <c r="A80" s="21" t="s">
        <v>116</v>
      </c>
      <c r="B80" s="22">
        <v>5.14122351E8</v>
      </c>
    </row>
    <row r="81" ht="15.75" customHeight="1">
      <c r="A81" s="21" t="s">
        <v>134</v>
      </c>
      <c r="B81" s="22">
        <v>3.95801044E8</v>
      </c>
    </row>
    <row r="82" ht="15.75" customHeight="1">
      <c r="A82" s="21" t="s">
        <v>54</v>
      </c>
      <c r="B82" s="22">
        <v>1.086411192E9</v>
      </c>
    </row>
    <row r="83" ht="15.75" customHeight="1">
      <c r="A83" s="21" t="s">
        <v>20</v>
      </c>
      <c r="B83" s="22">
        <v>5.15117391E8</v>
      </c>
    </row>
    <row r="84" ht="15.75" customHeight="1">
      <c r="A84" s="21" t="s">
        <v>34</v>
      </c>
      <c r="B84" s="22">
        <v>4.196924316E9</v>
      </c>
    </row>
    <row r="85" ht="15.75" customHeight="1">
      <c r="A85" s="21" t="s">
        <v>106</v>
      </c>
      <c r="B85" s="22">
        <v>4.2138333E8</v>
      </c>
    </row>
    <row r="86" ht="15.75" customHeight="1">
      <c r="A86" s="21" t="s">
        <v>138</v>
      </c>
      <c r="B86" s="22">
        <v>1.114412532E9</v>
      </c>
    </row>
    <row r="87" ht="15.75" customHeight="1">
      <c r="A87" s="21" t="s">
        <v>124</v>
      </c>
      <c r="B87" s="22">
        <v>1.481593024E9</v>
      </c>
    </row>
    <row r="88" ht="15.75" customHeight="1">
      <c r="A88" s="21" t="s">
        <v>52</v>
      </c>
      <c r="B88" s="22">
        <v>2.89347914E8</v>
      </c>
    </row>
    <row r="89" ht="15.75" customHeight="1">
      <c r="A89" s="21" t="s">
        <v>197</v>
      </c>
      <c r="B89" s="22">
        <v>9.6372098181E10</v>
      </c>
    </row>
    <row r="90" ht="15.75" customHeight="1">
      <c r="A90" s="21" t="s">
        <v>198</v>
      </c>
      <c r="B90" s="23">
        <v>1.70478507866643E7</v>
      </c>
    </row>
    <row r="91" ht="15.75" customHeight="1">
      <c r="A91" s="24"/>
      <c r="B91" s="24"/>
    </row>
    <row r="92" ht="15.75" customHeight="1">
      <c r="A92" s="24"/>
      <c r="B92" s="24"/>
    </row>
    <row r="93" ht="15.75" customHeight="1">
      <c r="A93" s="24"/>
      <c r="B93" s="24"/>
    </row>
    <row r="94" ht="15.75" customHeight="1">
      <c r="A94" s="24"/>
      <c r="B94" s="24"/>
    </row>
    <row r="95" ht="15.75" customHeight="1">
      <c r="A95" s="24"/>
      <c r="B95" s="24"/>
    </row>
    <row r="96" ht="15.75" customHeight="1">
      <c r="A96" s="24"/>
      <c r="B96" s="24"/>
    </row>
    <row r="97" ht="15.75" customHeight="1">
      <c r="A97" s="24"/>
      <c r="B97" s="24"/>
    </row>
    <row r="98" ht="15.75" customHeight="1">
      <c r="A98" s="24"/>
      <c r="B98" s="24"/>
    </row>
    <row r="99" ht="15.75" customHeight="1">
      <c r="A99" s="24"/>
      <c r="B99" s="24"/>
    </row>
    <row r="100" ht="15.75" customHeight="1">
      <c r="A100" s="24"/>
      <c r="B100" s="24"/>
    </row>
    <row r="101" ht="15.75" customHeight="1">
      <c r="A101" s="24"/>
      <c r="B101" s="24"/>
    </row>
    <row r="102" ht="15.75" customHeight="1">
      <c r="A102" s="24"/>
      <c r="B102" s="24"/>
    </row>
    <row r="103" ht="15.75" customHeight="1">
      <c r="A103" s="24"/>
      <c r="B103" s="24"/>
    </row>
    <row r="104" ht="15.75" customHeight="1">
      <c r="A104" s="24"/>
      <c r="B104" s="24"/>
    </row>
    <row r="105" ht="15.75" customHeight="1">
      <c r="A105" s="24"/>
      <c r="B105" s="24"/>
    </row>
    <row r="106" ht="15.75" customHeight="1">
      <c r="A106" s="24"/>
      <c r="B106" s="24"/>
    </row>
    <row r="107" ht="15.75" customHeight="1">
      <c r="A107" s="24"/>
      <c r="B107" s="24"/>
    </row>
    <row r="108" ht="15.75" customHeight="1">
      <c r="A108" s="24"/>
      <c r="B108" s="24"/>
    </row>
    <row r="109" ht="15.75" customHeight="1">
      <c r="A109" s="24"/>
      <c r="B109" s="24"/>
    </row>
    <row r="110" ht="15.75" customHeight="1">
      <c r="A110" s="24"/>
      <c r="B110" s="24"/>
    </row>
    <row r="111" ht="15.75" customHeight="1">
      <c r="A111" s="24"/>
      <c r="B111" s="24"/>
    </row>
    <row r="112" ht="15.75" customHeight="1">
      <c r="A112" s="24"/>
      <c r="B112" s="24"/>
    </row>
    <row r="113" ht="15.75" customHeight="1">
      <c r="A113" s="24"/>
      <c r="B113" s="24"/>
    </row>
    <row r="114" ht="15.75" customHeight="1">
      <c r="A114" s="24"/>
      <c r="B114" s="24"/>
    </row>
    <row r="115" ht="15.75" customHeight="1">
      <c r="A115" s="24"/>
      <c r="B115" s="24"/>
    </row>
    <row r="116" ht="15.75" customHeight="1">
      <c r="A116" s="24"/>
      <c r="B116" s="24"/>
    </row>
    <row r="117" ht="15.75" customHeight="1">
      <c r="A117" s="24"/>
      <c r="B117" s="24"/>
    </row>
    <row r="118" ht="15.75" customHeight="1">
      <c r="A118" s="24"/>
      <c r="B118" s="24"/>
    </row>
    <row r="119" ht="15.75" customHeight="1">
      <c r="A119" s="24"/>
      <c r="B119" s="24"/>
    </row>
    <row r="120" ht="15.75" customHeight="1">
      <c r="A120" s="24"/>
      <c r="B120" s="24"/>
    </row>
    <row r="121" ht="15.75" customHeight="1">
      <c r="A121" s="24"/>
      <c r="B121" s="24"/>
    </row>
    <row r="122" ht="15.75" customHeight="1">
      <c r="A122" s="24"/>
      <c r="B122" s="24"/>
    </row>
    <row r="123" ht="15.75" customHeight="1">
      <c r="A123" s="24"/>
      <c r="B123" s="24"/>
    </row>
    <row r="124" ht="15.75" customHeight="1">
      <c r="A124" s="24"/>
      <c r="B124" s="24"/>
    </row>
    <row r="125" ht="15.75" customHeight="1">
      <c r="A125" s="24"/>
      <c r="B125" s="24"/>
    </row>
    <row r="126" ht="15.75" customHeight="1">
      <c r="A126" s="24"/>
      <c r="B126" s="24"/>
    </row>
    <row r="127" ht="15.75" customHeight="1">
      <c r="A127" s="24"/>
      <c r="B127" s="24"/>
    </row>
    <row r="128" ht="15.75" customHeight="1">
      <c r="A128" s="24"/>
      <c r="B128" s="24"/>
    </row>
    <row r="129" ht="15.75" customHeight="1">
      <c r="A129" s="24"/>
      <c r="B129" s="24"/>
    </row>
    <row r="130" ht="15.75" customHeight="1">
      <c r="A130" s="24"/>
      <c r="B130" s="24"/>
    </row>
    <row r="131" ht="15.75" customHeight="1">
      <c r="A131" s="24"/>
      <c r="B131" s="24"/>
    </row>
    <row r="132" ht="15.75" customHeight="1">
      <c r="A132" s="24"/>
      <c r="B132" s="24"/>
    </row>
    <row r="133" ht="15.75" customHeight="1">
      <c r="A133" s="24"/>
      <c r="B133" s="24"/>
    </row>
    <row r="134" ht="15.75" customHeight="1">
      <c r="A134" s="24"/>
      <c r="B134" s="24"/>
    </row>
    <row r="135" ht="15.75" customHeight="1">
      <c r="A135" s="24"/>
      <c r="B135" s="24"/>
    </row>
    <row r="136" ht="15.75" customHeight="1">
      <c r="A136" s="24"/>
      <c r="B136" s="24"/>
    </row>
    <row r="137" ht="15.75" customHeight="1">
      <c r="A137" s="24"/>
      <c r="B137" s="24"/>
    </row>
    <row r="138" ht="15.75" customHeight="1">
      <c r="A138" s="24"/>
      <c r="B138" s="24"/>
    </row>
    <row r="139" ht="15.75" customHeight="1">
      <c r="A139" s="24"/>
      <c r="B139" s="24"/>
    </row>
    <row r="140" ht="15.75" customHeight="1">
      <c r="A140" s="24"/>
      <c r="B140" s="24"/>
    </row>
    <row r="141" ht="15.75" customHeight="1">
      <c r="A141" s="24"/>
      <c r="B141" s="24"/>
    </row>
    <row r="142" ht="15.75" customHeight="1">
      <c r="A142" s="24"/>
      <c r="B142" s="24"/>
    </row>
    <row r="143" ht="15.75" customHeight="1">
      <c r="A143" s="24"/>
      <c r="B143" s="24"/>
    </row>
    <row r="144" ht="15.75" customHeight="1">
      <c r="A144" s="24"/>
      <c r="B144" s="24"/>
    </row>
    <row r="145" ht="15.75" customHeight="1">
      <c r="A145" s="24"/>
      <c r="B145" s="24"/>
    </row>
    <row r="146" ht="15.75" customHeight="1">
      <c r="A146" s="24"/>
      <c r="B146" s="24"/>
    </row>
    <row r="147" ht="15.75" customHeight="1">
      <c r="A147" s="24"/>
      <c r="B147" s="24"/>
    </row>
    <row r="148" ht="15.75" customHeight="1">
      <c r="A148" s="24"/>
      <c r="B148" s="24"/>
    </row>
    <row r="149" ht="15.75" customHeight="1">
      <c r="A149" s="24"/>
      <c r="B149" s="24"/>
    </row>
    <row r="150" ht="15.75" customHeight="1">
      <c r="A150" s="24"/>
      <c r="B150" s="24"/>
    </row>
    <row r="151" ht="15.75" customHeight="1">
      <c r="A151" s="24"/>
      <c r="B151" s="24"/>
    </row>
    <row r="152" ht="15.75" customHeight="1">
      <c r="A152" s="24"/>
      <c r="B152" s="24"/>
    </row>
    <row r="153" ht="15.75" customHeight="1">
      <c r="A153" s="24"/>
      <c r="B153" s="24"/>
    </row>
    <row r="154" ht="15.75" customHeight="1">
      <c r="A154" s="24"/>
      <c r="B154" s="24"/>
    </row>
    <row r="155" ht="15.75" customHeight="1">
      <c r="A155" s="24"/>
      <c r="B155" s="24"/>
    </row>
    <row r="156" ht="15.75" customHeight="1">
      <c r="A156" s="24"/>
      <c r="B156" s="24"/>
    </row>
    <row r="157" ht="15.75" customHeight="1">
      <c r="A157" s="24"/>
      <c r="B157" s="24"/>
    </row>
    <row r="158" ht="15.75" customHeight="1">
      <c r="A158" s="24"/>
      <c r="B158" s="24"/>
    </row>
    <row r="159" ht="15.75" customHeight="1">
      <c r="A159" s="24"/>
      <c r="B159" s="24"/>
    </row>
    <row r="160" ht="15.75" customHeight="1">
      <c r="A160" s="24"/>
      <c r="B160" s="24"/>
    </row>
    <row r="161" ht="15.75" customHeight="1">
      <c r="A161" s="24"/>
      <c r="B161" s="24"/>
    </row>
    <row r="162" ht="15.75" customHeight="1">
      <c r="A162" s="24"/>
      <c r="B162" s="24"/>
    </row>
    <row r="163" ht="15.75" customHeight="1">
      <c r="A163" s="24"/>
      <c r="B163" s="24"/>
    </row>
    <row r="164" ht="15.75" customHeight="1">
      <c r="A164" s="24"/>
      <c r="B164" s="24"/>
    </row>
    <row r="165" ht="15.75" customHeight="1">
      <c r="A165" s="24"/>
      <c r="B165" s="24"/>
    </row>
    <row r="166" ht="15.75" customHeight="1">
      <c r="A166" s="24"/>
      <c r="B166" s="24"/>
    </row>
    <row r="167" ht="15.75" customHeight="1">
      <c r="A167" s="24"/>
      <c r="B167" s="24"/>
    </row>
    <row r="168" ht="15.75" customHeight="1">
      <c r="A168" s="24"/>
      <c r="B168" s="24"/>
    </row>
    <row r="169" ht="15.75" customHeight="1">
      <c r="A169" s="24"/>
      <c r="B169" s="24"/>
    </row>
    <row r="170" ht="15.75" customHeight="1">
      <c r="A170" s="24"/>
      <c r="B170" s="24"/>
    </row>
    <row r="171" ht="15.75" customHeight="1">
      <c r="A171" s="24"/>
      <c r="B171" s="24"/>
    </row>
    <row r="172" ht="15.75" customHeight="1">
      <c r="A172" s="24"/>
      <c r="B172" s="24"/>
    </row>
    <row r="173" ht="15.75" customHeight="1">
      <c r="A173" s="24"/>
      <c r="B173" s="24"/>
    </row>
    <row r="174" ht="15.75" customHeight="1">
      <c r="A174" s="24"/>
      <c r="B174" s="24"/>
    </row>
    <row r="175" ht="15.75" customHeight="1">
      <c r="A175" s="24"/>
      <c r="B175" s="24"/>
    </row>
    <row r="176" ht="15.75" customHeight="1">
      <c r="A176" s="24"/>
      <c r="B176" s="24"/>
    </row>
    <row r="177" ht="15.75" customHeight="1">
      <c r="A177" s="24"/>
      <c r="B177" s="24"/>
    </row>
    <row r="178" ht="15.75" customHeight="1">
      <c r="A178" s="24"/>
      <c r="B178" s="24"/>
    </row>
    <row r="179" ht="15.75" customHeight="1">
      <c r="A179" s="24"/>
      <c r="B179" s="24"/>
    </row>
    <row r="180" ht="15.75" customHeight="1">
      <c r="A180" s="24"/>
      <c r="B180" s="24"/>
    </row>
    <row r="181" ht="15.75" customHeight="1">
      <c r="A181" s="24"/>
      <c r="B181" s="24"/>
    </row>
    <row r="182" ht="15.75" customHeight="1">
      <c r="A182" s="24"/>
      <c r="B182" s="24"/>
    </row>
    <row r="183" ht="15.75" customHeight="1">
      <c r="A183" s="24"/>
      <c r="B183" s="24"/>
    </row>
    <row r="184" ht="15.75" customHeight="1">
      <c r="A184" s="24"/>
      <c r="B184" s="24"/>
    </row>
    <row r="185" ht="15.75" customHeight="1">
      <c r="A185" s="24"/>
      <c r="B185" s="24"/>
    </row>
    <row r="186" ht="15.75" customHeight="1">
      <c r="A186" s="24"/>
      <c r="B186" s="24"/>
    </row>
    <row r="187" ht="15.75" customHeight="1">
      <c r="A187" s="24"/>
      <c r="B187" s="24"/>
    </row>
    <row r="188" ht="15.75" customHeight="1">
      <c r="A188" s="24"/>
      <c r="B188" s="24"/>
    </row>
    <row r="189" ht="15.75" customHeight="1">
      <c r="A189" s="24"/>
      <c r="B189" s="24"/>
    </row>
    <row r="190" ht="15.75" customHeight="1">
      <c r="A190" s="24"/>
      <c r="B190" s="24"/>
    </row>
    <row r="191" ht="15.75" customHeight="1">
      <c r="A191" s="24"/>
      <c r="B191" s="24"/>
    </row>
    <row r="192" ht="15.75" customHeight="1">
      <c r="A192" s="24"/>
      <c r="B192" s="24"/>
    </row>
    <row r="193" ht="15.75" customHeight="1">
      <c r="A193" s="24"/>
      <c r="B193" s="24"/>
    </row>
    <row r="194" ht="15.75" customHeight="1">
      <c r="A194" s="24"/>
      <c r="B194" s="24"/>
    </row>
    <row r="195" ht="15.75" customHeight="1">
      <c r="A195" s="24"/>
      <c r="B195" s="24"/>
    </row>
    <row r="196" ht="15.75" customHeight="1">
      <c r="A196" s="24"/>
      <c r="B196" s="24"/>
    </row>
    <row r="197" ht="15.75" customHeight="1">
      <c r="A197" s="24"/>
      <c r="B197" s="24"/>
    </row>
    <row r="198" ht="15.75" customHeight="1">
      <c r="A198" s="24"/>
      <c r="B198" s="24"/>
    </row>
    <row r="199" ht="15.75" customHeight="1">
      <c r="A199" s="24"/>
      <c r="B199" s="24"/>
    </row>
    <row r="200" ht="15.75" customHeight="1">
      <c r="A200" s="24"/>
      <c r="B200" s="24"/>
    </row>
    <row r="201" ht="15.75" customHeight="1">
      <c r="A201" s="24"/>
      <c r="B201" s="24"/>
    </row>
    <row r="202" ht="15.75" customHeight="1">
      <c r="A202" s="24"/>
      <c r="B202" s="24"/>
    </row>
    <row r="203" ht="15.75" customHeight="1">
      <c r="A203" s="24"/>
      <c r="B203" s="24"/>
    </row>
    <row r="204" ht="15.75" customHeight="1">
      <c r="A204" s="24"/>
      <c r="B204" s="24"/>
    </row>
    <row r="205" ht="15.75" customHeight="1">
      <c r="A205" s="24"/>
      <c r="B205" s="24"/>
    </row>
    <row r="206" ht="15.75" customHeight="1">
      <c r="A206" s="24"/>
      <c r="B206" s="24"/>
    </row>
    <row r="207" ht="15.75" customHeight="1">
      <c r="A207" s="24"/>
      <c r="B207" s="24"/>
    </row>
    <row r="208" ht="15.75" customHeight="1">
      <c r="A208" s="24"/>
      <c r="B208" s="24"/>
    </row>
    <row r="209" ht="15.75" customHeight="1">
      <c r="A209" s="24"/>
      <c r="B209" s="24"/>
    </row>
    <row r="210" ht="15.75" customHeight="1">
      <c r="A210" s="24"/>
      <c r="B210" s="24"/>
    </row>
    <row r="211" ht="15.75" customHeight="1">
      <c r="A211" s="24"/>
      <c r="B211" s="24"/>
    </row>
    <row r="212" ht="15.75" customHeight="1">
      <c r="A212" s="24"/>
      <c r="B212" s="24"/>
    </row>
    <row r="213" ht="15.75" customHeight="1">
      <c r="A213" s="24"/>
      <c r="B213" s="24"/>
    </row>
    <row r="214" ht="15.75" customHeight="1">
      <c r="A214" s="24"/>
      <c r="B214" s="24"/>
    </row>
    <row r="215" ht="15.75" customHeight="1">
      <c r="A215" s="24"/>
      <c r="B215" s="24"/>
    </row>
    <row r="216" ht="15.75" customHeight="1">
      <c r="A216" s="24"/>
      <c r="B216" s="24"/>
    </row>
    <row r="217" ht="15.75" customHeight="1">
      <c r="A217" s="24"/>
      <c r="B217" s="24"/>
    </row>
    <row r="218" ht="15.75" customHeight="1">
      <c r="A218" s="24"/>
      <c r="B218" s="24"/>
    </row>
    <row r="219" ht="15.75" customHeight="1">
      <c r="A219" s="24"/>
      <c r="B219" s="24"/>
    </row>
    <row r="220" ht="15.75" customHeight="1">
      <c r="A220" s="24"/>
      <c r="B220" s="24"/>
    </row>
    <row r="221" ht="15.75" customHeight="1">
      <c r="A221" s="24"/>
      <c r="B221" s="24"/>
    </row>
    <row r="222" ht="15.75" customHeight="1">
      <c r="A222" s="24"/>
      <c r="B222" s="24"/>
    </row>
    <row r="223" ht="15.75" customHeight="1">
      <c r="A223" s="24"/>
      <c r="B223" s="24"/>
    </row>
    <row r="224" ht="15.75" customHeight="1">
      <c r="A224" s="24"/>
      <c r="B224" s="24"/>
    </row>
    <row r="225" ht="15.75" customHeight="1">
      <c r="A225" s="24"/>
      <c r="B225" s="24"/>
    </row>
    <row r="226" ht="15.75" customHeight="1">
      <c r="A226" s="24"/>
      <c r="B226" s="24"/>
    </row>
    <row r="227" ht="15.75" customHeight="1">
      <c r="A227" s="24"/>
      <c r="B227" s="24"/>
    </row>
    <row r="228" ht="15.75" customHeight="1">
      <c r="A228" s="24"/>
      <c r="B228" s="24"/>
    </row>
    <row r="229" ht="15.75" customHeight="1">
      <c r="A229" s="24"/>
      <c r="B229" s="24"/>
    </row>
    <row r="230" ht="15.75" customHeight="1">
      <c r="A230" s="24"/>
      <c r="B230" s="24"/>
    </row>
    <row r="231" ht="15.75" customHeight="1">
      <c r="A231" s="24"/>
      <c r="B231" s="24"/>
    </row>
    <row r="232" ht="15.75" customHeight="1">
      <c r="A232" s="24"/>
      <c r="B232" s="24"/>
    </row>
    <row r="233" ht="15.75" customHeight="1">
      <c r="A233" s="24"/>
      <c r="B233" s="24"/>
    </row>
    <row r="234" ht="15.75" customHeight="1">
      <c r="A234" s="24"/>
      <c r="B234" s="24"/>
    </row>
    <row r="235" ht="15.75" customHeight="1">
      <c r="A235" s="24"/>
      <c r="B235" s="24"/>
    </row>
    <row r="236" ht="15.75" customHeight="1">
      <c r="A236" s="24"/>
      <c r="B236" s="24"/>
    </row>
    <row r="237" ht="15.75" customHeight="1">
      <c r="A237" s="24"/>
      <c r="B237" s="24"/>
    </row>
    <row r="238" ht="15.75" customHeight="1">
      <c r="A238" s="24"/>
      <c r="B238" s="24"/>
    </row>
    <row r="239" ht="15.75" customHeight="1">
      <c r="A239" s="24"/>
      <c r="B239" s="24"/>
    </row>
    <row r="240" ht="15.75" customHeight="1">
      <c r="A240" s="24"/>
      <c r="B240" s="24"/>
    </row>
    <row r="241" ht="15.75" customHeight="1">
      <c r="A241" s="24"/>
      <c r="B241" s="24"/>
    </row>
    <row r="242" ht="15.75" customHeight="1">
      <c r="A242" s="24"/>
      <c r="B242" s="24"/>
    </row>
    <row r="243" ht="15.75" customHeight="1">
      <c r="A243" s="24"/>
      <c r="B243" s="24"/>
    </row>
    <row r="244" ht="15.75" customHeight="1">
      <c r="A244" s="24"/>
      <c r="B244" s="24"/>
    </row>
    <row r="245" ht="15.75" customHeight="1">
      <c r="A245" s="24"/>
      <c r="B245" s="24"/>
    </row>
    <row r="246" ht="15.75" customHeight="1">
      <c r="A246" s="24"/>
      <c r="B246" s="24"/>
    </row>
    <row r="247" ht="15.75" customHeight="1">
      <c r="A247" s="24"/>
      <c r="B247" s="24"/>
    </row>
    <row r="248" ht="15.75" customHeight="1">
      <c r="A248" s="24"/>
      <c r="B248" s="24"/>
    </row>
    <row r="249" ht="15.75" customHeight="1">
      <c r="A249" s="24"/>
      <c r="B249" s="24"/>
    </row>
    <row r="250" ht="15.75" customHeight="1">
      <c r="A250" s="24"/>
      <c r="B250" s="24"/>
    </row>
    <row r="251" ht="15.75" customHeight="1">
      <c r="A251" s="24"/>
      <c r="B251" s="24"/>
    </row>
    <row r="252" ht="15.75" customHeight="1">
      <c r="A252" s="24"/>
      <c r="B252" s="24"/>
    </row>
    <row r="253" ht="15.75" customHeight="1">
      <c r="A253" s="24"/>
      <c r="B253" s="24"/>
    </row>
    <row r="254" ht="15.75" customHeight="1">
      <c r="A254" s="24"/>
      <c r="B254" s="24"/>
    </row>
    <row r="255" ht="15.75" customHeight="1">
      <c r="A255" s="24"/>
      <c r="B255" s="24"/>
    </row>
    <row r="256" ht="15.75" customHeight="1">
      <c r="A256" s="24"/>
      <c r="B256" s="24"/>
    </row>
    <row r="257" ht="15.75" customHeight="1">
      <c r="A257" s="24"/>
      <c r="B257" s="24"/>
    </row>
    <row r="258" ht="15.75" customHeight="1">
      <c r="A258" s="24"/>
      <c r="B258" s="24"/>
    </row>
    <row r="259" ht="15.75" customHeight="1">
      <c r="A259" s="24"/>
      <c r="B259" s="24"/>
    </row>
    <row r="260" ht="15.75" customHeight="1">
      <c r="A260" s="24"/>
      <c r="B260" s="24"/>
    </row>
    <row r="261" ht="15.75" customHeight="1">
      <c r="A261" s="24"/>
      <c r="B261" s="24"/>
    </row>
    <row r="262" ht="15.75" customHeight="1">
      <c r="A262" s="24"/>
      <c r="B262" s="24"/>
    </row>
    <row r="263" ht="15.75" customHeight="1">
      <c r="A263" s="24"/>
      <c r="B263" s="24"/>
    </row>
    <row r="264" ht="15.75" customHeight="1">
      <c r="A264" s="24"/>
      <c r="B264" s="24"/>
    </row>
    <row r="265" ht="15.75" customHeight="1">
      <c r="A265" s="24"/>
      <c r="B265" s="24"/>
    </row>
    <row r="266" ht="15.75" customHeight="1">
      <c r="A266" s="24"/>
      <c r="B266" s="24"/>
    </row>
    <row r="267" ht="15.75" customHeight="1">
      <c r="A267" s="24"/>
      <c r="B267" s="24"/>
    </row>
    <row r="268" ht="15.75" customHeight="1">
      <c r="A268" s="24"/>
      <c r="B268" s="24"/>
    </row>
    <row r="269" ht="15.75" customHeight="1">
      <c r="A269" s="24"/>
      <c r="B269" s="24"/>
    </row>
    <row r="270" ht="15.75" customHeight="1">
      <c r="A270" s="24"/>
      <c r="B270" s="24"/>
    </row>
    <row r="271" ht="15.75" customHeight="1">
      <c r="A271" s="24"/>
      <c r="B271" s="24"/>
    </row>
    <row r="272" ht="15.75" customHeight="1">
      <c r="A272" s="24"/>
      <c r="B272" s="24"/>
    </row>
    <row r="273" ht="15.75" customHeight="1">
      <c r="A273" s="24"/>
      <c r="B273" s="24"/>
    </row>
    <row r="274" ht="15.75" customHeight="1">
      <c r="A274" s="24"/>
      <c r="B274" s="24"/>
    </row>
    <row r="275" ht="15.75" customHeight="1">
      <c r="A275" s="24"/>
      <c r="B275" s="24"/>
    </row>
    <row r="276" ht="15.75" customHeight="1">
      <c r="A276" s="24"/>
      <c r="B276" s="24"/>
    </row>
    <row r="277" ht="15.75" customHeight="1">
      <c r="A277" s="24"/>
      <c r="B277" s="24"/>
    </row>
    <row r="278" ht="15.75" customHeight="1">
      <c r="A278" s="24"/>
      <c r="B278" s="24"/>
    </row>
    <row r="279" ht="15.75" customHeight="1">
      <c r="A279" s="24"/>
      <c r="B279" s="24"/>
    </row>
    <row r="280" ht="15.75" customHeight="1">
      <c r="A280" s="24"/>
      <c r="B280" s="24"/>
    </row>
    <row r="281" ht="15.75" customHeight="1">
      <c r="A281" s="24"/>
      <c r="B281" s="24"/>
    </row>
    <row r="282" ht="15.75" customHeight="1">
      <c r="A282" s="24"/>
      <c r="B282" s="24"/>
    </row>
    <row r="283" ht="15.75" customHeight="1">
      <c r="A283" s="24"/>
      <c r="B283" s="24"/>
    </row>
    <row r="284" ht="15.75" customHeight="1">
      <c r="A284" s="24"/>
      <c r="B284" s="24"/>
    </row>
    <row r="285" ht="15.75" customHeight="1">
      <c r="A285" s="24"/>
      <c r="B285" s="24"/>
    </row>
    <row r="286" ht="15.75" customHeight="1">
      <c r="A286" s="24"/>
      <c r="B286" s="24"/>
    </row>
    <row r="287" ht="15.75" customHeight="1">
      <c r="A287" s="24"/>
      <c r="B287" s="24"/>
    </row>
    <row r="288" ht="15.75" customHeight="1">
      <c r="A288" s="24"/>
      <c r="B288" s="24"/>
    </row>
    <row r="289" ht="15.75" customHeight="1">
      <c r="A289" s="24"/>
      <c r="B289" s="24"/>
    </row>
    <row r="290" ht="15.75" customHeight="1">
      <c r="A290" s="24"/>
      <c r="B290" s="24"/>
    </row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0"/>
    <col customWidth="1" min="2" max="2" width="30.0"/>
    <col customWidth="1" min="3" max="6" width="12.63"/>
  </cols>
  <sheetData>
    <row r="1" ht="15.75" customHeight="1">
      <c r="A1" s="25" t="s">
        <v>199</v>
      </c>
      <c r="B1" s="25" t="s">
        <v>200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ht="15.75" customHeight="1">
      <c r="A2" s="27" t="s">
        <v>96</v>
      </c>
      <c r="B2" s="27" t="s">
        <v>201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ht="15.75" customHeight="1">
      <c r="A3" s="28" t="s">
        <v>167</v>
      </c>
      <c r="B3" s="28" t="s">
        <v>202</v>
      </c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27" t="s">
        <v>32</v>
      </c>
      <c r="B4" s="27" t="s">
        <v>203</v>
      </c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28" t="s">
        <v>161</v>
      </c>
      <c r="B5" s="28" t="s">
        <v>204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27" t="s">
        <v>20</v>
      </c>
      <c r="B6" s="27" t="s">
        <v>205</v>
      </c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28" t="s">
        <v>177</v>
      </c>
      <c r="B7" s="28" t="s">
        <v>206</v>
      </c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27" t="s">
        <v>72</v>
      </c>
      <c r="B8" s="27" t="s">
        <v>207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28" t="s">
        <v>34</v>
      </c>
      <c r="B9" s="28" t="s">
        <v>208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15.75" customHeight="1">
      <c r="A10" s="27" t="s">
        <v>179</v>
      </c>
      <c r="B10" s="27" t="s">
        <v>209</v>
      </c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ht="15.75" customHeight="1">
      <c r="A11" s="28" t="s">
        <v>60</v>
      </c>
      <c r="B11" s="28" t="s">
        <v>210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A12" s="27" t="s">
        <v>44</v>
      </c>
      <c r="B12" s="27" t="s">
        <v>211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28" t="s">
        <v>132</v>
      </c>
      <c r="B13" s="28" t="s">
        <v>212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ht="15.75" customHeight="1">
      <c r="A14" s="27" t="s">
        <v>84</v>
      </c>
      <c r="B14" s="27" t="s">
        <v>213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ht="15.75" customHeight="1">
      <c r="A15" s="28" t="s">
        <v>38</v>
      </c>
      <c r="B15" s="28" t="s">
        <v>214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15.75" customHeight="1">
      <c r="A16" s="27" t="s">
        <v>144</v>
      </c>
      <c r="B16" s="27" t="s">
        <v>215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ht="15.75" customHeight="1">
      <c r="A17" s="28" t="s">
        <v>56</v>
      </c>
      <c r="B17" s="28" t="s">
        <v>216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ht="15.75" customHeight="1">
      <c r="A18" s="27" t="s">
        <v>157</v>
      </c>
      <c r="B18" s="27" t="s">
        <v>217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15.75" customHeight="1">
      <c r="A19" s="28" t="s">
        <v>169</v>
      </c>
      <c r="B19" s="28" t="s">
        <v>218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ht="15.75" customHeight="1">
      <c r="A20" s="27" t="s">
        <v>48</v>
      </c>
      <c r="B20" s="27" t="s">
        <v>219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ht="15.75" customHeight="1">
      <c r="A21" s="28" t="s">
        <v>175</v>
      </c>
      <c r="B21" s="28" t="s">
        <v>220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15.75" customHeight="1">
      <c r="A22" s="27" t="s">
        <v>221</v>
      </c>
      <c r="B22" s="27" t="s">
        <v>222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ht="15.75" customHeight="1">
      <c r="A23" s="28" t="s">
        <v>223</v>
      </c>
      <c r="B23" s="28" t="s">
        <v>224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ht="15.75" customHeight="1">
      <c r="A24" s="27" t="s">
        <v>24</v>
      </c>
      <c r="B24" s="27" t="s">
        <v>203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15.75" customHeight="1">
      <c r="A25" s="28" t="s">
        <v>80</v>
      </c>
      <c r="B25" s="28" t="s">
        <v>225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ht="15.75" customHeight="1">
      <c r="A26" s="27" t="s">
        <v>104</v>
      </c>
      <c r="B26" s="27" t="s">
        <v>226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ht="15.75" customHeight="1">
      <c r="A27" s="28" t="s">
        <v>227</v>
      </c>
      <c r="B27" s="28" t="s">
        <v>228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15.75" customHeight="1">
      <c r="A28" s="27" t="s">
        <v>149</v>
      </c>
      <c r="B28" s="27" t="s">
        <v>229</v>
      </c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ht="15.75" customHeight="1">
      <c r="A29" s="28" t="s">
        <v>86</v>
      </c>
      <c r="B29" s="28" t="s">
        <v>230</v>
      </c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ht="15.75" customHeight="1">
      <c r="A30" s="27" t="s">
        <v>231</v>
      </c>
      <c r="B30" s="27" t="s">
        <v>232</v>
      </c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15.75" customHeight="1">
      <c r="A31" s="28" t="s">
        <v>70</v>
      </c>
      <c r="B31" s="28" t="s">
        <v>233</v>
      </c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ht="15.75" customHeight="1">
      <c r="A32" s="27" t="s">
        <v>30</v>
      </c>
      <c r="B32" s="27" t="s">
        <v>234</v>
      </c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ht="15.75" customHeight="1">
      <c r="A33" s="28" t="s">
        <v>235</v>
      </c>
      <c r="B33" s="28" t="s">
        <v>226</v>
      </c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15.75" customHeight="1">
      <c r="A34" s="27" t="s">
        <v>66</v>
      </c>
      <c r="B34" s="27" t="s">
        <v>236</v>
      </c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ht="15.75" customHeight="1">
      <c r="A35" s="28" t="s">
        <v>110</v>
      </c>
      <c r="B35" s="28" t="s">
        <v>237</v>
      </c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ht="15.75" customHeight="1">
      <c r="A36" s="27" t="s">
        <v>238</v>
      </c>
      <c r="B36" s="27" t="s">
        <v>239</v>
      </c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15.75" customHeight="1">
      <c r="A37" s="28" t="s">
        <v>240</v>
      </c>
      <c r="B37" s="28" t="s">
        <v>241</v>
      </c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ht="15.75" customHeight="1">
      <c r="A38" s="27" t="s">
        <v>242</v>
      </c>
      <c r="B38" s="27" t="s">
        <v>243</v>
      </c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ht="15.75" customHeight="1">
      <c r="A39" s="28" t="s">
        <v>50</v>
      </c>
      <c r="B39" s="28" t="s">
        <v>244</v>
      </c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15.75" customHeight="1">
      <c r="A40" s="27" t="s">
        <v>62</v>
      </c>
      <c r="B40" s="27" t="s">
        <v>245</v>
      </c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ht="15.75" customHeight="1">
      <c r="A41" s="28" t="s">
        <v>159</v>
      </c>
      <c r="B41" s="28" t="s">
        <v>246</v>
      </c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ht="15.75" customHeight="1">
      <c r="A42" s="27" t="s">
        <v>118</v>
      </c>
      <c r="B42" s="27" t="s">
        <v>247</v>
      </c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15.75" customHeight="1">
      <c r="A43" s="28" t="s">
        <v>248</v>
      </c>
      <c r="B43" s="28" t="s">
        <v>249</v>
      </c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ht="15.75" customHeight="1">
      <c r="A44" s="27" t="s">
        <v>102</v>
      </c>
      <c r="B44" s="27" t="s">
        <v>250</v>
      </c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ht="15.75" customHeight="1">
      <c r="A45" s="28" t="s">
        <v>64</v>
      </c>
      <c r="B45" s="28" t="s">
        <v>251</v>
      </c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15.75" customHeight="1">
      <c r="A46" s="27" t="s">
        <v>106</v>
      </c>
      <c r="B46" s="27" t="s">
        <v>252</v>
      </c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5.75" customHeight="1">
      <c r="A47" s="28" t="s">
        <v>100</v>
      </c>
      <c r="B47" s="28" t="s">
        <v>253</v>
      </c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ht="15.75" customHeight="1">
      <c r="A48" s="27" t="s">
        <v>254</v>
      </c>
      <c r="B48" s="27" t="s">
        <v>255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15.75" customHeight="1">
      <c r="A49" s="28" t="s">
        <v>22</v>
      </c>
      <c r="B49" s="28" t="s">
        <v>256</v>
      </c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ht="15.75" customHeight="1">
      <c r="A50" s="27" t="s">
        <v>257</v>
      </c>
      <c r="B50" s="27" t="s">
        <v>258</v>
      </c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ht="15.75" customHeight="1">
      <c r="A51" s="28" t="s">
        <v>259</v>
      </c>
      <c r="B51" s="28" t="s">
        <v>260</v>
      </c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15.75" customHeight="1">
      <c r="A52" s="27" t="s">
        <v>153</v>
      </c>
      <c r="B52" s="27" t="s">
        <v>261</v>
      </c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ht="15.75" customHeight="1">
      <c r="A53" s="28" t="s">
        <v>262</v>
      </c>
      <c r="B53" s="28" t="s">
        <v>263</v>
      </c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ht="15.75" customHeight="1">
      <c r="A54" s="27" t="s">
        <v>264</v>
      </c>
      <c r="B54" s="27" t="s">
        <v>241</v>
      </c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28" t="s">
        <v>108</v>
      </c>
      <c r="B55" s="28" t="s">
        <v>265</v>
      </c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ht="15.75" customHeight="1">
      <c r="A56" s="27" t="s">
        <v>266</v>
      </c>
      <c r="B56" s="27" t="s">
        <v>267</v>
      </c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ht="15.75" customHeight="1">
      <c r="A57" s="28" t="s">
        <v>88</v>
      </c>
      <c r="B57" s="28" t="s">
        <v>268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15.75" customHeight="1">
      <c r="A58" s="27" t="s">
        <v>124</v>
      </c>
      <c r="B58" s="27" t="s">
        <v>269</v>
      </c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ht="15.75" customHeight="1">
      <c r="A59" s="28" t="s">
        <v>54</v>
      </c>
      <c r="B59" s="28" t="s">
        <v>270</v>
      </c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ht="15.75" customHeight="1">
      <c r="A60" s="27" t="s">
        <v>36</v>
      </c>
      <c r="B60" s="27" t="s">
        <v>271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15.75" customHeight="1">
      <c r="A61" s="28" t="s">
        <v>90</v>
      </c>
      <c r="B61" s="28" t="s">
        <v>272</v>
      </c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ht="15.75" customHeight="1">
      <c r="A62" s="27" t="s">
        <v>76</v>
      </c>
      <c r="B62" s="27" t="s">
        <v>273</v>
      </c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ht="15.75" customHeight="1">
      <c r="A63" s="28" t="s">
        <v>274</v>
      </c>
      <c r="B63" s="28" t="s">
        <v>275</v>
      </c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15.75" customHeight="1">
      <c r="A64" s="27" t="s">
        <v>171</v>
      </c>
      <c r="B64" s="27" t="s">
        <v>276</v>
      </c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ht="15.75" customHeight="1">
      <c r="A65" s="28" t="s">
        <v>58</v>
      </c>
      <c r="B65" s="28" t="s">
        <v>277</v>
      </c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ht="15.75" customHeight="1">
      <c r="A66" s="27" t="s">
        <v>278</v>
      </c>
      <c r="B66" s="27" t="s">
        <v>279</v>
      </c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15.75" customHeight="1">
      <c r="A67" s="28" t="s">
        <v>163</v>
      </c>
      <c r="B67" s="28" t="s">
        <v>280</v>
      </c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ht="15.75" customHeight="1">
      <c r="A68" s="27" t="s">
        <v>281</v>
      </c>
      <c r="B68" s="27" t="s">
        <v>282</v>
      </c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ht="15.75" customHeight="1">
      <c r="A69" s="28" t="s">
        <v>98</v>
      </c>
      <c r="B69" s="28" t="s">
        <v>210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15.75" customHeight="1">
      <c r="A70" s="27" t="s">
        <v>52</v>
      </c>
      <c r="B70" s="27" t="s">
        <v>283</v>
      </c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ht="15.75" customHeight="1">
      <c r="A71" s="28" t="s">
        <v>284</v>
      </c>
      <c r="B71" s="28" t="s">
        <v>285</v>
      </c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ht="15.75" customHeight="1">
      <c r="A72" s="27" t="s">
        <v>173</v>
      </c>
      <c r="B72" s="27" t="s">
        <v>286</v>
      </c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15.75" customHeight="1">
      <c r="A73" s="28" t="s">
        <v>26</v>
      </c>
      <c r="B73" s="28" t="s">
        <v>287</v>
      </c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ht="15.75" customHeight="1">
      <c r="A74" s="27" t="s">
        <v>288</v>
      </c>
      <c r="B74" s="27" t="s">
        <v>289</v>
      </c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ht="15.75" customHeight="1">
      <c r="A75" s="28" t="s">
        <v>78</v>
      </c>
      <c r="B75" s="28" t="s">
        <v>290</v>
      </c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15.75" customHeight="1">
      <c r="A76" s="27" t="s">
        <v>291</v>
      </c>
      <c r="B76" s="27" t="s">
        <v>292</v>
      </c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ht="15.75" customHeight="1">
      <c r="A77" s="28" t="s">
        <v>112</v>
      </c>
      <c r="B77" s="28" t="s">
        <v>293</v>
      </c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ht="15.75" customHeight="1">
      <c r="A78" s="27" t="s">
        <v>294</v>
      </c>
      <c r="B78" s="27" t="s">
        <v>295</v>
      </c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15.75" customHeight="1">
      <c r="A79" s="28" t="s">
        <v>296</v>
      </c>
      <c r="B79" s="28" t="s">
        <v>297</v>
      </c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ht="15.75" customHeight="1">
      <c r="A80" s="27" t="s">
        <v>298</v>
      </c>
      <c r="B80" s="29" t="s">
        <v>299</v>
      </c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ht="15.75" customHeight="1">
      <c r="A81" s="28" t="s">
        <v>300</v>
      </c>
      <c r="B81" s="28" t="s">
        <v>301</v>
      </c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15.75" customHeight="1">
      <c r="A82" s="27" t="s">
        <v>74</v>
      </c>
      <c r="B82" s="27" t="s">
        <v>302</v>
      </c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ht="15.75" customHeight="1">
      <c r="A83" s="28" t="s">
        <v>46</v>
      </c>
      <c r="B83" s="28" t="s">
        <v>303</v>
      </c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ht="15.75" customHeight="1">
      <c r="A84" s="27" t="s">
        <v>155</v>
      </c>
      <c r="B84" s="27" t="s">
        <v>304</v>
      </c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15.75" customHeight="1">
      <c r="A85" s="28" t="s">
        <v>142</v>
      </c>
      <c r="B85" s="28" t="s">
        <v>305</v>
      </c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ht="15.75" customHeight="1">
      <c r="A86" s="27" t="s">
        <v>40</v>
      </c>
      <c r="B86" s="27" t="s">
        <v>306</v>
      </c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ht="15.75" customHeight="1">
      <c r="A87" s="28" t="s">
        <v>165</v>
      </c>
      <c r="B87" s="28" t="s">
        <v>307</v>
      </c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15.75" customHeight="1">
      <c r="A88" s="27" t="s">
        <v>308</v>
      </c>
      <c r="B88" s="27" t="s">
        <v>309</v>
      </c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ht="15.75" customHeight="1">
      <c r="A89" s="28" t="s">
        <v>310</v>
      </c>
      <c r="B89" s="28" t="s">
        <v>311</v>
      </c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ht="15.75" customHeight="1">
      <c r="A90" s="27" t="s">
        <v>138</v>
      </c>
      <c r="B90" s="27" t="s">
        <v>312</v>
      </c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15.75" customHeight="1">
      <c r="A91" s="28" t="s">
        <v>313</v>
      </c>
      <c r="B91" s="28" t="s">
        <v>314</v>
      </c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ht="15.75" customHeight="1">
      <c r="A92" s="27" t="s">
        <v>122</v>
      </c>
      <c r="B92" s="27" t="s">
        <v>315</v>
      </c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ht="15.75" customHeight="1">
      <c r="A93" s="28" t="s">
        <v>82</v>
      </c>
      <c r="B93" s="28" t="s">
        <v>316</v>
      </c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15.75" customHeight="1">
      <c r="A94" s="27" t="s">
        <v>317</v>
      </c>
      <c r="B94" s="27" t="s">
        <v>318</v>
      </c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ht="15.75" customHeight="1">
      <c r="A95" s="28" t="s">
        <v>130</v>
      </c>
      <c r="B95" s="28" t="s">
        <v>319</v>
      </c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ht="15.75" customHeight="1">
      <c r="A96" s="27" t="s">
        <v>92</v>
      </c>
      <c r="B96" s="27" t="s">
        <v>320</v>
      </c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15.75" customHeight="1">
      <c r="A97" s="28" t="s">
        <v>42</v>
      </c>
      <c r="B97" s="28" t="s">
        <v>321</v>
      </c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ht="15.75" customHeight="1">
      <c r="A98" s="27" t="s">
        <v>322</v>
      </c>
      <c r="B98" s="27" t="s">
        <v>323</v>
      </c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ht="15.75" customHeight="1">
      <c r="A99" s="28" t="s">
        <v>148</v>
      </c>
      <c r="B99" s="28" t="s">
        <v>324</v>
      </c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15.75" customHeight="1">
      <c r="A100" s="27" t="s">
        <v>325</v>
      </c>
      <c r="B100" s="27" t="s">
        <v>326</v>
      </c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ht="15.75" customHeight="1">
      <c r="A101" s="28" t="s">
        <v>327</v>
      </c>
      <c r="B101" s="28" t="s">
        <v>328</v>
      </c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27" t="s">
        <v>28</v>
      </c>
      <c r="B102" s="27" t="s">
        <v>329</v>
      </c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15.75" customHeight="1">
      <c r="A103" s="28" t="s">
        <v>330</v>
      </c>
      <c r="B103" s="28" t="s">
        <v>331</v>
      </c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ht="15.75" customHeight="1">
      <c r="A104" s="27" t="s">
        <v>332</v>
      </c>
      <c r="B104" s="27" t="s">
        <v>205</v>
      </c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ht="15.75" customHeight="1">
      <c r="A105" s="28" t="s">
        <v>140</v>
      </c>
      <c r="B105" s="28" t="s">
        <v>333</v>
      </c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15.75" customHeight="1">
      <c r="A106" s="27" t="s">
        <v>334</v>
      </c>
      <c r="B106" s="27" t="s">
        <v>335</v>
      </c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ht="15.75" customHeight="1">
      <c r="A107" s="28" t="s">
        <v>336</v>
      </c>
      <c r="B107" s="28" t="s">
        <v>337</v>
      </c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27" t="s">
        <v>94</v>
      </c>
      <c r="B108" s="27" t="s">
        <v>338</v>
      </c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15.75" customHeight="1">
      <c r="A109" s="28" t="s">
        <v>114</v>
      </c>
      <c r="B109" s="28" t="s">
        <v>339</v>
      </c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ht="15.75" customHeight="1">
      <c r="A110" s="27" t="s">
        <v>340</v>
      </c>
      <c r="B110" s="27" t="s">
        <v>341</v>
      </c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ht="15.75" customHeight="1">
      <c r="A111" s="28" t="s">
        <v>151</v>
      </c>
      <c r="B111" s="28" t="s">
        <v>342</v>
      </c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15.75" customHeight="1">
      <c r="A112" s="27" t="s">
        <v>126</v>
      </c>
      <c r="B112" s="27" t="s">
        <v>343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ht="15.75" customHeight="1">
      <c r="A113" s="28" t="s">
        <v>344</v>
      </c>
      <c r="B113" s="28" t="s">
        <v>345</v>
      </c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ht="15.75" customHeight="1">
      <c r="A114" s="27" t="s">
        <v>346</v>
      </c>
      <c r="B114" s="27" t="s">
        <v>347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15.75" customHeight="1">
      <c r="A115" s="28" t="s">
        <v>128</v>
      </c>
      <c r="B115" s="28" t="s">
        <v>128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ht="15.75" customHeight="1">
      <c r="A116" s="27" t="s">
        <v>146</v>
      </c>
      <c r="B116" s="27" t="s">
        <v>348</v>
      </c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ht="15.75" customHeight="1">
      <c r="A117" s="28" t="s">
        <v>116</v>
      </c>
      <c r="B117" s="28" t="s">
        <v>349</v>
      </c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15.75" customHeight="1">
      <c r="A118" s="27" t="s">
        <v>350</v>
      </c>
      <c r="B118" s="27" t="s">
        <v>351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ht="15.75" customHeight="1">
      <c r="A119" s="28" t="s">
        <v>352</v>
      </c>
      <c r="B119" s="28" t="s">
        <v>353</v>
      </c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ht="15.75" customHeight="1">
      <c r="A120" s="27" t="s">
        <v>354</v>
      </c>
      <c r="B120" s="27" t="s">
        <v>355</v>
      </c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15.75" customHeight="1">
      <c r="A121" s="28" t="s">
        <v>68</v>
      </c>
      <c r="B121" s="28" t="s">
        <v>356</v>
      </c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ht="15.75" customHeight="1">
      <c r="A122" s="27" t="s">
        <v>357</v>
      </c>
      <c r="B122" s="27" t="s">
        <v>358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ht="15.75" customHeight="1">
      <c r="A123" s="28" t="s">
        <v>359</v>
      </c>
      <c r="B123" s="28" t="s">
        <v>360</v>
      </c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15.75" customHeight="1">
      <c r="A124" s="27" t="s">
        <v>361</v>
      </c>
      <c r="B124" s="27" t="s">
        <v>362</v>
      </c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ht="15.75" customHeight="1">
      <c r="A125" s="28" t="s">
        <v>363</v>
      </c>
      <c r="B125" s="28" t="s">
        <v>364</v>
      </c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ht="15.75" customHeight="1">
      <c r="A126" s="27" t="s">
        <v>365</v>
      </c>
      <c r="B126" s="27" t="s">
        <v>366</v>
      </c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15.75" customHeight="1">
      <c r="A127" s="28" t="s">
        <v>367</v>
      </c>
      <c r="B127" s="28" t="s">
        <v>368</v>
      </c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ht="15.75" customHeight="1">
      <c r="A128" s="27" t="s">
        <v>369</v>
      </c>
      <c r="B128" s="27" t="s">
        <v>370</v>
      </c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ht="15.75" customHeight="1">
      <c r="A129" s="28" t="s">
        <v>371</v>
      </c>
      <c r="B129" s="28" t="s">
        <v>372</v>
      </c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15.75" customHeight="1">
      <c r="A130" s="27" t="s">
        <v>134</v>
      </c>
      <c r="B130" s="27" t="s">
        <v>373</v>
      </c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ht="15.75" customHeight="1">
      <c r="A131" s="28" t="s">
        <v>136</v>
      </c>
      <c r="B131" s="28" t="s">
        <v>374</v>
      </c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ht="15.75" customHeight="1">
      <c r="A132" s="27" t="s">
        <v>375</v>
      </c>
      <c r="B132" s="27" t="s">
        <v>376</v>
      </c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15.75" customHeight="1">
      <c r="A133" s="28" t="s">
        <v>377</v>
      </c>
      <c r="B133" s="28" t="s">
        <v>378</v>
      </c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ht="15.75" customHeight="1">
      <c r="A134" s="27" t="s">
        <v>379</v>
      </c>
      <c r="B134" s="27" t="s">
        <v>380</v>
      </c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ht="15.75" customHeight="1">
      <c r="A135" s="28" t="s">
        <v>381</v>
      </c>
      <c r="B135" s="28" t="s">
        <v>382</v>
      </c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15.75" customHeight="1">
      <c r="A136" s="27" t="s">
        <v>383</v>
      </c>
      <c r="B136" s="27" t="s">
        <v>384</v>
      </c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ht="15.75" customHeight="1">
      <c r="A137" s="28" t="s">
        <v>385</v>
      </c>
      <c r="B137" s="28" t="s">
        <v>386</v>
      </c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ht="15.75" customHeight="1">
      <c r="A138" s="27" t="s">
        <v>387</v>
      </c>
      <c r="B138" s="27" t="s">
        <v>388</v>
      </c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15.75" customHeight="1">
      <c r="A139" s="28" t="s">
        <v>389</v>
      </c>
      <c r="B139" s="28" t="s">
        <v>390</v>
      </c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ht="15.75" customHeight="1">
      <c r="A140" s="27" t="s">
        <v>391</v>
      </c>
      <c r="B140" s="27" t="s">
        <v>392</v>
      </c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ht="15.75" customHeight="1">
      <c r="A141" s="28" t="s">
        <v>393</v>
      </c>
      <c r="B141" s="28" t="s">
        <v>394</v>
      </c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15.75" customHeight="1">
      <c r="A142" s="27" t="s">
        <v>395</v>
      </c>
      <c r="B142" s="27" t="s">
        <v>396</v>
      </c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ht="15.75" customHeight="1">
      <c r="A143" s="28" t="s">
        <v>397</v>
      </c>
      <c r="B143" s="28" t="s">
        <v>398</v>
      </c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ht="15.75" customHeight="1">
      <c r="A144" s="27" t="s">
        <v>399</v>
      </c>
      <c r="B144" s="27" t="s">
        <v>400</v>
      </c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15.75" customHeight="1">
      <c r="A145" s="28" t="s">
        <v>401</v>
      </c>
      <c r="B145" s="28" t="s">
        <v>401</v>
      </c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ht="15.75" customHeight="1">
      <c r="A146" s="27" t="s">
        <v>402</v>
      </c>
      <c r="B146" s="27" t="s">
        <v>403</v>
      </c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ht="15.75" customHeight="1">
      <c r="A147" s="28" t="s">
        <v>404</v>
      </c>
      <c r="B147" s="28" t="s">
        <v>405</v>
      </c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15.75" customHeight="1">
      <c r="A148" s="27" t="s">
        <v>406</v>
      </c>
      <c r="B148" s="27" t="s">
        <v>407</v>
      </c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ht="15.75" customHeight="1">
      <c r="A149" s="28" t="s">
        <v>408</v>
      </c>
      <c r="B149" s="28" t="s">
        <v>214</v>
      </c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ht="15.75" customHeight="1">
      <c r="A150" s="27" t="s">
        <v>409</v>
      </c>
      <c r="B150" s="27" t="s">
        <v>410</v>
      </c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15.75" customHeight="1">
      <c r="A151" s="28" t="s">
        <v>411</v>
      </c>
      <c r="B151" s="28" t="s">
        <v>412</v>
      </c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ht="15.75" customHeight="1">
      <c r="A152" s="27" t="s">
        <v>413</v>
      </c>
      <c r="B152" s="27" t="s">
        <v>414</v>
      </c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ht="15.75" customHeight="1">
      <c r="A153" s="28" t="s">
        <v>415</v>
      </c>
      <c r="B153" s="28" t="s">
        <v>416</v>
      </c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15.75" customHeight="1">
      <c r="A154" s="27" t="s">
        <v>417</v>
      </c>
      <c r="B154" s="27" t="s">
        <v>418</v>
      </c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ht="15.75" customHeight="1">
      <c r="A155" s="28" t="s">
        <v>419</v>
      </c>
      <c r="B155" s="28" t="s">
        <v>420</v>
      </c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ht="15.75" customHeight="1">
      <c r="A156" s="27" t="s">
        <v>421</v>
      </c>
      <c r="B156" s="27" t="s">
        <v>422</v>
      </c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15.75" customHeight="1">
      <c r="A157" s="28" t="s">
        <v>423</v>
      </c>
      <c r="B157" s="28" t="s">
        <v>424</v>
      </c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ht="15.75" customHeight="1">
      <c r="A158" s="27" t="s">
        <v>425</v>
      </c>
      <c r="B158" s="27" t="s">
        <v>426</v>
      </c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ht="15.75" customHeight="1">
      <c r="A159" s="28" t="s">
        <v>427</v>
      </c>
      <c r="B159" s="28" t="s">
        <v>428</v>
      </c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15.75" customHeight="1">
      <c r="A160" s="27" t="s">
        <v>429</v>
      </c>
      <c r="B160" s="27" t="s">
        <v>430</v>
      </c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ht="15.75" customHeight="1">
      <c r="A161" s="28" t="s">
        <v>431</v>
      </c>
      <c r="B161" s="28" t="s">
        <v>432</v>
      </c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ht="15.75" customHeight="1">
      <c r="A162" s="27" t="s">
        <v>433</v>
      </c>
      <c r="B162" s="27" t="s">
        <v>434</v>
      </c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28" t="s">
        <v>435</v>
      </c>
      <c r="B163" s="28" t="s">
        <v>436</v>
      </c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ht="15.75" customHeight="1">
      <c r="A164" s="27" t="s">
        <v>437</v>
      </c>
      <c r="B164" s="27" t="s">
        <v>438</v>
      </c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ht="15.75" customHeight="1">
      <c r="A165" s="28" t="s">
        <v>439</v>
      </c>
      <c r="B165" s="28" t="s">
        <v>440</v>
      </c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15.75" customHeight="1">
      <c r="A166" s="27" t="s">
        <v>441</v>
      </c>
      <c r="B166" s="27" t="s">
        <v>442</v>
      </c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ht="15.75" customHeight="1">
      <c r="A167" s="28" t="s">
        <v>443</v>
      </c>
      <c r="B167" s="28" t="s">
        <v>444</v>
      </c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ht="15.75" customHeight="1">
      <c r="A168" s="27" t="s">
        <v>445</v>
      </c>
      <c r="B168" s="27" t="s">
        <v>446</v>
      </c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15.75" customHeight="1">
      <c r="A169" s="28" t="s">
        <v>447</v>
      </c>
      <c r="B169" s="28" t="s">
        <v>448</v>
      </c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ht="15.75" customHeight="1">
      <c r="A170" s="27" t="s">
        <v>449</v>
      </c>
      <c r="B170" s="27" t="s">
        <v>450</v>
      </c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ht="15.75" customHeight="1">
      <c r="A171" s="28" t="s">
        <v>451</v>
      </c>
      <c r="B171" s="28" t="s">
        <v>452</v>
      </c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15.75" customHeight="1">
      <c r="A172" s="27" t="s">
        <v>453</v>
      </c>
      <c r="B172" s="27" t="s">
        <v>247</v>
      </c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ht="15.75" customHeight="1">
      <c r="A173" s="28" t="s">
        <v>120</v>
      </c>
      <c r="B173" s="28" t="s">
        <v>305</v>
      </c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ht="15.75" customHeight="1">
      <c r="A174" s="27" t="s">
        <v>454</v>
      </c>
      <c r="B174" s="27" t="s">
        <v>455</v>
      </c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15.75" customHeight="1">
      <c r="A175" s="28" t="s">
        <v>456</v>
      </c>
      <c r="B175" s="28" t="s">
        <v>457</v>
      </c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ht="15.75" customHeight="1">
      <c r="A176" s="27" t="s">
        <v>458</v>
      </c>
      <c r="B176" s="27" t="s">
        <v>459</v>
      </c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ht="15.75" customHeight="1">
      <c r="A177" s="28" t="s">
        <v>460</v>
      </c>
      <c r="B177" s="28" t="s">
        <v>461</v>
      </c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15.75" customHeight="1">
      <c r="A178" s="27" t="s">
        <v>462</v>
      </c>
      <c r="B178" s="27" t="s">
        <v>463</v>
      </c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ht="15.75" customHeight="1">
      <c r="A179" s="28" t="s">
        <v>464</v>
      </c>
      <c r="B179" s="28" t="s">
        <v>465</v>
      </c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ht="15.75" customHeight="1">
      <c r="A180" s="27" t="s">
        <v>466</v>
      </c>
      <c r="B180" s="27" t="s">
        <v>341</v>
      </c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15.75" customHeight="1">
      <c r="A181" s="28" t="s">
        <v>467</v>
      </c>
      <c r="B181" s="28" t="s">
        <v>468</v>
      </c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ht="15.75" customHeight="1">
      <c r="A182" s="27" t="s">
        <v>469</v>
      </c>
      <c r="B182" s="27" t="s">
        <v>470</v>
      </c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ht="15.75" customHeight="1">
      <c r="A183" s="28" t="s">
        <v>471</v>
      </c>
      <c r="B183" s="28" t="s">
        <v>472</v>
      </c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15.75" customHeight="1">
      <c r="A184" s="27" t="s">
        <v>473</v>
      </c>
      <c r="B184" s="27" t="s">
        <v>474</v>
      </c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ht="15.75" customHeight="1">
      <c r="A185" s="28" t="s">
        <v>475</v>
      </c>
      <c r="B185" s="28" t="s">
        <v>476</v>
      </c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ht="15.75" customHeight="1">
      <c r="A186" s="27" t="s">
        <v>477</v>
      </c>
      <c r="B186" s="27" t="s">
        <v>478</v>
      </c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15.75" customHeight="1">
      <c r="A187" s="28" t="s">
        <v>479</v>
      </c>
      <c r="B187" s="28" t="s">
        <v>480</v>
      </c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ht="15.75" customHeight="1">
      <c r="A188" s="27" t="s">
        <v>481</v>
      </c>
      <c r="B188" s="27" t="s">
        <v>482</v>
      </c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ht="15.75" customHeight="1">
      <c r="A189" s="28" t="s">
        <v>483</v>
      </c>
      <c r="B189" s="28" t="s">
        <v>484</v>
      </c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15.75" customHeight="1">
      <c r="A190" s="27" t="s">
        <v>485</v>
      </c>
      <c r="B190" s="27" t="s">
        <v>486</v>
      </c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ht="15.75" customHeight="1">
      <c r="A191" s="28" t="s">
        <v>487</v>
      </c>
      <c r="B191" s="28" t="s">
        <v>364</v>
      </c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ht="15.75" customHeight="1">
      <c r="A192" s="27" t="s">
        <v>488</v>
      </c>
      <c r="B192" s="27" t="s">
        <v>398</v>
      </c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15.75" customHeight="1">
      <c r="A193" s="28" t="s">
        <v>489</v>
      </c>
      <c r="B193" s="28" t="s">
        <v>490</v>
      </c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ht="15.75" customHeight="1">
      <c r="A194" s="27" t="s">
        <v>491</v>
      </c>
      <c r="B194" s="27" t="s">
        <v>492</v>
      </c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ht="15.75" customHeight="1">
      <c r="A195" s="28" t="s">
        <v>493</v>
      </c>
      <c r="B195" s="28" t="s">
        <v>494</v>
      </c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15.75" customHeight="1">
      <c r="A196" s="27" t="s">
        <v>495</v>
      </c>
      <c r="B196" s="27" t="s">
        <v>496</v>
      </c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ht="15.75" customHeight="1">
      <c r="A197" s="28" t="s">
        <v>497</v>
      </c>
      <c r="B197" s="28" t="s">
        <v>498</v>
      </c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ht="15.75" customHeight="1">
      <c r="A198" s="27" t="s">
        <v>499</v>
      </c>
      <c r="B198" s="27" t="s">
        <v>500</v>
      </c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15.75" customHeight="1">
      <c r="A199" s="28" t="s">
        <v>501</v>
      </c>
      <c r="B199" s="28" t="s">
        <v>502</v>
      </c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ht="15.75" customHeight="1">
      <c r="A200" s="27" t="s">
        <v>503</v>
      </c>
      <c r="B200" s="27" t="s">
        <v>504</v>
      </c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ht="15.75" customHeight="1">
      <c r="A201" s="28" t="s">
        <v>505</v>
      </c>
      <c r="B201" s="28" t="s">
        <v>506</v>
      </c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15.75" customHeight="1">
      <c r="A202" s="27" t="s">
        <v>507</v>
      </c>
      <c r="B202" s="27" t="s">
        <v>508</v>
      </c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ht="15.75" customHeight="1">
      <c r="A203" s="28" t="s">
        <v>509</v>
      </c>
      <c r="B203" s="28" t="s">
        <v>510</v>
      </c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ht="15.75" customHeight="1">
      <c r="A204" s="27" t="s">
        <v>511</v>
      </c>
      <c r="B204" s="27" t="s">
        <v>512</v>
      </c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15.75" customHeight="1">
      <c r="A205" s="28" t="s">
        <v>513</v>
      </c>
      <c r="B205" s="28" t="s">
        <v>514</v>
      </c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ht="15.75" customHeight="1">
      <c r="A206" s="27" t="s">
        <v>515</v>
      </c>
      <c r="B206" s="27" t="s">
        <v>516</v>
      </c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ht="15.75" customHeight="1">
      <c r="A207" s="28" t="s">
        <v>517</v>
      </c>
      <c r="B207" s="28" t="s">
        <v>518</v>
      </c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15.75" customHeight="1">
      <c r="A208" s="27" t="s">
        <v>519</v>
      </c>
      <c r="B208" s="27" t="s">
        <v>222</v>
      </c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ht="15.75" customHeight="1">
      <c r="A209" s="28" t="s">
        <v>520</v>
      </c>
      <c r="B209" s="28" t="s">
        <v>521</v>
      </c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ht="15.75" customHeight="1">
      <c r="A210" s="27" t="s">
        <v>522</v>
      </c>
      <c r="B210" s="27" t="s">
        <v>523</v>
      </c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15.75" customHeight="1">
      <c r="A211" s="28" t="s">
        <v>524</v>
      </c>
      <c r="B211" s="28" t="s">
        <v>525</v>
      </c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ht="15.75" customHeight="1">
      <c r="A212" s="27" t="s">
        <v>526</v>
      </c>
      <c r="B212" s="27" t="s">
        <v>527</v>
      </c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ht="15.75" customHeight="1">
      <c r="A213" s="28" t="s">
        <v>528</v>
      </c>
      <c r="B213" s="28" t="s">
        <v>529</v>
      </c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15.75" customHeight="1">
      <c r="A214" s="27" t="s">
        <v>530</v>
      </c>
      <c r="B214" s="27" t="s">
        <v>531</v>
      </c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ht="15.75" customHeight="1">
      <c r="A215" s="28" t="s">
        <v>532</v>
      </c>
      <c r="B215" s="28" t="s">
        <v>255</v>
      </c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ht="15.75" customHeight="1">
      <c r="A216" s="27" t="s">
        <v>533</v>
      </c>
      <c r="B216" s="27" t="s">
        <v>534</v>
      </c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15.75" customHeight="1">
      <c r="A217" s="28" t="s">
        <v>535</v>
      </c>
      <c r="B217" s="28" t="s">
        <v>536</v>
      </c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ht="15.75" customHeight="1">
      <c r="A218" s="27" t="s">
        <v>537</v>
      </c>
      <c r="B218" s="27" t="s">
        <v>538</v>
      </c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ht="15.75" customHeight="1">
      <c r="A219" s="28" t="s">
        <v>539</v>
      </c>
      <c r="B219" s="28" t="s">
        <v>213</v>
      </c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15.75" customHeight="1">
      <c r="A220" s="27" t="s">
        <v>540</v>
      </c>
      <c r="B220" s="27" t="s">
        <v>541</v>
      </c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ht="15.75" customHeight="1">
      <c r="A221" s="28" t="s">
        <v>542</v>
      </c>
      <c r="B221" s="28" t="s">
        <v>543</v>
      </c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ht="15.75" customHeight="1">
      <c r="A222" s="27" t="s">
        <v>542</v>
      </c>
      <c r="B222" s="27" t="s">
        <v>544</v>
      </c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15.75" customHeight="1">
      <c r="A223" s="28" t="s">
        <v>545</v>
      </c>
      <c r="B223" s="28" t="s">
        <v>546</v>
      </c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ht="15.75" customHeight="1">
      <c r="A224" s="27" t="s">
        <v>547</v>
      </c>
      <c r="B224" s="27" t="s">
        <v>548</v>
      </c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ht="15.75" customHeight="1">
      <c r="A225" s="28" t="s">
        <v>549</v>
      </c>
      <c r="B225" s="28" t="s">
        <v>550</v>
      </c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15.75" customHeight="1">
      <c r="A226" s="27" t="s">
        <v>551</v>
      </c>
      <c r="B226" s="27" t="s">
        <v>552</v>
      </c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ht="15.75" customHeight="1">
      <c r="A227" s="28" t="s">
        <v>553</v>
      </c>
      <c r="B227" s="28" t="s">
        <v>554</v>
      </c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ht="15.75" customHeight="1">
      <c r="A228" s="27" t="s">
        <v>555</v>
      </c>
      <c r="B228" s="27" t="s">
        <v>556</v>
      </c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15.75" customHeight="1">
      <c r="A229" s="28" t="s">
        <v>557</v>
      </c>
      <c r="B229" s="28" t="s">
        <v>558</v>
      </c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ht="15.75" customHeight="1">
      <c r="A230" s="27" t="s">
        <v>559</v>
      </c>
      <c r="B230" s="27" t="s">
        <v>556</v>
      </c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ht="15.75" customHeight="1">
      <c r="A231" s="28" t="s">
        <v>560</v>
      </c>
      <c r="B231" s="28" t="s">
        <v>561</v>
      </c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15.75" customHeight="1">
      <c r="A232" s="27" t="s">
        <v>562</v>
      </c>
      <c r="B232" s="27" t="s">
        <v>563</v>
      </c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ht="15.75" customHeight="1">
      <c r="A233" s="28" t="s">
        <v>564</v>
      </c>
      <c r="B233" s="28" t="s">
        <v>565</v>
      </c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ht="15.75" customHeight="1">
      <c r="A234" s="27" t="s">
        <v>566</v>
      </c>
      <c r="B234" s="27" t="s">
        <v>567</v>
      </c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15.75" customHeight="1">
      <c r="A235" s="28" t="s">
        <v>568</v>
      </c>
      <c r="B235" s="28" t="s">
        <v>529</v>
      </c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ht="15.75" customHeight="1">
      <c r="A236" s="27" t="s">
        <v>569</v>
      </c>
      <c r="B236" s="27" t="s">
        <v>570</v>
      </c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ht="15.75" customHeight="1">
      <c r="A237" s="28" t="s">
        <v>571</v>
      </c>
      <c r="B237" s="28" t="s">
        <v>572</v>
      </c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15.75" customHeight="1">
      <c r="A238" s="27" t="s">
        <v>573</v>
      </c>
      <c r="B238" s="27" t="s">
        <v>253</v>
      </c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ht="15.75" customHeight="1">
      <c r="A239" s="28" t="s">
        <v>574</v>
      </c>
      <c r="B239" s="28" t="s">
        <v>575</v>
      </c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ht="15.75" customHeight="1">
      <c r="A240" s="27" t="s">
        <v>576</v>
      </c>
      <c r="B240" s="27" t="s">
        <v>546</v>
      </c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15.75" customHeight="1">
      <c r="A241" s="28" t="s">
        <v>577</v>
      </c>
      <c r="B241" s="28" t="s">
        <v>578</v>
      </c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ht="15.75" customHeight="1">
      <c r="A242" s="27" t="s">
        <v>579</v>
      </c>
      <c r="B242" s="27" t="s">
        <v>580</v>
      </c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ht="15.75" customHeight="1">
      <c r="A243" s="28" t="s">
        <v>581</v>
      </c>
      <c r="B243" s="28" t="s">
        <v>582</v>
      </c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15.75" customHeight="1">
      <c r="A244" s="27" t="s">
        <v>583</v>
      </c>
      <c r="B244" s="27" t="s">
        <v>272</v>
      </c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ht="15.75" customHeight="1">
      <c r="A245" s="28" t="s">
        <v>584</v>
      </c>
      <c r="B245" s="28" t="s">
        <v>585</v>
      </c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27" t="s">
        <v>586</v>
      </c>
      <c r="B246" s="27" t="s">
        <v>500</v>
      </c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8" t="s">
        <v>587</v>
      </c>
      <c r="B247" s="28" t="s">
        <v>588</v>
      </c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ht="15.75" customHeight="1">
      <c r="A248" s="27" t="s">
        <v>589</v>
      </c>
      <c r="B248" s="27" t="s">
        <v>590</v>
      </c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ht="15.75" customHeight="1">
      <c r="A249" s="28" t="s">
        <v>591</v>
      </c>
      <c r="B249" s="28" t="s">
        <v>592</v>
      </c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15.75" customHeight="1">
      <c r="A250" s="27" t="s">
        <v>593</v>
      </c>
      <c r="B250" s="27" t="s">
        <v>594</v>
      </c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ht="15.75" customHeight="1">
      <c r="A251" s="28" t="s">
        <v>595</v>
      </c>
      <c r="B251" s="28" t="s">
        <v>596</v>
      </c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ht="15.75" customHeight="1">
      <c r="A252" s="27" t="s">
        <v>597</v>
      </c>
      <c r="B252" s="27" t="s">
        <v>347</v>
      </c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15.75" customHeight="1">
      <c r="A253" s="28" t="s">
        <v>598</v>
      </c>
      <c r="B253" s="28" t="s">
        <v>599</v>
      </c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ht="15.75" customHeight="1">
      <c r="A254" s="27" t="s">
        <v>600</v>
      </c>
      <c r="B254" s="27" t="s">
        <v>601</v>
      </c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ht="15.75" customHeight="1">
      <c r="A255" s="28" t="s">
        <v>602</v>
      </c>
      <c r="B255" s="28" t="s">
        <v>603</v>
      </c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15.75" customHeight="1">
      <c r="A256" s="27" t="s">
        <v>604</v>
      </c>
      <c r="B256" s="27" t="s">
        <v>290</v>
      </c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ht="15.75" customHeight="1">
      <c r="A257" s="28" t="s">
        <v>605</v>
      </c>
      <c r="B257" s="28" t="s">
        <v>321</v>
      </c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ht="15.75" customHeight="1">
      <c r="A258" s="27" t="s">
        <v>606</v>
      </c>
      <c r="B258" s="27" t="s">
        <v>607</v>
      </c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15.75" customHeight="1">
      <c r="A259" s="28" t="s">
        <v>608</v>
      </c>
      <c r="B259" s="28" t="s">
        <v>609</v>
      </c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ht="15.75" customHeight="1">
      <c r="A260" s="27" t="s">
        <v>610</v>
      </c>
      <c r="B260" s="27" t="s">
        <v>601</v>
      </c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ht="15.75" customHeight="1">
      <c r="A261" s="28" t="s">
        <v>611</v>
      </c>
      <c r="B261" s="28" t="s">
        <v>612</v>
      </c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15.75" customHeight="1">
      <c r="A262" s="27" t="s">
        <v>613</v>
      </c>
      <c r="B262" s="27" t="s">
        <v>614</v>
      </c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ht="15.75" customHeight="1">
      <c r="A263" s="28" t="s">
        <v>615</v>
      </c>
      <c r="B263" s="28" t="s">
        <v>616</v>
      </c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ht="15.75" customHeight="1">
      <c r="A264" s="27" t="s">
        <v>617</v>
      </c>
      <c r="B264" s="27" t="s">
        <v>618</v>
      </c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15.75" customHeight="1">
      <c r="A265" s="28" t="s">
        <v>619</v>
      </c>
      <c r="B265" s="28" t="s">
        <v>620</v>
      </c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ht="15.75" customHeight="1">
      <c r="A266" s="27" t="s">
        <v>621</v>
      </c>
      <c r="B266" s="27" t="s">
        <v>622</v>
      </c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ht="15.75" customHeight="1">
      <c r="A267" s="28" t="s">
        <v>623</v>
      </c>
      <c r="B267" s="28" t="s">
        <v>624</v>
      </c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15.75" customHeight="1">
      <c r="A268" s="27" t="s">
        <v>625</v>
      </c>
      <c r="B268" s="27" t="s">
        <v>525</v>
      </c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ht="15.75" customHeight="1">
      <c r="A269" s="28" t="s">
        <v>626</v>
      </c>
      <c r="B269" s="28" t="s">
        <v>627</v>
      </c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ht="15.75" customHeight="1">
      <c r="A270" s="27" t="s">
        <v>628</v>
      </c>
      <c r="B270" s="27" t="s">
        <v>627</v>
      </c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15.75" customHeight="1">
      <c r="A271" s="28" t="s">
        <v>629</v>
      </c>
      <c r="B271" s="28" t="s">
        <v>630</v>
      </c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ht="15.75" customHeight="1">
      <c r="A272" s="27" t="s">
        <v>631</v>
      </c>
      <c r="B272" s="27" t="s">
        <v>632</v>
      </c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ht="15.75" customHeight="1">
      <c r="A273" s="28" t="s">
        <v>633</v>
      </c>
      <c r="B273" s="28" t="s">
        <v>634</v>
      </c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15.75" customHeight="1">
      <c r="A274" s="27" t="s">
        <v>635</v>
      </c>
      <c r="B274" s="27" t="s">
        <v>636</v>
      </c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ht="15.75" customHeight="1">
      <c r="A275" s="28" t="s">
        <v>637</v>
      </c>
      <c r="B275" s="28" t="s">
        <v>638</v>
      </c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ht="15.75" customHeight="1">
      <c r="A276" s="27" t="s">
        <v>639</v>
      </c>
      <c r="B276" s="27" t="s">
        <v>640</v>
      </c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15.75" customHeight="1">
      <c r="A277" s="28" t="s">
        <v>641</v>
      </c>
      <c r="B277" s="28" t="s">
        <v>642</v>
      </c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ht="15.75" customHeight="1">
      <c r="A278" s="27" t="s">
        <v>643</v>
      </c>
      <c r="B278" s="27" t="s">
        <v>644</v>
      </c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ht="15.75" customHeight="1">
      <c r="A279" s="28" t="s">
        <v>645</v>
      </c>
      <c r="B279" s="28" t="s">
        <v>642</v>
      </c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15.75" customHeight="1">
      <c r="A280" s="27" t="s">
        <v>646</v>
      </c>
      <c r="B280" s="27" t="s">
        <v>506</v>
      </c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ht="15.75" customHeight="1">
      <c r="A281" s="28" t="s">
        <v>647</v>
      </c>
      <c r="B281" s="28" t="s">
        <v>648</v>
      </c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ht="15.75" customHeight="1">
      <c r="A282" s="27" t="s">
        <v>649</v>
      </c>
      <c r="B282" s="27" t="s">
        <v>642</v>
      </c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15.75" customHeight="1">
      <c r="A283" s="28" t="s">
        <v>650</v>
      </c>
      <c r="B283" s="28" t="s">
        <v>651</v>
      </c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ht="15.75" customHeight="1">
      <c r="A284" s="27" t="s">
        <v>652</v>
      </c>
      <c r="B284" s="27" t="s">
        <v>384</v>
      </c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ht="15.75" customHeight="1">
      <c r="A285" s="28" t="s">
        <v>653</v>
      </c>
      <c r="B285" s="28" t="s">
        <v>654</v>
      </c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15.75" customHeight="1">
      <c r="A286" s="27" t="s">
        <v>655</v>
      </c>
      <c r="B286" s="27" t="s">
        <v>616</v>
      </c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ht="15.75" customHeight="1">
      <c r="A287" s="28" t="s">
        <v>656</v>
      </c>
      <c r="B287" s="28" t="s">
        <v>592</v>
      </c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ht="15.75" customHeight="1">
      <c r="A288" s="27" t="s">
        <v>657</v>
      </c>
      <c r="B288" s="27" t="s">
        <v>658</v>
      </c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15.75" customHeight="1">
      <c r="A289" s="28" t="s">
        <v>659</v>
      </c>
      <c r="B289" s="28" t="s">
        <v>660</v>
      </c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ht="15.75" customHeight="1">
      <c r="A290" s="27" t="s">
        <v>661</v>
      </c>
      <c r="B290" s="27" t="s">
        <v>662</v>
      </c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ht="15.75" customHeight="1">
      <c r="A291" s="28" t="s">
        <v>663</v>
      </c>
      <c r="B291" s="28" t="s">
        <v>664</v>
      </c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15.75" customHeight="1">
      <c r="A292" s="27" t="s">
        <v>665</v>
      </c>
      <c r="B292" s="27" t="s">
        <v>666</v>
      </c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ht="15.75" customHeight="1">
      <c r="A293" s="28" t="s">
        <v>667</v>
      </c>
      <c r="B293" s="28" t="s">
        <v>668</v>
      </c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ht="15.75" customHeight="1">
      <c r="A294" s="27" t="s">
        <v>669</v>
      </c>
      <c r="B294" s="27" t="s">
        <v>670</v>
      </c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15.75" customHeight="1">
      <c r="A295" s="28" t="s">
        <v>671</v>
      </c>
      <c r="B295" s="28" t="s">
        <v>672</v>
      </c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ht="15.75" customHeight="1">
      <c r="A296" s="27" t="s">
        <v>673</v>
      </c>
      <c r="B296" s="27" t="s">
        <v>674</v>
      </c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ht="15.75" customHeight="1">
      <c r="A297" s="28" t="s">
        <v>675</v>
      </c>
      <c r="B297" s="28" t="s">
        <v>676</v>
      </c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15.75" customHeight="1">
      <c r="A298" s="27" t="s">
        <v>677</v>
      </c>
      <c r="B298" s="27" t="s">
        <v>678</v>
      </c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ht="15.75" customHeight="1">
      <c r="A299" s="28" t="s">
        <v>679</v>
      </c>
      <c r="B299" s="28" t="s">
        <v>680</v>
      </c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ht="15.75" customHeight="1">
      <c r="A300" s="27" t="s">
        <v>681</v>
      </c>
      <c r="B300" s="27" t="s">
        <v>682</v>
      </c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15.75" customHeight="1">
      <c r="A301" s="28" t="s">
        <v>683</v>
      </c>
      <c r="B301" s="28" t="s">
        <v>684</v>
      </c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ht="15.75" customHeight="1">
      <c r="A302" s="27" t="s">
        <v>685</v>
      </c>
      <c r="B302" s="27" t="s">
        <v>686</v>
      </c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ht="15.75" customHeight="1">
      <c r="A303" s="28" t="s">
        <v>687</v>
      </c>
      <c r="B303" s="28" t="s">
        <v>373</v>
      </c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15.75" customHeight="1">
      <c r="A304" s="27" t="s">
        <v>688</v>
      </c>
      <c r="B304" s="27" t="s">
        <v>689</v>
      </c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ht="15.75" customHeight="1">
      <c r="A305" s="28" t="s">
        <v>690</v>
      </c>
      <c r="B305" s="28" t="s">
        <v>691</v>
      </c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ht="15.75" customHeight="1">
      <c r="A306" s="27" t="s">
        <v>692</v>
      </c>
      <c r="B306" s="27" t="s">
        <v>693</v>
      </c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15.75" customHeight="1">
      <c r="A307" s="28" t="s">
        <v>694</v>
      </c>
      <c r="B307" s="28" t="s">
        <v>695</v>
      </c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ht="15.75" customHeight="1">
      <c r="A308" s="27" t="s">
        <v>696</v>
      </c>
      <c r="B308" s="27" t="s">
        <v>697</v>
      </c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ht="15.75" customHeight="1">
      <c r="A309" s="28" t="s">
        <v>698</v>
      </c>
      <c r="B309" s="28" t="s">
        <v>414</v>
      </c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15.75" customHeight="1">
      <c r="A310" s="27" t="s">
        <v>699</v>
      </c>
      <c r="B310" s="27" t="s">
        <v>700</v>
      </c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ht="15.75" customHeight="1">
      <c r="A311" s="28" t="s">
        <v>701</v>
      </c>
      <c r="B311" s="28" t="s">
        <v>658</v>
      </c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ht="15.75" customHeight="1">
      <c r="A312" s="27" t="s">
        <v>702</v>
      </c>
      <c r="B312" s="27" t="s">
        <v>703</v>
      </c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15.75" customHeight="1">
      <c r="A313" s="28" t="s">
        <v>704</v>
      </c>
      <c r="B313" s="28" t="s">
        <v>664</v>
      </c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ht="15.75" customHeight="1">
      <c r="A314" s="27" t="s">
        <v>705</v>
      </c>
      <c r="B314" s="27" t="s">
        <v>607</v>
      </c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ht="15.75" customHeight="1">
      <c r="A315" s="28" t="s">
        <v>706</v>
      </c>
      <c r="B315" s="28" t="s">
        <v>707</v>
      </c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15.75" customHeight="1">
      <c r="A316" s="27" t="s">
        <v>708</v>
      </c>
      <c r="B316" s="27" t="s">
        <v>709</v>
      </c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ht="15.75" customHeight="1">
      <c r="A317" s="28" t="s">
        <v>710</v>
      </c>
      <c r="B317" s="28" t="s">
        <v>711</v>
      </c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ht="15.75" customHeight="1">
      <c r="A318" s="27" t="s">
        <v>712</v>
      </c>
      <c r="B318" s="27" t="s">
        <v>713</v>
      </c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15.75" customHeight="1">
      <c r="A319" s="28" t="s">
        <v>714</v>
      </c>
      <c r="B319" s="28" t="s">
        <v>715</v>
      </c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ht="15.75" customHeight="1">
      <c r="A320" s="27" t="s">
        <v>716</v>
      </c>
      <c r="B320" s="27" t="s">
        <v>717</v>
      </c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ht="15.75" customHeight="1">
      <c r="A321" s="28" t="s">
        <v>718</v>
      </c>
      <c r="B321" s="28" t="s">
        <v>651</v>
      </c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15.75" customHeight="1">
      <c r="A322" s="27" t="s">
        <v>719</v>
      </c>
      <c r="B322" s="27" t="s">
        <v>720</v>
      </c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ht="15.75" customHeight="1">
      <c r="A323" s="28" t="s">
        <v>721</v>
      </c>
      <c r="B323" s="28" t="s">
        <v>722</v>
      </c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ht="15.75" customHeight="1">
      <c r="A324" s="27" t="s">
        <v>723</v>
      </c>
      <c r="B324" s="27" t="s">
        <v>724</v>
      </c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15.75" customHeight="1">
      <c r="A325" s="28" t="s">
        <v>725</v>
      </c>
      <c r="B325" s="28" t="s">
        <v>726</v>
      </c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ht="15.75" customHeight="1">
      <c r="A326" s="27" t="s">
        <v>727</v>
      </c>
      <c r="B326" s="27" t="s">
        <v>672</v>
      </c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ht="15.75" customHeight="1">
      <c r="A327" s="28" t="s">
        <v>728</v>
      </c>
      <c r="B327" s="28" t="s">
        <v>430</v>
      </c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15.75" customHeight="1">
      <c r="A328" s="27" t="s">
        <v>729</v>
      </c>
      <c r="B328" s="27" t="s">
        <v>730</v>
      </c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ht="15.75" customHeight="1">
      <c r="A329" s="28" t="s">
        <v>731</v>
      </c>
      <c r="B329" s="28" t="s">
        <v>632</v>
      </c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ht="15.75" customHeight="1">
      <c r="A330" s="27" t="s">
        <v>732</v>
      </c>
      <c r="B330" s="27" t="s">
        <v>733</v>
      </c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15.75" customHeight="1">
      <c r="A331" s="28" t="s">
        <v>734</v>
      </c>
      <c r="B331" s="28" t="s">
        <v>735</v>
      </c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ht="15.75" customHeight="1">
      <c r="A332" s="27" t="s">
        <v>736</v>
      </c>
      <c r="B332" s="27" t="s">
        <v>737</v>
      </c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ht="15.75" customHeight="1">
      <c r="A333" s="28" t="s">
        <v>738</v>
      </c>
      <c r="B333" s="28" t="s">
        <v>739</v>
      </c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15.75" customHeight="1">
      <c r="A334" s="27" t="s">
        <v>740</v>
      </c>
      <c r="B334" s="27" t="s">
        <v>741</v>
      </c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ht="15.75" customHeight="1">
      <c r="A335" s="28" t="s">
        <v>742</v>
      </c>
      <c r="B335" s="28" t="s">
        <v>634</v>
      </c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ht="15.75" customHeight="1">
      <c r="A336" s="27" t="s">
        <v>743</v>
      </c>
      <c r="B336" s="27" t="s">
        <v>744</v>
      </c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15.75" customHeight="1">
      <c r="A337" s="28" t="s">
        <v>745</v>
      </c>
      <c r="B337" s="28" t="s">
        <v>660</v>
      </c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ht="15.75" customHeight="1">
      <c r="A338" s="27" t="s">
        <v>746</v>
      </c>
      <c r="B338" s="27" t="s">
        <v>747</v>
      </c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ht="15.75" customHeight="1">
      <c r="A339" s="28" t="s">
        <v>748</v>
      </c>
      <c r="B339" s="28" t="s">
        <v>749</v>
      </c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15.75" customHeight="1">
      <c r="A340" s="27" t="s">
        <v>750</v>
      </c>
      <c r="B340" s="27" t="s">
        <v>751</v>
      </c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ht="15.75" customHeight="1">
      <c r="A341" s="28" t="s">
        <v>752</v>
      </c>
      <c r="B341" s="28" t="s">
        <v>720</v>
      </c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ht="15.75" customHeight="1">
      <c r="A342" s="27" t="s">
        <v>753</v>
      </c>
      <c r="B342" s="27" t="s">
        <v>588</v>
      </c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15.75" customHeight="1">
      <c r="A343" s="28" t="s">
        <v>754</v>
      </c>
      <c r="B343" s="28" t="s">
        <v>691</v>
      </c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ht="15.75" customHeight="1">
      <c r="A344" s="27" t="s">
        <v>755</v>
      </c>
      <c r="B344" s="27" t="s">
        <v>747</v>
      </c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ht="15.75" customHeight="1">
      <c r="A345" s="28" t="s">
        <v>756</v>
      </c>
      <c r="B345" s="28" t="s">
        <v>757</v>
      </c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15.75" customHeight="1">
      <c r="A346" s="27" t="s">
        <v>758</v>
      </c>
      <c r="B346" s="27" t="s">
        <v>759</v>
      </c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ht="15.75" customHeight="1">
      <c r="A347" s="28" t="s">
        <v>760</v>
      </c>
      <c r="B347" s="28" t="s">
        <v>761</v>
      </c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ht="15.75" customHeight="1">
      <c r="A348" s="27" t="s">
        <v>762</v>
      </c>
      <c r="B348" s="27" t="s">
        <v>636</v>
      </c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15.75" customHeight="1">
      <c r="A349" s="28" t="s">
        <v>763</v>
      </c>
      <c r="B349" s="28" t="s">
        <v>707</v>
      </c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ht="15.75" customHeight="1">
      <c r="A350" s="27" t="s">
        <v>764</v>
      </c>
      <c r="B350" s="27" t="s">
        <v>741</v>
      </c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ht="15.75" customHeight="1">
      <c r="A351" s="28" t="s">
        <v>765</v>
      </c>
      <c r="B351" s="28" t="s">
        <v>766</v>
      </c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15.75" customHeight="1">
      <c r="A352" s="27" t="s">
        <v>767</v>
      </c>
      <c r="B352" s="27" t="s">
        <v>768</v>
      </c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ht="15.75" customHeight="1">
      <c r="A353" s="28" t="s">
        <v>769</v>
      </c>
      <c r="B353" s="28" t="s">
        <v>226</v>
      </c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ht="15.75" customHeight="1">
      <c r="A354" s="27" t="s">
        <v>770</v>
      </c>
      <c r="B354" s="27" t="s">
        <v>733</v>
      </c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15.75" customHeight="1">
      <c r="A355" s="28" t="s">
        <v>771</v>
      </c>
      <c r="B355" s="28" t="s">
        <v>565</v>
      </c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ht="15.75" customHeight="1">
      <c r="A356" s="27" t="s">
        <v>772</v>
      </c>
      <c r="B356" s="27" t="s">
        <v>538</v>
      </c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ht="15.75" customHeight="1">
      <c r="A357" s="28" t="s">
        <v>773</v>
      </c>
      <c r="B357" s="28" t="s">
        <v>342</v>
      </c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15.75" customHeight="1">
      <c r="A358" s="27" t="s">
        <v>774</v>
      </c>
      <c r="B358" s="27" t="s">
        <v>775</v>
      </c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ht="15.75" customHeight="1">
      <c r="A359" s="28" t="s">
        <v>776</v>
      </c>
      <c r="B359" s="28" t="s">
        <v>777</v>
      </c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ht="15.75" customHeight="1">
      <c r="A360" s="27" t="s">
        <v>778</v>
      </c>
      <c r="B360" s="27" t="s">
        <v>779</v>
      </c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15.75" customHeight="1">
      <c r="A361" s="28" t="s">
        <v>780</v>
      </c>
      <c r="B361" s="28" t="s">
        <v>781</v>
      </c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ht="15.75" customHeight="1">
      <c r="A362" s="27" t="s">
        <v>782</v>
      </c>
      <c r="B362" s="27" t="s">
        <v>726</v>
      </c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ht="15.75" customHeight="1">
      <c r="A363" s="28" t="s">
        <v>783</v>
      </c>
      <c r="B363" s="28" t="s">
        <v>693</v>
      </c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15.75" customHeight="1">
      <c r="A364" s="27" t="s">
        <v>784</v>
      </c>
      <c r="B364" s="27" t="s">
        <v>676</v>
      </c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ht="15.75" customHeight="1">
      <c r="A365" s="28" t="s">
        <v>785</v>
      </c>
      <c r="B365" s="28" t="s">
        <v>786</v>
      </c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ht="15.75" customHeight="1">
      <c r="A366" s="27" t="s">
        <v>787</v>
      </c>
      <c r="B366" s="27" t="s">
        <v>761</v>
      </c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15.75" customHeight="1">
      <c r="A367" s="28" t="s">
        <v>788</v>
      </c>
      <c r="B367" s="28" t="s">
        <v>789</v>
      </c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ht="15.75" customHeight="1">
      <c r="A368" s="27" t="s">
        <v>790</v>
      </c>
      <c r="B368" s="27" t="s">
        <v>791</v>
      </c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ht="15.75" customHeight="1">
      <c r="A369" s="28" t="s">
        <v>792</v>
      </c>
      <c r="B369" s="28" t="s">
        <v>793</v>
      </c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15.75" customHeight="1">
      <c r="A370" s="27" t="s">
        <v>794</v>
      </c>
      <c r="B370" s="27" t="s">
        <v>795</v>
      </c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ht="15.75" customHeight="1">
      <c r="A371" s="28" t="s">
        <v>796</v>
      </c>
      <c r="B371" s="28" t="s">
        <v>789</v>
      </c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ht="15.75" customHeight="1">
      <c r="A372" s="27" t="s">
        <v>797</v>
      </c>
      <c r="B372" s="27" t="s">
        <v>798</v>
      </c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15.75" customHeight="1">
      <c r="A373" s="28" t="s">
        <v>799</v>
      </c>
      <c r="B373" s="28" t="s">
        <v>697</v>
      </c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ht="15.75" customHeight="1">
      <c r="A374" s="27" t="s">
        <v>800</v>
      </c>
      <c r="B374" s="27" t="s">
        <v>801</v>
      </c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ht="15.75" customHeight="1">
      <c r="A375" s="28" t="s">
        <v>802</v>
      </c>
      <c r="B375" s="28" t="s">
        <v>803</v>
      </c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15.75" customHeight="1">
      <c r="A376" s="27" t="s">
        <v>804</v>
      </c>
      <c r="B376" s="27" t="s">
        <v>805</v>
      </c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ht="15.75" customHeight="1">
      <c r="A377" s="28" t="s">
        <v>806</v>
      </c>
      <c r="B377" s="28" t="s">
        <v>803</v>
      </c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ht="15.75" customHeight="1">
      <c r="A378" s="27" t="s">
        <v>807</v>
      </c>
      <c r="B378" s="27" t="s">
        <v>808</v>
      </c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15.75" customHeight="1">
      <c r="A379" s="28" t="s">
        <v>809</v>
      </c>
      <c r="B379" s="28" t="s">
        <v>525</v>
      </c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ht="15.75" customHeight="1">
      <c r="A380" s="27" t="s">
        <v>810</v>
      </c>
      <c r="B380" s="27" t="s">
        <v>700</v>
      </c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ht="15.75" customHeight="1">
      <c r="A381" s="28" t="s">
        <v>811</v>
      </c>
      <c r="B381" s="28" t="s">
        <v>812</v>
      </c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15.75" customHeight="1">
      <c r="A382" s="27" t="s">
        <v>813</v>
      </c>
      <c r="B382" s="27" t="s">
        <v>814</v>
      </c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ht="15.75" customHeight="1">
      <c r="A383" s="28" t="s">
        <v>815</v>
      </c>
      <c r="B383" s="28" t="s">
        <v>761</v>
      </c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ht="15.75" customHeight="1">
      <c r="A384" s="27" t="s">
        <v>816</v>
      </c>
      <c r="B384" s="27" t="s">
        <v>544</v>
      </c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15.75" customHeight="1">
      <c r="A385" s="28" t="s">
        <v>816</v>
      </c>
      <c r="B385" s="28" t="s">
        <v>543</v>
      </c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ht="15.75" customHeight="1">
      <c r="A386" s="27" t="s">
        <v>817</v>
      </c>
      <c r="B386" s="27" t="s">
        <v>818</v>
      </c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ht="15.75" customHeight="1">
      <c r="A387" s="28" t="s">
        <v>819</v>
      </c>
      <c r="B387" s="28" t="s">
        <v>768</v>
      </c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15.75" customHeight="1">
      <c r="A388" s="27" t="s">
        <v>820</v>
      </c>
      <c r="B388" s="27" t="s">
        <v>676</v>
      </c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ht="15.75" customHeight="1">
      <c r="A389" s="28" t="s">
        <v>821</v>
      </c>
      <c r="B389" s="28" t="s">
        <v>822</v>
      </c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ht="15.75" customHeight="1">
      <c r="A390" s="27" t="s">
        <v>823</v>
      </c>
      <c r="B390" s="27" t="s">
        <v>824</v>
      </c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15.75" customHeight="1">
      <c r="A391" s="28" t="s">
        <v>825</v>
      </c>
      <c r="B391" s="28" t="s">
        <v>674</v>
      </c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ht="15.75" customHeight="1">
      <c r="A392" s="27" t="s">
        <v>826</v>
      </c>
      <c r="B392" s="27" t="s">
        <v>795</v>
      </c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ht="15.75" customHeight="1">
      <c r="A393" s="28" t="s">
        <v>827</v>
      </c>
      <c r="B393" s="28" t="s">
        <v>674</v>
      </c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ht="15.75" customHeight="1">
      <c r="A394" s="27" t="s">
        <v>828</v>
      </c>
      <c r="B394" s="27" t="s">
        <v>829</v>
      </c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ht="15.75" customHeight="1">
      <c r="A395" s="28" t="s">
        <v>830</v>
      </c>
      <c r="B395" s="28" t="s">
        <v>757</v>
      </c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ht="15.75" customHeight="1">
      <c r="A396" s="27" t="s">
        <v>831</v>
      </c>
      <c r="B396" s="27" t="s">
        <v>832</v>
      </c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ht="15.75" customHeight="1">
      <c r="A397" s="28" t="s">
        <v>833</v>
      </c>
      <c r="B397" s="28" t="s">
        <v>834</v>
      </c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ht="15.75" customHeight="1">
      <c r="A398" s="27" t="s">
        <v>835</v>
      </c>
      <c r="B398" s="27" t="s">
        <v>795</v>
      </c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28" t="s">
        <v>836</v>
      </c>
      <c r="B399" s="28" t="s">
        <v>824</v>
      </c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ht="15.75" customHeight="1">
      <c r="A400" s="27" t="s">
        <v>837</v>
      </c>
      <c r="B400" s="27" t="s">
        <v>674</v>
      </c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ht="15.75" customHeight="1">
      <c r="A401" s="28" t="s">
        <v>838</v>
      </c>
      <c r="B401" s="28" t="s">
        <v>805</v>
      </c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ht="15.75" customHeight="1">
      <c r="A402" s="27" t="s">
        <v>839</v>
      </c>
      <c r="B402" s="27" t="s">
        <v>840</v>
      </c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ht="15.75" customHeight="1">
      <c r="A403" s="28" t="s">
        <v>841</v>
      </c>
      <c r="B403" s="28" t="s">
        <v>730</v>
      </c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ht="15.75" customHeight="1">
      <c r="A404" s="27" t="s">
        <v>842</v>
      </c>
      <c r="B404" s="27" t="s">
        <v>818</v>
      </c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ht="15.75" customHeight="1">
      <c r="A405" s="28" t="s">
        <v>843</v>
      </c>
      <c r="B405" s="28" t="s">
        <v>844</v>
      </c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27" t="s">
        <v>845</v>
      </c>
      <c r="B406" s="27" t="s">
        <v>846</v>
      </c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ht="15.75" customHeight="1">
      <c r="A407" s="28" t="s">
        <v>847</v>
      </c>
      <c r="B407" s="28" t="s">
        <v>305</v>
      </c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ht="15.75" customHeight="1">
      <c r="A408" s="27" t="s">
        <v>848</v>
      </c>
      <c r="B408" s="27" t="s">
        <v>761</v>
      </c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ht="15.75" customHeight="1">
      <c r="A409" s="28" t="s">
        <v>849</v>
      </c>
      <c r="B409" s="28" t="s">
        <v>844</v>
      </c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ht="15.75" customHeight="1">
      <c r="A410" s="27" t="s">
        <v>850</v>
      </c>
      <c r="B410" s="27" t="s">
        <v>844</v>
      </c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ht="15.75" customHeight="1">
      <c r="A411" s="28" t="s">
        <v>851</v>
      </c>
      <c r="B411" s="28" t="s">
        <v>321</v>
      </c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ht="15.75" customHeight="1">
      <c r="A412" s="27" t="s">
        <v>852</v>
      </c>
      <c r="B412" s="27" t="s">
        <v>205</v>
      </c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ht="15.75" customHeight="1">
      <c r="A413" s="28" t="s">
        <v>853</v>
      </c>
      <c r="B413" s="28" t="s">
        <v>854</v>
      </c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ht="15.75" customHeight="1">
      <c r="A414" s="27" t="s">
        <v>855</v>
      </c>
      <c r="B414" s="27" t="s">
        <v>856</v>
      </c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ht="15.75" customHeight="1">
      <c r="A415" s="28" t="s">
        <v>857</v>
      </c>
      <c r="B415" s="28" t="s">
        <v>724</v>
      </c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ht="15.75" customHeight="1">
      <c r="A416" s="27" t="s">
        <v>858</v>
      </c>
      <c r="B416" s="27" t="s">
        <v>686</v>
      </c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ht="15.75" customHeight="1">
      <c r="A417" s="28" t="s">
        <v>859</v>
      </c>
      <c r="B417" s="28" t="s">
        <v>737</v>
      </c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ht="15.75" customHeight="1">
      <c r="A418" s="27" t="s">
        <v>860</v>
      </c>
      <c r="B418" s="27" t="s">
        <v>856</v>
      </c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ht="15.75" customHeight="1">
      <c r="A419" s="28" t="s">
        <v>861</v>
      </c>
      <c r="B419" s="28" t="s">
        <v>862</v>
      </c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ht="15.75" customHeight="1">
      <c r="A420" s="27" t="s">
        <v>863</v>
      </c>
      <c r="B420" s="27" t="s">
        <v>384</v>
      </c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ht="15.75" customHeight="1">
      <c r="A421" s="28" t="s">
        <v>864</v>
      </c>
      <c r="B421" s="28" t="s">
        <v>846</v>
      </c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ht="15.75" customHeight="1">
      <c r="A422" s="27" t="s">
        <v>865</v>
      </c>
      <c r="B422" s="27" t="s">
        <v>761</v>
      </c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ht="15.75" customHeight="1">
      <c r="A423" s="28" t="s">
        <v>866</v>
      </c>
      <c r="B423" s="28" t="s">
        <v>867</v>
      </c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ht="15.75" customHeight="1">
      <c r="A424" s="27" t="s">
        <v>868</v>
      </c>
      <c r="B424" s="27" t="s">
        <v>869</v>
      </c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ht="15.75" customHeight="1">
      <c r="A425" s="28" t="s">
        <v>870</v>
      </c>
      <c r="B425" s="28" t="s">
        <v>869</v>
      </c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ht="15.75" customHeight="1">
      <c r="A426" s="27" t="s">
        <v>871</v>
      </c>
      <c r="B426" s="27" t="s">
        <v>822</v>
      </c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ht="15.75" customHeight="1">
      <c r="A427" s="28" t="s">
        <v>872</v>
      </c>
      <c r="B427" s="28" t="s">
        <v>660</v>
      </c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ht="15.75" customHeight="1">
      <c r="A428" s="27" t="s">
        <v>873</v>
      </c>
      <c r="B428" s="27" t="s">
        <v>874</v>
      </c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ht="15.75" customHeight="1">
      <c r="A429" s="28" t="s">
        <v>875</v>
      </c>
      <c r="B429" s="28" t="s">
        <v>876</v>
      </c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ht="15.75" customHeight="1">
      <c r="A430" s="27" t="s">
        <v>877</v>
      </c>
      <c r="B430" s="27" t="s">
        <v>761</v>
      </c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ht="15.75" customHeight="1">
      <c r="A431" s="28" t="s">
        <v>878</v>
      </c>
      <c r="B431" s="28" t="s">
        <v>879</v>
      </c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ht="15.75" customHeight="1">
      <c r="A432" s="27" t="s">
        <v>880</v>
      </c>
      <c r="B432" s="27" t="s">
        <v>881</v>
      </c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ht="15.75" customHeight="1">
      <c r="A433" s="28" t="s">
        <v>882</v>
      </c>
      <c r="B433" s="28" t="s">
        <v>761</v>
      </c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ht="15.75" customHeight="1">
      <c r="A434" s="27" t="s">
        <v>883</v>
      </c>
      <c r="B434" s="27" t="s">
        <v>884</v>
      </c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ht="15.75" customHeight="1">
      <c r="A435" s="28" t="s">
        <v>885</v>
      </c>
      <c r="B435" s="28" t="s">
        <v>886</v>
      </c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ht="15.75" customHeight="1">
      <c r="A436" s="27" t="s">
        <v>887</v>
      </c>
      <c r="B436" s="27" t="s">
        <v>711</v>
      </c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ht="15.75" customHeight="1">
      <c r="A437" s="28" t="s">
        <v>888</v>
      </c>
      <c r="B437" s="28" t="s">
        <v>889</v>
      </c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ht="15.75" customHeight="1">
      <c r="A438" s="27" t="s">
        <v>890</v>
      </c>
      <c r="B438" s="27" t="s">
        <v>889</v>
      </c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ht="15.75" customHeight="1">
      <c r="A439" s="28" t="s">
        <v>891</v>
      </c>
      <c r="B439" s="28" t="s">
        <v>822</v>
      </c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ht="15.75" customHeight="1">
      <c r="A440" s="27" t="s">
        <v>892</v>
      </c>
      <c r="B440" s="27" t="s">
        <v>892</v>
      </c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ht="15.75" customHeight="1">
      <c r="A441" s="28" t="s">
        <v>893</v>
      </c>
      <c r="B441" s="28" t="s">
        <v>834</v>
      </c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ht="15.75" customHeight="1">
      <c r="A442" s="27" t="s">
        <v>894</v>
      </c>
      <c r="B442" s="27" t="s">
        <v>739</v>
      </c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ht="15.75" customHeight="1">
      <c r="A443" s="28" t="s">
        <v>895</v>
      </c>
      <c r="B443" s="28" t="s">
        <v>896</v>
      </c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ht="15.75" customHeight="1">
      <c r="A444" s="27" t="s">
        <v>897</v>
      </c>
      <c r="B444" s="27" t="s">
        <v>898</v>
      </c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ht="15.75" customHeight="1">
      <c r="A445" s="28" t="s">
        <v>899</v>
      </c>
      <c r="B445" s="28" t="s">
        <v>668</v>
      </c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ht="15.75" customHeight="1">
      <c r="A446" s="27" t="s">
        <v>900</v>
      </c>
      <c r="B446" s="27" t="s">
        <v>798</v>
      </c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ht="15.75" customHeight="1">
      <c r="A447" s="28" t="s">
        <v>901</v>
      </c>
      <c r="B447" s="28" t="s">
        <v>902</v>
      </c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ht="15.75" customHeight="1">
      <c r="A448" s="27" t="s">
        <v>903</v>
      </c>
      <c r="B448" s="27" t="s">
        <v>654</v>
      </c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ht="15.75" customHeight="1">
      <c r="A449" s="28" t="s">
        <v>904</v>
      </c>
      <c r="B449" s="28" t="s">
        <v>905</v>
      </c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ht="15.75" customHeight="1">
      <c r="A450" s="27" t="s">
        <v>906</v>
      </c>
      <c r="B450" s="27" t="s">
        <v>906</v>
      </c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ht="15.75" customHeight="1">
      <c r="A451" s="28" t="s">
        <v>907</v>
      </c>
      <c r="B451" s="28" t="s">
        <v>908</v>
      </c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ht="15.75" customHeight="1">
      <c r="A452" s="27" t="s">
        <v>909</v>
      </c>
      <c r="B452" s="27" t="s">
        <v>910</v>
      </c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ht="15.75" customHeight="1">
      <c r="A453" s="28" t="s">
        <v>911</v>
      </c>
      <c r="B453" s="28" t="s">
        <v>912</v>
      </c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ht="15.75" customHeight="1">
      <c r="A454" s="27" t="s">
        <v>913</v>
      </c>
      <c r="B454" s="27" t="s">
        <v>914</v>
      </c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ht="15.75" customHeight="1">
      <c r="A455" s="28" t="s">
        <v>915</v>
      </c>
      <c r="B455" s="28" t="s">
        <v>916</v>
      </c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ht="15.75" customHeight="1">
      <c r="A456" s="27" t="s">
        <v>917</v>
      </c>
      <c r="B456" s="27" t="s">
        <v>917</v>
      </c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ht="15.75" customHeight="1">
      <c r="A457" s="28" t="s">
        <v>918</v>
      </c>
      <c r="B457" s="28" t="s">
        <v>918</v>
      </c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ht="15.75" customHeight="1">
      <c r="A458" s="27" t="s">
        <v>919</v>
      </c>
      <c r="B458" s="27" t="s">
        <v>910</v>
      </c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ht="15.75" customHeight="1">
      <c r="A459" s="28" t="s">
        <v>920</v>
      </c>
      <c r="B459" s="28" t="s">
        <v>921</v>
      </c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ht="15.75" customHeight="1">
      <c r="A460" s="27" t="s">
        <v>922</v>
      </c>
      <c r="B460" s="27" t="s">
        <v>923</v>
      </c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ht="15.75" customHeight="1">
      <c r="A461" s="28" t="s">
        <v>924</v>
      </c>
      <c r="B461" s="28" t="s">
        <v>925</v>
      </c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ht="15.75" customHeight="1">
      <c r="A462" s="27" t="s">
        <v>926</v>
      </c>
      <c r="B462" s="27" t="s">
        <v>925</v>
      </c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ht="15.75" customHeight="1">
      <c r="A463" s="28" t="s">
        <v>927</v>
      </c>
      <c r="B463" s="28" t="s">
        <v>928</v>
      </c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ht="15.75" customHeight="1">
      <c r="A464" s="27" t="s">
        <v>929</v>
      </c>
      <c r="B464" s="27" t="s">
        <v>928</v>
      </c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ht="15.75" customHeight="1">
      <c r="A465" s="28" t="s">
        <v>930</v>
      </c>
      <c r="B465" s="28" t="s">
        <v>931</v>
      </c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ht="15.75" customHeight="1">
      <c r="A466" s="27" t="s">
        <v>932</v>
      </c>
      <c r="B466" s="27" t="s">
        <v>933</v>
      </c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ht="15.75" customHeight="1">
      <c r="A467" s="28" t="s">
        <v>934</v>
      </c>
      <c r="B467" s="28" t="s">
        <v>933</v>
      </c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ht="15.75" customHeight="1">
      <c r="A468" s="27" t="s">
        <v>935</v>
      </c>
      <c r="B468" s="27" t="s">
        <v>931</v>
      </c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ht="15.75" customHeight="1">
      <c r="A469" s="28" t="s">
        <v>936</v>
      </c>
      <c r="B469" s="28" t="s">
        <v>936</v>
      </c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ht="15.75" customHeight="1">
      <c r="A470" s="27" t="s">
        <v>937</v>
      </c>
      <c r="B470" s="27" t="s">
        <v>938</v>
      </c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ht="15.75" customHeight="1">
      <c r="A471" s="28" t="s">
        <v>939</v>
      </c>
      <c r="B471" s="28" t="s">
        <v>940</v>
      </c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ht="15.75" customHeight="1">
      <c r="A472" s="27" t="s">
        <v>941</v>
      </c>
      <c r="B472" s="27" t="s">
        <v>940</v>
      </c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ht="15.75" customHeight="1">
      <c r="A473" s="28" t="s">
        <v>942</v>
      </c>
      <c r="B473" s="28" t="s">
        <v>902</v>
      </c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ht="15.75" customHeight="1">
      <c r="A474" s="27" t="s">
        <v>943</v>
      </c>
      <c r="B474" s="27" t="s">
        <v>943</v>
      </c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ht="15.75" customHeight="1">
      <c r="A475" s="28" t="s">
        <v>944</v>
      </c>
      <c r="B475" s="28" t="s">
        <v>482</v>
      </c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ht="15.75" customHeight="1">
      <c r="A476" s="27" t="s">
        <v>945</v>
      </c>
      <c r="B476" s="27" t="s">
        <v>946</v>
      </c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ht="15.75" customHeight="1">
      <c r="A477" s="28" t="s">
        <v>947</v>
      </c>
      <c r="B477" s="28" t="s">
        <v>947</v>
      </c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ht="15.75" customHeight="1">
      <c r="A478" s="27" t="s">
        <v>948</v>
      </c>
      <c r="B478" s="27" t="s">
        <v>766</v>
      </c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ht="15.75" customHeight="1">
      <c r="A479" s="28" t="s">
        <v>949</v>
      </c>
      <c r="B479" s="28" t="s">
        <v>777</v>
      </c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ht="15.75" customHeight="1">
      <c r="A480" s="27" t="s">
        <v>950</v>
      </c>
      <c r="B480" s="27" t="s">
        <v>951</v>
      </c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ht="15.75" customHeight="1">
      <c r="A481" s="28" t="s">
        <v>952</v>
      </c>
      <c r="B481" s="28" t="s">
        <v>953</v>
      </c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ht="15.75" customHeight="1">
      <c r="A482" s="27" t="s">
        <v>954</v>
      </c>
      <c r="B482" s="27" t="s">
        <v>953</v>
      </c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ht="15.75" customHeight="1">
      <c r="A483" s="28" t="s">
        <v>955</v>
      </c>
      <c r="B483" s="28" t="s">
        <v>956</v>
      </c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ht="15.75" customHeight="1">
      <c r="A484" s="27" t="s">
        <v>957</v>
      </c>
      <c r="B484" s="27" t="s">
        <v>956</v>
      </c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ht="15.75" customHeight="1">
      <c r="A485" s="28" t="s">
        <v>958</v>
      </c>
      <c r="B485" s="28" t="s">
        <v>958</v>
      </c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ht="15.75" customHeight="1">
      <c r="A486" s="27" t="s">
        <v>959</v>
      </c>
      <c r="B486" s="27" t="s">
        <v>856</v>
      </c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ht="15.75" customHeight="1">
      <c r="A487" s="28" t="s">
        <v>960</v>
      </c>
      <c r="B487" s="28" t="s">
        <v>961</v>
      </c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ht="15.75" customHeight="1">
      <c r="A488" s="27" t="s">
        <v>962</v>
      </c>
      <c r="B488" s="27" t="s">
        <v>961</v>
      </c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ht="15.75" customHeight="1">
      <c r="A489" s="28" t="s">
        <v>963</v>
      </c>
      <c r="B489" s="28" t="s">
        <v>961</v>
      </c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ht="15.75" customHeight="1">
      <c r="A490" s="27" t="s">
        <v>964</v>
      </c>
      <c r="B490" s="27" t="s">
        <v>965</v>
      </c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ht="15.75" customHeight="1">
      <c r="A491" s="28" t="s">
        <v>966</v>
      </c>
      <c r="B491" s="28" t="s">
        <v>967</v>
      </c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ht="15.75" customHeight="1">
      <c r="A492" s="27" t="s">
        <v>968</v>
      </c>
      <c r="B492" s="27" t="s">
        <v>969</v>
      </c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ht="15.75" customHeight="1">
      <c r="A493" s="28" t="s">
        <v>970</v>
      </c>
      <c r="B493" s="28" t="s">
        <v>965</v>
      </c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ht="15.75" customHeight="1">
      <c r="A494" s="27" t="s">
        <v>971</v>
      </c>
      <c r="B494" s="27" t="s">
        <v>972</v>
      </c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ht="15.75" customHeight="1">
      <c r="A495" s="28" t="s">
        <v>973</v>
      </c>
      <c r="B495" s="28" t="s">
        <v>974</v>
      </c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ht="15.75" customHeight="1">
      <c r="A496" s="27" t="s">
        <v>975</v>
      </c>
      <c r="B496" s="27" t="s">
        <v>974</v>
      </c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ht="15.75" customHeight="1">
      <c r="A497" s="28" t="s">
        <v>976</v>
      </c>
      <c r="B497" s="28" t="s">
        <v>977</v>
      </c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ht="15.75" customHeight="1">
      <c r="A498" s="27" t="s">
        <v>978</v>
      </c>
      <c r="B498" s="27" t="s">
        <v>978</v>
      </c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ht="15.75" customHeight="1">
      <c r="A499" s="28" t="s">
        <v>979</v>
      </c>
      <c r="B499" s="28" t="s">
        <v>979</v>
      </c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ht="15.75" customHeight="1">
      <c r="A500" s="27" t="s">
        <v>980</v>
      </c>
      <c r="B500" s="27" t="s">
        <v>980</v>
      </c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ht="15.75" customHeight="1">
      <c r="A501" s="28" t="s">
        <v>981</v>
      </c>
      <c r="B501" s="28" t="s">
        <v>981</v>
      </c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ht="15.75" customHeight="1">
      <c r="A502" s="27" t="s">
        <v>982</v>
      </c>
      <c r="B502" s="27" t="s">
        <v>982</v>
      </c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ht="15.75" customHeight="1">
      <c r="A503" s="28" t="s">
        <v>983</v>
      </c>
      <c r="B503" s="28" t="s">
        <v>984</v>
      </c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ht="15.75" customHeight="1">
      <c r="A504" s="27" t="s">
        <v>985</v>
      </c>
      <c r="B504" s="27" t="s">
        <v>985</v>
      </c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ht="15.75" customHeight="1">
      <c r="A505" s="28" t="s">
        <v>986</v>
      </c>
      <c r="B505" s="28" t="s">
        <v>986</v>
      </c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ht="15.75" customHeight="1">
      <c r="A506" s="27" t="s">
        <v>987</v>
      </c>
      <c r="B506" s="27" t="s">
        <v>987</v>
      </c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ht="15.75" customHeight="1">
      <c r="A507" s="28" t="s">
        <v>988</v>
      </c>
      <c r="B507" s="28" t="s">
        <v>480</v>
      </c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ht="15.75" customHeight="1">
      <c r="A508" s="27" t="s">
        <v>989</v>
      </c>
      <c r="B508" s="27" t="s">
        <v>585</v>
      </c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ht="15.75" customHeight="1">
      <c r="A509" s="28" t="s">
        <v>990</v>
      </c>
      <c r="B509" s="28" t="s">
        <v>990</v>
      </c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ht="15.75" customHeight="1">
      <c r="A510" s="27" t="s">
        <v>991</v>
      </c>
      <c r="B510" s="27" t="s">
        <v>992</v>
      </c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ht="15.75" customHeight="1">
      <c r="A511" s="28" t="s">
        <v>993</v>
      </c>
      <c r="B511" s="28" t="s">
        <v>993</v>
      </c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ht="15.75" customHeight="1">
      <c r="A512" s="27" t="s">
        <v>994</v>
      </c>
      <c r="B512" s="27" t="s">
        <v>994</v>
      </c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ht="15.75" customHeight="1">
      <c r="A513" s="28" t="s">
        <v>995</v>
      </c>
      <c r="B513" s="28" t="s">
        <v>995</v>
      </c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ht="15.75" customHeight="1">
      <c r="A514" s="27" t="s">
        <v>996</v>
      </c>
      <c r="B514" s="27" t="s">
        <v>997</v>
      </c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ht="15.75" customHeight="1">
      <c r="A515" s="28" t="s">
        <v>998</v>
      </c>
      <c r="B515" s="28" t="s">
        <v>999</v>
      </c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ht="15.75" customHeight="1">
      <c r="A516" s="27" t="s">
        <v>1000</v>
      </c>
      <c r="B516" s="27" t="s">
        <v>1001</v>
      </c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ht="15.75" customHeight="1">
      <c r="A517" s="28" t="s">
        <v>1002</v>
      </c>
      <c r="B517" s="28" t="s">
        <v>1002</v>
      </c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ht="15.75" customHeight="1">
      <c r="A518" s="27" t="s">
        <v>1003</v>
      </c>
      <c r="B518" s="27" t="s">
        <v>1004</v>
      </c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ht="15.75" customHeight="1">
      <c r="A519" s="28" t="s">
        <v>1005</v>
      </c>
      <c r="B519" s="28" t="s">
        <v>1004</v>
      </c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ht="15.75" customHeight="1">
      <c r="A520" s="27" t="s">
        <v>1006</v>
      </c>
      <c r="B520" s="27" t="s">
        <v>1007</v>
      </c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ht="15.75" customHeight="1">
      <c r="A521" s="28" t="s">
        <v>1008</v>
      </c>
      <c r="B521" s="28" t="s">
        <v>931</v>
      </c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ht="15.75" customHeight="1">
      <c r="A522" s="27" t="s">
        <v>1009</v>
      </c>
      <c r="B522" s="27" t="s">
        <v>840</v>
      </c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ht="15.75" customHeight="1">
      <c r="A523" s="28" t="s">
        <v>1010</v>
      </c>
      <c r="B523" s="28" t="s">
        <v>601</v>
      </c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ht="15.75" customHeight="1">
      <c r="A524" s="27" t="s">
        <v>1011</v>
      </c>
      <c r="B524" s="27" t="s">
        <v>916</v>
      </c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ht="15.75" customHeight="1">
      <c r="A525" s="28" t="s">
        <v>1012</v>
      </c>
      <c r="B525" s="28" t="s">
        <v>709</v>
      </c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ht="15.75" customHeight="1">
      <c r="A526" s="27" t="s">
        <v>1013</v>
      </c>
      <c r="B526" s="27" t="s">
        <v>1014</v>
      </c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ht="15.75" customHeight="1">
      <c r="A527" s="28" t="s">
        <v>1015</v>
      </c>
      <c r="B527" s="28" t="s">
        <v>1016</v>
      </c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ht="15.75" customHeight="1">
      <c r="A528" s="27" t="s">
        <v>1017</v>
      </c>
      <c r="B528" s="27" t="s">
        <v>1018</v>
      </c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ht="15.75" customHeight="1">
      <c r="A529" s="28" t="s">
        <v>1019</v>
      </c>
      <c r="B529" s="28" t="s">
        <v>938</v>
      </c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ht="15.75" customHeight="1">
      <c r="A530" s="27" t="s">
        <v>1020</v>
      </c>
      <c r="B530" s="27" t="s">
        <v>946</v>
      </c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ht="15.75" customHeight="1">
      <c r="A531" s="28" t="s">
        <v>1021</v>
      </c>
      <c r="B531" s="28" t="s">
        <v>829</v>
      </c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ht="15.75" customHeight="1">
      <c r="A532" s="27" t="s">
        <v>1022</v>
      </c>
      <c r="B532" s="27" t="s">
        <v>791</v>
      </c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ht="15.75" customHeight="1">
      <c r="A533" s="28" t="s">
        <v>1023</v>
      </c>
      <c r="B533" s="28" t="s">
        <v>668</v>
      </c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ht="15.75" customHeight="1">
      <c r="A534" s="27" t="s">
        <v>1024</v>
      </c>
      <c r="B534" s="27" t="s">
        <v>759</v>
      </c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ht="15.75" customHeight="1">
      <c r="A535" s="28" t="s">
        <v>1025</v>
      </c>
      <c r="B535" s="28" t="s">
        <v>592</v>
      </c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ht="15.75" customHeight="1">
      <c r="A536" s="27" t="s">
        <v>1026</v>
      </c>
      <c r="B536" s="27" t="s">
        <v>1027</v>
      </c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ht="15.75" customHeight="1">
      <c r="A537" s="21"/>
      <c r="B537" s="21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ht="15.75" customHeight="1">
      <c r="A538" s="21"/>
      <c r="B538" s="21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ht="15.75" customHeight="1">
      <c r="A539" s="21"/>
      <c r="B539" s="21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ht="15.75" customHeight="1">
      <c r="A540" s="21"/>
      <c r="B540" s="21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ht="15.75" customHeight="1">
      <c r="A541" s="21"/>
      <c r="B541" s="21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ht="15.75" customHeight="1">
      <c r="A542" s="21"/>
      <c r="B542" s="21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ht="15.75" customHeight="1">
      <c r="A543" s="21"/>
      <c r="B543" s="21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ht="15.75" customHeight="1">
      <c r="A544" s="21"/>
      <c r="B544" s="21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ht="15.75" customHeight="1">
      <c r="A545" s="21"/>
      <c r="B545" s="21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ht="15.75" customHeight="1">
      <c r="A546" s="21"/>
      <c r="B546" s="21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ht="15.75" customHeight="1">
      <c r="A547" s="21"/>
      <c r="B547" s="21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ht="15.75" customHeight="1">
      <c r="A548" s="21"/>
      <c r="B548" s="21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ht="15.75" customHeight="1">
      <c r="A549" s="21"/>
      <c r="B549" s="21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ht="15.75" customHeight="1">
      <c r="A550" s="21"/>
      <c r="B550" s="21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ht="15.75" customHeight="1">
      <c r="A551" s="21"/>
      <c r="B551" s="21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ht="15.75" customHeight="1">
      <c r="A552" s="21"/>
      <c r="B552" s="21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ht="15.75" customHeight="1">
      <c r="A553" s="21"/>
      <c r="B553" s="21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ht="15.75" customHeight="1">
      <c r="A554" s="21"/>
      <c r="B554" s="21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ht="15.75" customHeight="1">
      <c r="A555" s="21"/>
      <c r="B555" s="21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ht="15.75" customHeight="1">
      <c r="A556" s="21"/>
      <c r="B556" s="21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ht="15.75" customHeight="1">
      <c r="A557" s="21"/>
      <c r="B557" s="21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ht="15.75" customHeight="1">
      <c r="A558" s="21"/>
      <c r="B558" s="21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1"/>
      <c r="B559" s="21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21"/>
      <c r="B560" s="21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ht="15.75" customHeight="1">
      <c r="A561" s="21"/>
      <c r="B561" s="21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ht="15.75" customHeight="1">
      <c r="A562" s="21"/>
      <c r="B562" s="21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ht="15.75" customHeight="1">
      <c r="A563" s="21"/>
      <c r="B563" s="21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ht="15.75" customHeight="1">
      <c r="A564" s="21"/>
      <c r="B564" s="21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ht="15.75" customHeight="1">
      <c r="A565" s="21"/>
      <c r="B565" s="21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ht="15.75" customHeight="1">
      <c r="A566" s="21"/>
      <c r="B566" s="21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ht="15.75" customHeight="1">
      <c r="A567" s="21"/>
      <c r="B567" s="21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ht="15.75" customHeight="1">
      <c r="A568" s="21"/>
      <c r="B568" s="21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ht="15.75" customHeight="1">
      <c r="A569" s="21"/>
      <c r="B569" s="21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ht="15.75" customHeight="1">
      <c r="A570" s="21"/>
      <c r="B570" s="21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ht="15.75" customHeight="1">
      <c r="A571" s="21"/>
      <c r="B571" s="21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ht="15.75" customHeight="1">
      <c r="A572" s="21"/>
      <c r="B572" s="21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ht="15.75" customHeight="1">
      <c r="A573" s="21"/>
      <c r="B573" s="21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ht="15.75" customHeight="1">
      <c r="A574" s="21"/>
      <c r="B574" s="21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ht="15.75" customHeight="1">
      <c r="A575" s="21"/>
      <c r="B575" s="21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ht="15.75" customHeight="1">
      <c r="A576" s="21"/>
      <c r="B576" s="21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ht="15.75" customHeight="1">
      <c r="A577" s="21"/>
      <c r="B577" s="21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ht="15.75" customHeight="1">
      <c r="A578" s="21"/>
      <c r="B578" s="21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ht="15.75" customHeight="1">
      <c r="A579" s="21"/>
      <c r="B579" s="21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ht="15.75" customHeight="1">
      <c r="A580" s="21"/>
      <c r="B580" s="21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ht="15.75" customHeight="1">
      <c r="A581" s="21"/>
      <c r="B581" s="21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ht="15.75" customHeight="1">
      <c r="A582" s="21"/>
      <c r="B582" s="21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ht="15.75" customHeight="1">
      <c r="A583" s="21"/>
      <c r="B583" s="21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ht="15.75" customHeight="1">
      <c r="A584" s="21"/>
      <c r="B584" s="21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ht="15.75" customHeight="1">
      <c r="A585" s="21"/>
      <c r="B585" s="21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ht="15.75" customHeight="1">
      <c r="A586" s="21"/>
      <c r="B586" s="21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ht="15.75" customHeight="1">
      <c r="A587" s="21"/>
      <c r="B587" s="21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ht="15.75" customHeight="1">
      <c r="A588" s="21"/>
      <c r="B588" s="21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ht="15.75" customHeight="1">
      <c r="A589" s="21"/>
      <c r="B589" s="21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ht="15.75" customHeight="1">
      <c r="A590" s="21"/>
      <c r="B590" s="21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ht="15.75" customHeight="1">
      <c r="A591" s="21"/>
      <c r="B591" s="21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ht="15.75" customHeight="1">
      <c r="A592" s="21"/>
      <c r="B592" s="21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ht="15.75" customHeight="1">
      <c r="A593" s="21"/>
      <c r="B593" s="21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ht="15.75" customHeight="1">
      <c r="A594" s="21"/>
      <c r="B594" s="21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ht="15.75" customHeight="1">
      <c r="A595" s="21"/>
      <c r="B595" s="21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ht="15.75" customHeight="1">
      <c r="A596" s="21"/>
      <c r="B596" s="21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ht="15.75" customHeight="1">
      <c r="A597" s="21"/>
      <c r="B597" s="21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ht="15.75" customHeight="1">
      <c r="A598" s="21"/>
      <c r="B598" s="21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ht="15.75" customHeight="1">
      <c r="A599" s="21"/>
      <c r="B599" s="21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ht="15.75" customHeight="1">
      <c r="A600" s="21"/>
      <c r="B600" s="21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ht="15.75" customHeight="1">
      <c r="A601" s="21"/>
      <c r="B601" s="21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ht="15.75" customHeight="1">
      <c r="A602" s="21"/>
      <c r="B602" s="21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ht="15.75" customHeight="1">
      <c r="A603" s="21"/>
      <c r="B603" s="21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ht="15.75" customHeight="1">
      <c r="A604" s="21"/>
      <c r="B604" s="21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ht="15.75" customHeight="1">
      <c r="A605" s="21"/>
      <c r="B605" s="21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ht="15.75" customHeight="1">
      <c r="A606" s="21"/>
      <c r="B606" s="21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ht="15.75" customHeight="1">
      <c r="A607" s="21"/>
      <c r="B607" s="21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ht="15.75" customHeight="1">
      <c r="A608" s="21"/>
      <c r="B608" s="21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ht="15.75" customHeight="1">
      <c r="A609" s="21"/>
      <c r="B609" s="21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ht="15.75" customHeight="1">
      <c r="A610" s="21"/>
      <c r="B610" s="21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ht="15.75" customHeight="1">
      <c r="A611" s="21"/>
      <c r="B611" s="21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ht="15.75" customHeight="1">
      <c r="A612" s="21"/>
      <c r="B612" s="21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ht="15.75" customHeight="1">
      <c r="A613" s="21"/>
      <c r="B613" s="21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ht="15.75" customHeight="1">
      <c r="A614" s="21"/>
      <c r="B614" s="21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ht="15.75" customHeight="1">
      <c r="A615" s="21"/>
      <c r="B615" s="21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ht="15.75" customHeight="1">
      <c r="A616" s="21"/>
      <c r="B616" s="21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ht="15.75" customHeight="1">
      <c r="A617" s="21"/>
      <c r="B617" s="21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ht="15.75" customHeight="1">
      <c r="A618" s="21"/>
      <c r="B618" s="21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ht="15.75" customHeight="1">
      <c r="A619" s="21"/>
      <c r="B619" s="21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ht="15.75" customHeight="1">
      <c r="A620" s="21"/>
      <c r="B620" s="21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ht="15.75" customHeight="1">
      <c r="A621" s="21"/>
      <c r="B621" s="21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ht="15.75" customHeight="1">
      <c r="A622" s="21"/>
      <c r="B622" s="21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ht="15.75" customHeight="1">
      <c r="A623" s="21"/>
      <c r="B623" s="21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ht="15.75" customHeight="1">
      <c r="A624" s="21"/>
      <c r="B624" s="21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ht="15.75" customHeight="1">
      <c r="A625" s="21"/>
      <c r="B625" s="21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ht="15.75" customHeight="1">
      <c r="A626" s="21"/>
      <c r="B626" s="21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ht="15.75" customHeight="1">
      <c r="A627" s="21"/>
      <c r="B627" s="21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ht="15.75" customHeight="1">
      <c r="A628" s="21"/>
      <c r="B628" s="21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ht="15.75" customHeight="1">
      <c r="A629" s="21"/>
      <c r="B629" s="21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ht="15.75" customHeight="1">
      <c r="A630" s="21"/>
      <c r="B630" s="21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ht="15.75" customHeight="1">
      <c r="A631" s="21"/>
      <c r="B631" s="21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ht="15.75" customHeight="1">
      <c r="A632" s="21"/>
      <c r="B632" s="21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ht="15.75" customHeight="1">
      <c r="A633" s="21"/>
      <c r="B633" s="21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ht="15.75" customHeight="1">
      <c r="A634" s="21"/>
      <c r="B634" s="21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ht="15.75" customHeight="1">
      <c r="A635" s="21"/>
      <c r="B635" s="21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ht="15.75" customHeight="1">
      <c r="A636" s="21"/>
      <c r="B636" s="21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ht="15.75" customHeight="1">
      <c r="A637" s="21"/>
      <c r="B637" s="21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ht="15.75" customHeight="1">
      <c r="A638" s="21"/>
      <c r="B638" s="21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ht="15.75" customHeight="1">
      <c r="A639" s="21"/>
      <c r="B639" s="21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ht="15.75" customHeight="1">
      <c r="A640" s="21"/>
      <c r="B640" s="21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ht="15.75" customHeight="1">
      <c r="A641" s="21"/>
      <c r="B641" s="21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ht="15.75" customHeight="1">
      <c r="A642" s="21"/>
      <c r="B642" s="21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ht="15.75" customHeight="1">
      <c r="A643" s="21"/>
      <c r="B643" s="21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ht="15.75" customHeight="1">
      <c r="A644" s="21"/>
      <c r="B644" s="21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ht="15.75" customHeight="1">
      <c r="A645" s="21"/>
      <c r="B645" s="21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ht="15.75" customHeight="1">
      <c r="A646" s="21"/>
      <c r="B646" s="21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ht="15.75" customHeight="1">
      <c r="A647" s="21"/>
      <c r="B647" s="21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ht="15.75" customHeight="1">
      <c r="A648" s="21"/>
      <c r="B648" s="21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ht="15.75" customHeight="1">
      <c r="A649" s="21"/>
      <c r="B649" s="21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ht="15.75" customHeight="1">
      <c r="A650" s="21"/>
      <c r="B650" s="21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ht="15.75" customHeight="1">
      <c r="A651" s="21"/>
      <c r="B651" s="21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ht="15.75" customHeight="1">
      <c r="A652" s="21"/>
      <c r="B652" s="21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ht="15.75" customHeight="1">
      <c r="A653" s="21"/>
      <c r="B653" s="21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ht="15.75" customHeight="1">
      <c r="A654" s="21"/>
      <c r="B654" s="21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ht="15.75" customHeight="1">
      <c r="A655" s="21"/>
      <c r="B655" s="21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ht="15.75" customHeight="1">
      <c r="A656" s="21"/>
      <c r="B656" s="21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ht="15.75" customHeight="1">
      <c r="A657" s="21"/>
      <c r="B657" s="21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ht="15.75" customHeight="1">
      <c r="A658" s="21"/>
      <c r="B658" s="21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ht="15.75" customHeight="1">
      <c r="A659" s="21"/>
      <c r="B659" s="21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ht="15.75" customHeight="1">
      <c r="A660" s="21"/>
      <c r="B660" s="21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ht="15.75" customHeight="1">
      <c r="A661" s="21"/>
      <c r="B661" s="21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ht="15.75" customHeight="1">
      <c r="A662" s="21"/>
      <c r="B662" s="21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ht="15.75" customHeight="1">
      <c r="A663" s="21"/>
      <c r="B663" s="21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ht="15.75" customHeight="1">
      <c r="A664" s="21"/>
      <c r="B664" s="21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ht="15.75" customHeight="1">
      <c r="A665" s="21"/>
      <c r="B665" s="21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ht="15.75" customHeight="1">
      <c r="A666" s="21"/>
      <c r="B666" s="21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ht="15.75" customHeight="1">
      <c r="A667" s="21"/>
      <c r="B667" s="21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ht="15.75" customHeight="1">
      <c r="A668" s="21"/>
      <c r="B668" s="21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ht="15.75" customHeight="1">
      <c r="A669" s="21"/>
      <c r="B669" s="21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ht="15.75" customHeight="1">
      <c r="A670" s="21"/>
      <c r="B670" s="21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ht="15.75" customHeight="1">
      <c r="A671" s="21"/>
      <c r="B671" s="21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ht="15.75" customHeight="1">
      <c r="A672" s="21"/>
      <c r="B672" s="21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ht="15.75" customHeight="1">
      <c r="A673" s="21"/>
      <c r="B673" s="21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ht="15.75" customHeight="1">
      <c r="A674" s="21"/>
      <c r="B674" s="21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ht="15.75" customHeight="1">
      <c r="A675" s="21"/>
      <c r="B675" s="21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ht="15.75" customHeight="1">
      <c r="A676" s="21"/>
      <c r="B676" s="21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ht="15.75" customHeight="1">
      <c r="A677" s="21"/>
      <c r="B677" s="21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ht="15.75" customHeight="1">
      <c r="A678" s="21"/>
      <c r="B678" s="21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ht="15.75" customHeight="1">
      <c r="A679" s="21"/>
      <c r="B679" s="21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ht="15.75" customHeight="1">
      <c r="A680" s="21"/>
      <c r="B680" s="21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ht="15.75" customHeight="1">
      <c r="A681" s="21"/>
      <c r="B681" s="21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ht="15.75" customHeight="1">
      <c r="A682" s="21"/>
      <c r="B682" s="21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ht="15.75" customHeight="1">
      <c r="A683" s="21"/>
      <c r="B683" s="21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ht="15.75" customHeight="1">
      <c r="A684" s="21"/>
      <c r="B684" s="21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ht="15.75" customHeight="1">
      <c r="A685" s="21"/>
      <c r="B685" s="21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ht="15.75" customHeight="1">
      <c r="A686" s="21"/>
      <c r="B686" s="21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ht="15.75" customHeight="1">
      <c r="A687" s="21"/>
      <c r="B687" s="21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ht="15.75" customHeight="1">
      <c r="A688" s="21"/>
      <c r="B688" s="21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ht="15.75" customHeight="1">
      <c r="A689" s="21"/>
      <c r="B689" s="21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ht="15.75" customHeight="1">
      <c r="A690" s="21"/>
      <c r="B690" s="21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ht="15.75" customHeight="1">
      <c r="A691" s="21"/>
      <c r="B691" s="21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ht="15.75" customHeight="1">
      <c r="A692" s="21"/>
      <c r="B692" s="21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ht="15.75" customHeight="1">
      <c r="A693" s="21"/>
      <c r="B693" s="21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ht="15.75" customHeight="1">
      <c r="A694" s="21"/>
      <c r="B694" s="21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ht="15.75" customHeight="1">
      <c r="A695" s="21"/>
      <c r="B695" s="21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ht="15.75" customHeight="1">
      <c r="A696" s="21"/>
      <c r="B696" s="21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ht="15.75" customHeight="1">
      <c r="A697" s="21"/>
      <c r="B697" s="21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ht="15.75" customHeight="1">
      <c r="A698" s="21"/>
      <c r="B698" s="21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ht="15.75" customHeight="1">
      <c r="A699" s="21"/>
      <c r="B699" s="21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ht="15.75" customHeight="1">
      <c r="A700" s="21"/>
      <c r="B700" s="21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ht="15.75" customHeight="1">
      <c r="A701" s="21"/>
      <c r="B701" s="21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ht="15.75" customHeight="1">
      <c r="A702" s="21"/>
      <c r="B702" s="21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ht="15.75" customHeight="1">
      <c r="A703" s="21"/>
      <c r="B703" s="21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ht="15.75" customHeight="1">
      <c r="A704" s="21"/>
      <c r="B704" s="21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ht="15.75" customHeight="1">
      <c r="A705" s="21"/>
      <c r="B705" s="21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ht="15.75" customHeight="1">
      <c r="A706" s="21"/>
      <c r="B706" s="21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ht="15.75" customHeight="1">
      <c r="A707" s="21"/>
      <c r="B707" s="21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ht="15.75" customHeight="1">
      <c r="A708" s="21"/>
      <c r="B708" s="21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ht="15.75" customHeight="1">
      <c r="A709" s="21"/>
      <c r="B709" s="21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ht="15.75" customHeight="1">
      <c r="A710" s="21"/>
      <c r="B710" s="21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ht="15.75" customHeight="1">
      <c r="A711" s="21"/>
      <c r="B711" s="21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ht="15.75" customHeight="1">
      <c r="A712" s="21"/>
      <c r="B712" s="21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ht="15.75" customHeight="1">
      <c r="A713" s="21"/>
      <c r="B713" s="21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ht="15.75" customHeight="1">
      <c r="A714" s="21"/>
      <c r="B714" s="21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ht="15.75" customHeight="1">
      <c r="A715" s="21"/>
      <c r="B715" s="21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ht="15.75" customHeight="1">
      <c r="A716" s="21"/>
      <c r="B716" s="21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ht="15.75" customHeight="1">
      <c r="A717" s="21"/>
      <c r="B717" s="21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ht="15.75" customHeight="1">
      <c r="A718" s="21"/>
      <c r="B718" s="21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ht="15.75" customHeight="1">
      <c r="A719" s="21"/>
      <c r="B719" s="21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ht="15.75" customHeight="1">
      <c r="A720" s="21"/>
      <c r="B720" s="21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ht="15.75" customHeight="1">
      <c r="A721" s="21"/>
      <c r="B721" s="21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ht="15.75" customHeight="1">
      <c r="A722" s="21"/>
      <c r="B722" s="21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ht="15.75" customHeight="1">
      <c r="A723" s="21"/>
      <c r="B723" s="21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ht="15.75" customHeight="1">
      <c r="A724" s="21"/>
      <c r="B724" s="21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ht="15.75" customHeight="1">
      <c r="A725" s="21"/>
      <c r="B725" s="21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ht="15.75" customHeight="1">
      <c r="A726" s="21"/>
      <c r="B726" s="21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ht="15.75" customHeight="1">
      <c r="A727" s="21"/>
      <c r="B727" s="21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ht="15.75" customHeight="1">
      <c r="A728" s="21"/>
      <c r="B728" s="21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ht="15.75" customHeight="1">
      <c r="A729" s="21"/>
      <c r="B729" s="21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ht="15.75" customHeight="1">
      <c r="A730" s="21"/>
      <c r="B730" s="21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ht="15.75" customHeight="1">
      <c r="A731" s="21"/>
      <c r="B731" s="21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ht="15.75" customHeight="1">
      <c r="A732" s="21"/>
      <c r="B732" s="21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ht="15.75" customHeight="1">
      <c r="A733" s="21"/>
      <c r="B733" s="21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ht="15.75" customHeight="1">
      <c r="A734" s="21"/>
      <c r="B734" s="21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ht="15.75" customHeight="1">
      <c r="A735" s="21"/>
      <c r="B735" s="21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ht="15.75" customHeight="1">
      <c r="A736" s="21"/>
      <c r="B736" s="21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7.0"/>
    <col customWidth="1" min="2" max="2" width="18.5"/>
    <col customWidth="1" min="3" max="3" width="5.63"/>
  </cols>
  <sheetData>
    <row r="1">
      <c r="A1" s="30" t="s">
        <v>1028</v>
      </c>
      <c r="B1" s="30" t="s">
        <v>17</v>
      </c>
      <c r="C1" s="30" t="s">
        <v>18</v>
      </c>
    </row>
    <row r="2">
      <c r="A2" s="31" t="s">
        <v>205</v>
      </c>
      <c r="B2" s="31" t="s">
        <v>1029</v>
      </c>
      <c r="C2" s="32">
        <v>59.0</v>
      </c>
    </row>
    <row r="3">
      <c r="A3" s="31" t="s">
        <v>256</v>
      </c>
      <c r="B3" s="31" t="s">
        <v>1030</v>
      </c>
      <c r="C3" s="32">
        <v>64.0</v>
      </c>
    </row>
    <row r="4">
      <c r="A4" s="31" t="s">
        <v>203</v>
      </c>
      <c r="B4" s="31" t="s">
        <v>1031</v>
      </c>
      <c r="C4" s="32">
        <v>69.0</v>
      </c>
    </row>
    <row r="5">
      <c r="A5" s="31" t="s">
        <v>287</v>
      </c>
      <c r="B5" s="31" t="s">
        <v>1032</v>
      </c>
      <c r="C5" s="32">
        <v>98.0</v>
      </c>
    </row>
    <row r="6">
      <c r="A6" s="31" t="s">
        <v>329</v>
      </c>
      <c r="B6" s="31" t="s">
        <v>1033</v>
      </c>
      <c r="C6" s="32">
        <v>108.0</v>
      </c>
    </row>
    <row r="7">
      <c r="A7" s="31" t="s">
        <v>234</v>
      </c>
      <c r="B7" s="31" t="s">
        <v>1031</v>
      </c>
      <c r="C7" s="32">
        <v>13.0</v>
      </c>
    </row>
    <row r="8">
      <c r="A8" s="31" t="s">
        <v>203</v>
      </c>
      <c r="B8" s="31" t="s">
        <v>1031</v>
      </c>
      <c r="C8" s="32">
        <v>69.0</v>
      </c>
    </row>
    <row r="9">
      <c r="A9" s="31" t="s">
        <v>208</v>
      </c>
      <c r="B9" s="31" t="s">
        <v>1030</v>
      </c>
      <c r="C9" s="32">
        <v>80.0</v>
      </c>
    </row>
    <row r="10">
      <c r="A10" s="31" t="s">
        <v>271</v>
      </c>
      <c r="B10" s="31" t="s">
        <v>1034</v>
      </c>
      <c r="C10" s="32">
        <v>48.0</v>
      </c>
    </row>
    <row r="11">
      <c r="A11" s="31" t="s">
        <v>214</v>
      </c>
      <c r="B11" s="31" t="s">
        <v>1035</v>
      </c>
      <c r="C11" s="32">
        <v>97.0</v>
      </c>
    </row>
    <row r="12">
      <c r="A12" s="31" t="s">
        <v>306</v>
      </c>
      <c r="B12" s="31" t="s">
        <v>1036</v>
      </c>
      <c r="C12" s="32">
        <v>47.0</v>
      </c>
    </row>
    <row r="13">
      <c r="A13" s="31" t="s">
        <v>321</v>
      </c>
      <c r="B13" s="31" t="s">
        <v>1037</v>
      </c>
      <c r="C13" s="32">
        <v>20.0</v>
      </c>
    </row>
    <row r="14">
      <c r="A14" s="31" t="s">
        <v>211</v>
      </c>
      <c r="B14" s="31" t="s">
        <v>1038</v>
      </c>
      <c r="C14" s="32">
        <v>15.0</v>
      </c>
    </row>
    <row r="15">
      <c r="A15" s="31" t="s">
        <v>303</v>
      </c>
      <c r="B15" s="31" t="s">
        <v>1031</v>
      </c>
      <c r="C15" s="32">
        <v>12.0</v>
      </c>
    </row>
    <row r="16">
      <c r="A16" s="31" t="s">
        <v>219</v>
      </c>
      <c r="B16" s="31" t="s">
        <v>1033</v>
      </c>
      <c r="C16" s="32">
        <v>24.0</v>
      </c>
    </row>
    <row r="17">
      <c r="A17" s="31" t="s">
        <v>244</v>
      </c>
      <c r="B17" s="31" t="s">
        <v>1029</v>
      </c>
      <c r="C17" s="32">
        <v>82.0</v>
      </c>
    </row>
    <row r="18">
      <c r="A18" s="31" t="s">
        <v>283</v>
      </c>
      <c r="B18" s="31" t="s">
        <v>1039</v>
      </c>
      <c r="C18" s="32">
        <v>60.0</v>
      </c>
    </row>
    <row r="19">
      <c r="A19" s="31" t="s">
        <v>270</v>
      </c>
      <c r="B19" s="31" t="s">
        <v>1040</v>
      </c>
      <c r="C19" s="32">
        <v>84.0</v>
      </c>
    </row>
    <row r="20">
      <c r="A20" s="31" t="s">
        <v>216</v>
      </c>
      <c r="B20" s="31" t="s">
        <v>1041</v>
      </c>
      <c r="C20" s="32">
        <v>41.0</v>
      </c>
    </row>
    <row r="21">
      <c r="A21" s="31" t="s">
        <v>277</v>
      </c>
      <c r="B21" s="31" t="s">
        <v>1042</v>
      </c>
      <c r="C21" s="32">
        <v>49.0</v>
      </c>
    </row>
    <row r="22">
      <c r="A22" s="31" t="s">
        <v>210</v>
      </c>
      <c r="B22" s="31" t="s">
        <v>1035</v>
      </c>
      <c r="C22" s="32">
        <v>79.0</v>
      </c>
    </row>
    <row r="23">
      <c r="A23" s="31" t="s">
        <v>245</v>
      </c>
      <c r="B23" s="31" t="s">
        <v>1043</v>
      </c>
      <c r="C23" s="32">
        <v>30.0</v>
      </c>
    </row>
    <row r="24">
      <c r="A24" s="31" t="s">
        <v>251</v>
      </c>
      <c r="B24" s="31" t="s">
        <v>1044</v>
      </c>
      <c r="C24" s="32">
        <v>73.0</v>
      </c>
    </row>
    <row r="25">
      <c r="A25" s="31" t="s">
        <v>236</v>
      </c>
      <c r="B25" s="31" t="s">
        <v>1043</v>
      </c>
      <c r="C25" s="32">
        <v>85.0</v>
      </c>
    </row>
    <row r="26">
      <c r="A26" s="31" t="s">
        <v>356</v>
      </c>
      <c r="B26" s="31" t="s">
        <v>1045</v>
      </c>
      <c r="C26" s="32">
        <v>20.0</v>
      </c>
    </row>
    <row r="27">
      <c r="A27" s="31" t="s">
        <v>233</v>
      </c>
      <c r="B27" s="31" t="s">
        <v>1046</v>
      </c>
      <c r="C27" s="32">
        <v>10.0</v>
      </c>
    </row>
    <row r="28">
      <c r="A28" s="31" t="s">
        <v>207</v>
      </c>
      <c r="B28" s="31" t="s">
        <v>1047</v>
      </c>
      <c r="C28" s="32">
        <v>24.0</v>
      </c>
    </row>
    <row r="29">
      <c r="A29" s="31" t="s">
        <v>302</v>
      </c>
      <c r="B29" s="31" t="s">
        <v>1048</v>
      </c>
      <c r="C29" s="32">
        <v>11.0</v>
      </c>
    </row>
    <row r="30">
      <c r="A30" s="31" t="s">
        <v>273</v>
      </c>
      <c r="B30" s="31" t="s">
        <v>1045</v>
      </c>
      <c r="C30" s="32">
        <v>25.0</v>
      </c>
    </row>
    <row r="31">
      <c r="A31" s="31" t="s">
        <v>290</v>
      </c>
      <c r="B31" s="31" t="s">
        <v>1049</v>
      </c>
      <c r="C31" s="32">
        <v>60.0</v>
      </c>
    </row>
    <row r="32">
      <c r="A32" s="31" t="s">
        <v>225</v>
      </c>
      <c r="B32" s="31" t="s">
        <v>1050</v>
      </c>
      <c r="C32" s="32">
        <v>24.0</v>
      </c>
    </row>
    <row r="33">
      <c r="A33" s="31" t="s">
        <v>316</v>
      </c>
      <c r="B33" s="31" t="s">
        <v>1031</v>
      </c>
      <c r="C33" s="32">
        <v>11.0</v>
      </c>
    </row>
    <row r="34">
      <c r="A34" s="31" t="s">
        <v>213</v>
      </c>
      <c r="B34" s="31" t="s">
        <v>1049</v>
      </c>
      <c r="C34" s="32">
        <v>57.0</v>
      </c>
    </row>
    <row r="35">
      <c r="A35" s="31" t="s">
        <v>230</v>
      </c>
      <c r="B35" s="31" t="s">
        <v>1035</v>
      </c>
      <c r="C35" s="32">
        <v>218.0</v>
      </c>
    </row>
    <row r="36">
      <c r="A36" s="31" t="s">
        <v>268</v>
      </c>
      <c r="B36" s="31" t="s">
        <v>1051</v>
      </c>
      <c r="C36" s="32">
        <v>119.0</v>
      </c>
    </row>
    <row r="37">
      <c r="A37" s="31" t="s">
        <v>272</v>
      </c>
      <c r="B37" s="31" t="s">
        <v>1029</v>
      </c>
      <c r="C37" s="32">
        <v>121.0</v>
      </c>
    </row>
    <row r="38">
      <c r="A38" s="31" t="s">
        <v>320</v>
      </c>
      <c r="B38" s="31" t="s">
        <v>1052</v>
      </c>
      <c r="C38" s="32">
        <v>23.0</v>
      </c>
    </row>
    <row r="39">
      <c r="A39" s="31" t="s">
        <v>338</v>
      </c>
      <c r="B39" s="31" t="s">
        <v>1043</v>
      </c>
      <c r="C39" s="32">
        <v>69.0</v>
      </c>
    </row>
    <row r="40">
      <c r="A40" s="31" t="s">
        <v>201</v>
      </c>
      <c r="B40" s="31" t="s">
        <v>1044</v>
      </c>
      <c r="C40" s="32">
        <v>64.0</v>
      </c>
    </row>
    <row r="41">
      <c r="A41" s="31" t="s">
        <v>210</v>
      </c>
      <c r="B41" s="31" t="s">
        <v>1035</v>
      </c>
      <c r="C41" s="32">
        <v>79.0</v>
      </c>
    </row>
    <row r="42">
      <c r="A42" s="31" t="s">
        <v>253</v>
      </c>
      <c r="B42" s="31" t="s">
        <v>1029</v>
      </c>
      <c r="C42" s="32">
        <v>120.0</v>
      </c>
    </row>
    <row r="43">
      <c r="A43" s="31" t="s">
        <v>250</v>
      </c>
      <c r="B43" s="31" t="s">
        <v>1033</v>
      </c>
      <c r="C43" s="32">
        <v>8.0</v>
      </c>
    </row>
    <row r="44">
      <c r="A44" s="31" t="s">
        <v>226</v>
      </c>
      <c r="B44" s="31" t="s">
        <v>1033</v>
      </c>
      <c r="C44" s="32">
        <v>68.0</v>
      </c>
    </row>
    <row r="45">
      <c r="A45" s="31" t="s">
        <v>252</v>
      </c>
      <c r="B45" s="31" t="s">
        <v>1046</v>
      </c>
      <c r="C45" s="32">
        <v>9.0</v>
      </c>
    </row>
    <row r="46">
      <c r="A46" s="31" t="s">
        <v>265</v>
      </c>
      <c r="B46" s="31" t="s">
        <v>1043</v>
      </c>
      <c r="C46" s="32">
        <v>14.0</v>
      </c>
    </row>
    <row r="47">
      <c r="A47" s="31" t="s">
        <v>237</v>
      </c>
      <c r="B47" s="31" t="s">
        <v>1053</v>
      </c>
      <c r="C47" s="32">
        <v>27.0</v>
      </c>
    </row>
    <row r="48">
      <c r="A48" s="31" t="s">
        <v>293</v>
      </c>
      <c r="B48" s="31" t="s">
        <v>1054</v>
      </c>
      <c r="C48" s="32">
        <v>9.0</v>
      </c>
    </row>
    <row r="49">
      <c r="A49" s="31" t="s">
        <v>339</v>
      </c>
      <c r="B49" s="31" t="s">
        <v>1055</v>
      </c>
      <c r="C49" s="32">
        <v>47.0</v>
      </c>
    </row>
    <row r="50">
      <c r="A50" s="31" t="s">
        <v>349</v>
      </c>
      <c r="B50" s="31" t="s">
        <v>1050</v>
      </c>
      <c r="C50" s="32">
        <v>58.0</v>
      </c>
    </row>
    <row r="51">
      <c r="A51" s="31" t="s">
        <v>247</v>
      </c>
      <c r="B51" s="31" t="s">
        <v>1033</v>
      </c>
      <c r="C51" s="32">
        <v>69.0</v>
      </c>
    </row>
    <row r="52">
      <c r="A52" s="31" t="s">
        <v>305</v>
      </c>
      <c r="B52" s="31" t="s">
        <v>1033</v>
      </c>
      <c r="C52" s="32">
        <v>59.0</v>
      </c>
    </row>
    <row r="53">
      <c r="A53" s="31" t="s">
        <v>315</v>
      </c>
      <c r="B53" s="31" t="s">
        <v>1033</v>
      </c>
      <c r="C53" s="32">
        <v>12.0</v>
      </c>
    </row>
    <row r="54">
      <c r="A54" s="31" t="s">
        <v>269</v>
      </c>
      <c r="B54" s="31" t="s">
        <v>1050</v>
      </c>
      <c r="C54" s="32">
        <v>62.0</v>
      </c>
    </row>
    <row r="55">
      <c r="A55" s="31" t="s">
        <v>343</v>
      </c>
      <c r="B55" s="31" t="s">
        <v>1056</v>
      </c>
      <c r="C55" s="32">
        <v>43.0</v>
      </c>
    </row>
    <row r="56">
      <c r="A56" s="31" t="s">
        <v>128</v>
      </c>
      <c r="B56" s="31" t="s">
        <v>1033</v>
      </c>
      <c r="C56" s="32">
        <v>6.0</v>
      </c>
    </row>
    <row r="57">
      <c r="A57" s="31" t="s">
        <v>319</v>
      </c>
      <c r="B57" s="31" t="s">
        <v>1057</v>
      </c>
      <c r="C57" s="32">
        <v>22.0</v>
      </c>
    </row>
    <row r="58">
      <c r="A58" s="31" t="s">
        <v>212</v>
      </c>
      <c r="B58" s="31" t="s">
        <v>1039</v>
      </c>
      <c r="C58" s="32">
        <v>53.0</v>
      </c>
    </row>
    <row r="59">
      <c r="A59" s="31" t="s">
        <v>373</v>
      </c>
      <c r="B59" s="31" t="s">
        <v>1033</v>
      </c>
      <c r="C59" s="32">
        <v>23.0</v>
      </c>
    </row>
    <row r="60">
      <c r="A60" s="31" t="s">
        <v>374</v>
      </c>
      <c r="B60" s="31" t="s">
        <v>1033</v>
      </c>
      <c r="C60" s="32">
        <v>29.0</v>
      </c>
    </row>
    <row r="61">
      <c r="A61" s="31" t="s">
        <v>312</v>
      </c>
      <c r="B61" s="31" t="s">
        <v>1033</v>
      </c>
      <c r="C61" s="32">
        <v>10.0</v>
      </c>
    </row>
    <row r="62">
      <c r="A62" s="31" t="s">
        <v>333</v>
      </c>
      <c r="B62" s="31" t="s">
        <v>1054</v>
      </c>
      <c r="C62" s="32">
        <v>83.0</v>
      </c>
    </row>
    <row r="63">
      <c r="A63" s="31" t="s">
        <v>215</v>
      </c>
      <c r="B63" s="31" t="s">
        <v>1044</v>
      </c>
      <c r="C63" s="32">
        <v>6.0</v>
      </c>
    </row>
    <row r="64">
      <c r="A64" s="31" t="s">
        <v>348</v>
      </c>
      <c r="B64" s="31" t="s">
        <v>1041</v>
      </c>
      <c r="C64" s="32">
        <v>43.0</v>
      </c>
    </row>
    <row r="65">
      <c r="A65" s="31" t="s">
        <v>324</v>
      </c>
      <c r="B65" s="31" t="s">
        <v>1036</v>
      </c>
      <c r="C65" s="32">
        <v>94.0</v>
      </c>
    </row>
    <row r="66">
      <c r="A66" s="31" t="s">
        <v>229</v>
      </c>
      <c r="B66" s="31" t="s">
        <v>1042</v>
      </c>
      <c r="C66" s="32">
        <v>4.0</v>
      </c>
    </row>
    <row r="67">
      <c r="A67" s="31" t="s">
        <v>342</v>
      </c>
      <c r="B67" s="31" t="s">
        <v>1042</v>
      </c>
      <c r="C67" s="32">
        <v>113.0</v>
      </c>
    </row>
    <row r="68">
      <c r="A68" s="31" t="s">
        <v>261</v>
      </c>
      <c r="B68" s="31" t="s">
        <v>1041</v>
      </c>
      <c r="C68" s="32">
        <v>58.0</v>
      </c>
    </row>
    <row r="69">
      <c r="A69" s="31" t="s">
        <v>304</v>
      </c>
      <c r="B69" s="31" t="s">
        <v>1058</v>
      </c>
      <c r="C69" s="32">
        <v>54.0</v>
      </c>
    </row>
    <row r="70">
      <c r="A70" s="31" t="s">
        <v>217</v>
      </c>
      <c r="B70" s="31" t="s">
        <v>1059</v>
      </c>
      <c r="C70" s="32">
        <v>54.0</v>
      </c>
    </row>
    <row r="71">
      <c r="A71" s="31" t="s">
        <v>246</v>
      </c>
      <c r="B71" s="31" t="s">
        <v>1044</v>
      </c>
      <c r="C71" s="32">
        <v>11.0</v>
      </c>
    </row>
    <row r="72">
      <c r="A72" s="31" t="s">
        <v>204</v>
      </c>
      <c r="B72" s="31" t="s">
        <v>1035</v>
      </c>
      <c r="C72" s="32">
        <v>125.0</v>
      </c>
    </row>
    <row r="73">
      <c r="A73" s="31" t="s">
        <v>280</v>
      </c>
      <c r="B73" s="31" t="s">
        <v>1060</v>
      </c>
      <c r="C73" s="32">
        <v>20.0</v>
      </c>
    </row>
    <row r="74">
      <c r="A74" s="31" t="s">
        <v>307</v>
      </c>
      <c r="B74" s="31" t="s">
        <v>1061</v>
      </c>
      <c r="C74" s="32">
        <v>82.0</v>
      </c>
    </row>
    <row r="75">
      <c r="A75" s="31" t="s">
        <v>202</v>
      </c>
      <c r="B75" s="31" t="s">
        <v>1036</v>
      </c>
      <c r="C75" s="32">
        <v>48.0</v>
      </c>
    </row>
    <row r="76">
      <c r="A76" s="31" t="s">
        <v>218</v>
      </c>
      <c r="B76" s="31" t="s">
        <v>1042</v>
      </c>
      <c r="C76" s="32">
        <v>59.0</v>
      </c>
    </row>
    <row r="77">
      <c r="A77" s="31" t="s">
        <v>276</v>
      </c>
      <c r="B77" s="31" t="s">
        <v>1044</v>
      </c>
      <c r="C77" s="32">
        <v>47.0</v>
      </c>
    </row>
    <row r="78">
      <c r="A78" s="31" t="s">
        <v>286</v>
      </c>
      <c r="B78" s="31" t="s">
        <v>1044</v>
      </c>
      <c r="C78" s="32">
        <v>68.0</v>
      </c>
    </row>
    <row r="79">
      <c r="A79" s="31" t="s">
        <v>220</v>
      </c>
      <c r="B79" s="31" t="s">
        <v>1062</v>
      </c>
      <c r="C79" s="32">
        <v>50.0</v>
      </c>
    </row>
    <row r="80">
      <c r="A80" s="31" t="s">
        <v>206</v>
      </c>
      <c r="B80" s="31" t="s">
        <v>1063</v>
      </c>
      <c r="C80" s="32">
        <v>49.0</v>
      </c>
    </row>
    <row r="81">
      <c r="A81" s="31" t="s">
        <v>209</v>
      </c>
      <c r="B81" s="31" t="s">
        <v>1038</v>
      </c>
      <c r="C81" s="32">
        <v>21.0</v>
      </c>
    </row>
  </sheetData>
  <drawing r:id="rId1"/>
</worksheet>
</file>